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K1" i="7"/>
  <c r="D655" i="7"/>
  <c r="D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F21" i="8"/>
  <c r="DS63" i="5"/>
  <c r="DS65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7" i="7"/>
  <c r="B61" i="8"/>
  <c r="G61" i="8"/>
  <c r="K503" i="7"/>
  <c r="BW505" i="3"/>
  <c r="D505" i="7"/>
  <c r="K506" i="7"/>
  <c r="P506" i="7"/>
  <c r="P865" i="7"/>
  <c r="B62" i="8"/>
  <c r="G62" i="8"/>
  <c r="K509" i="7"/>
  <c r="BW511" i="3"/>
  <c r="D511" i="7"/>
  <c r="K512" i="7"/>
  <c r="P512" i="7"/>
  <c r="P866" i="7"/>
  <c r="B53" i="8"/>
  <c r="G53" i="8"/>
  <c r="K515" i="7"/>
  <c r="BW517" i="3"/>
  <c r="D517" i="7"/>
  <c r="K518" i="7"/>
  <c r="P518" i="7"/>
  <c r="P867" i="7"/>
  <c r="B44" i="8"/>
  <c r="G44" i="8"/>
  <c r="K521" i="7"/>
  <c r="BW523" i="3"/>
  <c r="D523" i="7"/>
  <c r="K524" i="7"/>
  <c r="P524" i="7"/>
  <c r="P868" i="7"/>
  <c r="B45" i="8"/>
  <c r="G45" i="8"/>
  <c r="K528" i="7"/>
  <c r="BW529" i="3"/>
  <c r="D529" i="7"/>
  <c r="K530" i="7"/>
  <c r="P530" i="7"/>
  <c r="P869" i="7"/>
  <c r="B46" i="8"/>
  <c r="G46" i="8"/>
  <c r="K534" i="7"/>
  <c r="BW535" i="3"/>
  <c r="D535" i="7"/>
  <c r="K536" i="7"/>
  <c r="P536" i="7"/>
  <c r="P870" i="7"/>
  <c r="B47" i="8"/>
  <c r="G47" i="8"/>
  <c r="K539" i="7"/>
  <c r="BW541" i="3"/>
  <c r="D541" i="7"/>
  <c r="K542" i="7"/>
  <c r="P542" i="7"/>
  <c r="P871" i="7"/>
  <c r="B48" i="8"/>
  <c r="G48" i="8"/>
  <c r="K546" i="7"/>
  <c r="BW547" i="3"/>
  <c r="D547" i="7"/>
  <c r="K548" i="7"/>
  <c r="P548" i="7"/>
  <c r="P872" i="7"/>
  <c r="B49" i="8"/>
  <c r="G49" i="8"/>
  <c r="K552" i="7"/>
  <c r="BW553" i="3"/>
  <c r="D553" i="7"/>
  <c r="K554" i="7"/>
  <c r="P554" i="7"/>
  <c r="P873" i="7"/>
  <c r="B55" i="8"/>
  <c r="G55" i="8"/>
  <c r="K558" i="7"/>
  <c r="BW559" i="3"/>
  <c r="D559" i="7"/>
  <c r="K560" i="7"/>
  <c r="P560" i="7"/>
  <c r="P874" i="7"/>
  <c r="B56" i="8"/>
  <c r="G56" i="8"/>
  <c r="K564" i="7"/>
  <c r="BW565" i="3"/>
  <c r="D565" i="7"/>
  <c r="K566" i="7"/>
  <c r="P566" i="7"/>
  <c r="P875" i="7"/>
  <c r="B57" i="8"/>
  <c r="G57" i="8"/>
  <c r="K570" i="7"/>
  <c r="BW571" i="3"/>
  <c r="D571" i="7"/>
  <c r="K572" i="7"/>
  <c r="P572" i="7"/>
  <c r="P876" i="7"/>
  <c r="B58" i="8"/>
  <c r="G58" i="8"/>
  <c r="K575" i="7"/>
  <c r="BW577" i="3"/>
  <c r="D577" i="7"/>
  <c r="K578" i="7"/>
  <c r="P578" i="7"/>
  <c r="P877" i="7"/>
  <c r="B59" i="8"/>
  <c r="G59" i="8"/>
  <c r="K581" i="7"/>
  <c r="BW583" i="3"/>
  <c r="D583" i="7"/>
  <c r="K584" i="7"/>
  <c r="P584" i="7"/>
  <c r="P878" i="7"/>
  <c r="B60" i="8"/>
  <c r="G60" i="8"/>
  <c r="K587" i="7"/>
  <c r="BW589" i="3"/>
  <c r="D589" i="7"/>
  <c r="K590" i="7"/>
  <c r="P590" i="7"/>
  <c r="P879" i="7"/>
  <c r="B63" i="8"/>
  <c r="G63" i="8"/>
  <c r="K601" i="7"/>
  <c r="BW602" i="3"/>
  <c r="D602" i="7"/>
  <c r="K603" i="7"/>
  <c r="P603" i="7"/>
  <c r="P881" i="7"/>
  <c r="B64" i="8"/>
  <c r="G64" i="8"/>
  <c r="K607" i="7"/>
  <c r="BW608" i="3"/>
  <c r="D608" i="7"/>
  <c r="K609" i="7"/>
  <c r="P609" i="7"/>
  <c r="P882" i="7"/>
  <c r="B43" i="8"/>
  <c r="G43" i="8"/>
  <c r="K619" i="7"/>
  <c r="BW620" i="3"/>
  <c r="D620" i="7"/>
  <c r="K621" i="7"/>
  <c r="P621" i="7"/>
  <c r="P884" i="7"/>
  <c r="K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H61" i="8"/>
  <c r="I507" i="7"/>
  <c r="K507" i="7"/>
  <c r="K508" i="7"/>
  <c r="P508" i="7"/>
  <c r="I513" i="7"/>
  <c r="K513" i="7"/>
  <c r="K514" i="7"/>
  <c r="P514" i="7"/>
  <c r="I519" i="7"/>
  <c r="K519" i="7"/>
  <c r="K520" i="7"/>
  <c r="P520" i="7"/>
  <c r="H44" i="8"/>
  <c r="I525" i="7"/>
  <c r="K525" i="7"/>
  <c r="K526" i="7"/>
  <c r="P526" i="7"/>
  <c r="K532" i="7"/>
  <c r="P532" i="7"/>
  <c r="K538" i="7"/>
  <c r="P538" i="7"/>
  <c r="I543" i="7"/>
  <c r="K543" i="7"/>
  <c r="K544" i="7"/>
  <c r="P544" i="7"/>
  <c r="H48" i="8"/>
  <c r="I549" i="7"/>
  <c r="K549" i="7"/>
  <c r="K550" i="7"/>
  <c r="P550" i="7"/>
  <c r="H49" i="8"/>
  <c r="I555" i="7"/>
  <c r="K555" i="7"/>
  <c r="K556" i="7"/>
  <c r="P556" i="7"/>
  <c r="H55" i="8"/>
  <c r="I561" i="7"/>
  <c r="K561" i="7"/>
  <c r="K562" i="7"/>
  <c r="P562" i="7"/>
  <c r="K568" i="7"/>
  <c r="P568" i="7"/>
  <c r="H57" i="8"/>
  <c r="I573" i="7"/>
  <c r="K573" i="7"/>
  <c r="K574" i="7"/>
  <c r="P574" i="7"/>
  <c r="H58" i="8"/>
  <c r="I579" i="7"/>
  <c r="K579" i="7"/>
  <c r="K580" i="7"/>
  <c r="P580" i="7"/>
  <c r="H59" i="8"/>
  <c r="I585" i="7"/>
  <c r="K585" i="7"/>
  <c r="K586" i="7"/>
  <c r="P586" i="7"/>
  <c r="I591" i="7"/>
  <c r="K591" i="7"/>
  <c r="K592" i="7"/>
  <c r="P592" i="7"/>
  <c r="H63" i="8"/>
  <c r="I604" i="7"/>
  <c r="K604" i="7"/>
  <c r="K605" i="7"/>
  <c r="P605" i="7"/>
  <c r="H64" i="8"/>
  <c r="I610" i="7"/>
  <c r="K610" i="7"/>
  <c r="K611" i="7"/>
  <c r="P611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G90" i="8"/>
  <c r="K778" i="7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4" i="7"/>
  <c r="J1068" i="7"/>
  <c r="J1033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J528" i="7"/>
  <c r="J530" i="7"/>
  <c r="O530" i="7"/>
  <c r="O869" i="7"/>
  <c r="J534" i="7"/>
  <c r="J536" i="7"/>
  <c r="O536" i="7"/>
  <c r="O870" i="7"/>
  <c r="J539" i="7"/>
  <c r="J542" i="7"/>
  <c r="O542" i="7"/>
  <c r="O871" i="7"/>
  <c r="J546" i="7"/>
  <c r="J548" i="7"/>
  <c r="O548" i="7"/>
  <c r="O872" i="7"/>
  <c r="J552" i="7"/>
  <c r="J554" i="7"/>
  <c r="O554" i="7"/>
  <c r="O873" i="7"/>
  <c r="J558" i="7"/>
  <c r="J560" i="7"/>
  <c r="O560" i="7"/>
  <c r="O874" i="7"/>
  <c r="J564" i="7"/>
  <c r="J566" i="7"/>
  <c r="O566" i="7"/>
  <c r="O875" i="7"/>
  <c r="J570" i="7"/>
  <c r="J572" i="7"/>
  <c r="O572" i="7"/>
  <c r="O876" i="7"/>
  <c r="J575" i="7"/>
  <c r="J578" i="7"/>
  <c r="O578" i="7"/>
  <c r="O877" i="7"/>
  <c r="J581" i="7"/>
  <c r="J584" i="7"/>
  <c r="O584" i="7"/>
  <c r="O878" i="7"/>
  <c r="J587" i="7"/>
  <c r="J590" i="7"/>
  <c r="O590" i="7"/>
  <c r="O879" i="7"/>
  <c r="J601" i="7"/>
  <c r="J603" i="7"/>
  <c r="O603" i="7"/>
  <c r="O881" i="7"/>
  <c r="J607" i="7"/>
  <c r="J609" i="7"/>
  <c r="O609" i="7"/>
  <c r="O882" i="7"/>
  <c r="J619" i="7"/>
  <c r="J621" i="7"/>
  <c r="O621" i="7"/>
  <c r="O884" i="7"/>
  <c r="I1067" i="7"/>
  <c r="H1072" i="7"/>
  <c r="H1038" i="7"/>
  <c r="H1040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317" i="7"/>
  <c r="O942" i="7"/>
  <c r="I1077" i="7"/>
  <c r="H1078" i="7"/>
  <c r="O337" i="7"/>
  <c r="O944" i="7"/>
  <c r="I1078" i="7"/>
  <c r="H1079" i="7"/>
  <c r="O347" i="7"/>
  <c r="O945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I1084" i="7"/>
  <c r="H1085" i="7"/>
  <c r="O708" i="7"/>
  <c r="O965" i="7"/>
  <c r="I1085" i="7"/>
  <c r="H1086" i="7"/>
  <c r="O724" i="7"/>
  <c r="O969" i="7"/>
  <c r="I1086" i="7"/>
  <c r="H1087" i="7"/>
  <c r="I1087" i="7"/>
  <c r="H1088" i="7"/>
  <c r="O755" i="7"/>
  <c r="O973" i="7"/>
  <c r="I1088" i="7"/>
  <c r="H1089" i="7"/>
  <c r="O760" i="7"/>
  <c r="O975" i="7"/>
  <c r="I1089" i="7"/>
  <c r="H1090" i="7"/>
  <c r="O743" i="7"/>
  <c r="O977" i="7"/>
  <c r="I1090" i="7"/>
  <c r="H1091" i="7"/>
  <c r="O749" i="7"/>
  <c r="O979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J772" i="7"/>
  <c r="O772" i="7"/>
  <c r="J773" i="7"/>
  <c r="O773" i="7"/>
  <c r="O989" i="7"/>
  <c r="H1031" i="7"/>
  <c r="J774" i="7"/>
  <c r="J775" i="7"/>
  <c r="J778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H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E1058" i="7"/>
  <c r="N437" i="7"/>
  <c r="N851" i="7"/>
  <c r="F1058" i="7"/>
  <c r="E1059" i="7"/>
  <c r="N649" i="7"/>
  <c r="N854" i="7"/>
  <c r="F1059" i="7"/>
  <c r="E1060" i="7"/>
  <c r="N655" i="7"/>
  <c r="N855" i="7"/>
  <c r="F1060" i="7"/>
  <c r="E1061" i="7"/>
  <c r="N691" i="7"/>
  <c r="N896" i="7"/>
  <c r="F1061" i="7"/>
  <c r="E1062" i="7"/>
  <c r="N701" i="7"/>
  <c r="N898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317" i="7"/>
  <c r="N942" i="7"/>
  <c r="F1077" i="7"/>
  <c r="E1078" i="7"/>
  <c r="N337" i="7"/>
  <c r="N944" i="7"/>
  <c r="F1078" i="7"/>
  <c r="E1079" i="7"/>
  <c r="N347" i="7"/>
  <c r="N945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F1084" i="7"/>
  <c r="E1085" i="7"/>
  <c r="N708" i="7"/>
  <c r="N965" i="7"/>
  <c r="F1085" i="7"/>
  <c r="E1086" i="7"/>
  <c r="N724" i="7"/>
  <c r="N969" i="7"/>
  <c r="F1086" i="7"/>
  <c r="E1087" i="7"/>
  <c r="F1087" i="7"/>
  <c r="E1088" i="7"/>
  <c r="N755" i="7"/>
  <c r="N973" i="7"/>
  <c r="F1088" i="7"/>
  <c r="E1089" i="7"/>
  <c r="N760" i="7"/>
  <c r="N975" i="7"/>
  <c r="F1089" i="7"/>
  <c r="E1090" i="7"/>
  <c r="N743" i="7"/>
  <c r="N977" i="7"/>
  <c r="F1090" i="7"/>
  <c r="E1091" i="7"/>
  <c r="N749" i="7"/>
  <c r="N979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8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H528" i="7"/>
  <c r="H530" i="7"/>
  <c r="M530" i="7"/>
  <c r="M869" i="7"/>
  <c r="H534" i="7"/>
  <c r="H536" i="7"/>
  <c r="M536" i="7"/>
  <c r="M870" i="7"/>
  <c r="H539" i="7"/>
  <c r="H542" i="7"/>
  <c r="M542" i="7"/>
  <c r="M871" i="7"/>
  <c r="H546" i="7"/>
  <c r="H548" i="7"/>
  <c r="M548" i="7"/>
  <c r="M872" i="7"/>
  <c r="H552" i="7"/>
  <c r="H554" i="7"/>
  <c r="M554" i="7"/>
  <c r="M873" i="7"/>
  <c r="H558" i="7"/>
  <c r="H560" i="7"/>
  <c r="M560" i="7"/>
  <c r="M874" i="7"/>
  <c r="H564" i="7"/>
  <c r="H566" i="7"/>
  <c r="M566" i="7"/>
  <c r="M875" i="7"/>
  <c r="H570" i="7"/>
  <c r="H572" i="7"/>
  <c r="M572" i="7"/>
  <c r="M876" i="7"/>
  <c r="H575" i="7"/>
  <c r="H578" i="7"/>
  <c r="M578" i="7"/>
  <c r="M877" i="7"/>
  <c r="H581" i="7"/>
  <c r="H584" i="7"/>
  <c r="M584" i="7"/>
  <c r="M878" i="7"/>
  <c r="H587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2" i="7"/>
  <c r="C1038" i="7"/>
  <c r="C1040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317" i="7"/>
  <c r="M942" i="7"/>
  <c r="D1077" i="7"/>
  <c r="C1078" i="7"/>
  <c r="M337" i="7"/>
  <c r="M944" i="7"/>
  <c r="D1078" i="7"/>
  <c r="C1079" i="7"/>
  <c r="M347" i="7"/>
  <c r="M945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D1084" i="7"/>
  <c r="C1085" i="7"/>
  <c r="M708" i="7"/>
  <c r="M965" i="7"/>
  <c r="D1085" i="7"/>
  <c r="C1086" i="7"/>
  <c r="M724" i="7"/>
  <c r="M969" i="7"/>
  <c r="D1086" i="7"/>
  <c r="C1087" i="7"/>
  <c r="D1087" i="7"/>
  <c r="C1088" i="7"/>
  <c r="M755" i="7"/>
  <c r="M973" i="7"/>
  <c r="D1088" i="7"/>
  <c r="C1089" i="7"/>
  <c r="M760" i="7"/>
  <c r="M975" i="7"/>
  <c r="D1089" i="7"/>
  <c r="C1090" i="7"/>
  <c r="M743" i="7"/>
  <c r="M977" i="7"/>
  <c r="D1090" i="7"/>
  <c r="C1091" i="7"/>
  <c r="M749" i="7"/>
  <c r="M979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H772" i="7"/>
  <c r="M772" i="7"/>
  <c r="H773" i="7"/>
  <c r="M773" i="7"/>
  <c r="M989" i="7"/>
  <c r="C1031" i="7"/>
  <c r="H774" i="7"/>
  <c r="H775" i="7"/>
  <c r="H778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C475" i="7"/>
  <c r="F240" i="7"/>
  <c r="F241" i="7"/>
  <c r="F932" i="7"/>
  <c r="E240" i="7"/>
  <c r="E241" i="7"/>
  <c r="E932" i="7"/>
  <c r="Q777" i="7"/>
  <c r="Q778" i="7"/>
  <c r="Q779" i="7"/>
  <c r="Q780" i="7"/>
  <c r="A330" i="7"/>
  <c r="A944" i="7"/>
  <c r="A320" i="7"/>
  <c r="A843" i="7"/>
  <c r="A844" i="7"/>
  <c r="I634" i="7"/>
  <c r="H68" i="8"/>
  <c r="I616" i="7"/>
  <c r="I567" i="7"/>
  <c r="I537" i="7"/>
  <c r="I531" i="7"/>
  <c r="I501" i="7"/>
  <c r="I492" i="7"/>
  <c r="I483" i="7"/>
  <c r="P805" i="7"/>
  <c r="P806" i="7"/>
  <c r="P807" i="7"/>
  <c r="P808" i="7"/>
  <c r="P809" i="7"/>
  <c r="P810" i="7"/>
  <c r="P41" i="7"/>
  <c r="O805" i="7"/>
  <c r="O806" i="7"/>
  <c r="O807" i="7"/>
  <c r="O808" i="7"/>
  <c r="O809" i="7"/>
  <c r="O810" i="7"/>
  <c r="O41" i="7"/>
  <c r="N805" i="7"/>
  <c r="N806" i="7"/>
  <c r="N807" i="7"/>
  <c r="N808" i="7"/>
  <c r="N809" i="7"/>
  <c r="N810" i="7"/>
  <c r="N41" i="7"/>
  <c r="M805" i="7"/>
  <c r="M806" i="7"/>
  <c r="M807" i="7"/>
  <c r="M808" i="7"/>
  <c r="M809" i="7"/>
  <c r="M810" i="7"/>
  <c r="M41" i="7"/>
  <c r="P803" i="7"/>
  <c r="P40" i="7"/>
  <c r="O803" i="7"/>
  <c r="O40" i="7"/>
  <c r="N803" i="7"/>
  <c r="N40" i="7"/>
  <c r="M803" i="7"/>
  <c r="M40" i="7"/>
  <c r="P802" i="7"/>
  <c r="P804" i="7"/>
  <c r="P39" i="7"/>
  <c r="O802" i="7"/>
  <c r="O804" i="7"/>
  <c r="O39" i="7"/>
  <c r="N802" i="7"/>
  <c r="N804" i="7"/>
  <c r="N39" i="7"/>
  <c r="M802" i="7"/>
  <c r="M804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992" i="7"/>
  <c r="P34" i="7"/>
  <c r="O774" i="7"/>
  <c r="O775" i="7"/>
  <c r="O776" i="7"/>
  <c r="O782" i="7"/>
  <c r="O783" i="7"/>
  <c r="O992" i="7"/>
  <c r="O34" i="7"/>
  <c r="N774" i="7"/>
  <c r="N775" i="7"/>
  <c r="N776" i="7"/>
  <c r="N782" i="7"/>
  <c r="N783" i="7"/>
  <c r="N992" i="7"/>
  <c r="N34" i="7"/>
  <c r="M774" i="7"/>
  <c r="M775" i="7"/>
  <c r="M776" i="7"/>
  <c r="M782" i="7"/>
  <c r="M783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1" i="7"/>
  <c r="F450" i="7"/>
  <c r="F452" i="7"/>
  <c r="F453" i="7"/>
  <c r="F460" i="7"/>
  <c r="F459" i="7"/>
  <c r="F461" i="7"/>
  <c r="F462" i="7"/>
  <c r="F16" i="7"/>
  <c r="E451" i="7"/>
  <c r="E450" i="7"/>
  <c r="E452" i="7"/>
  <c r="E453" i="7"/>
  <c r="E460" i="7"/>
  <c r="E459" i="7"/>
  <c r="E461" i="7"/>
  <c r="E462" i="7"/>
  <c r="E16" i="7"/>
  <c r="D451" i="7"/>
  <c r="D450" i="7"/>
  <c r="D452" i="7"/>
  <c r="D453" i="7"/>
  <c r="D460" i="7"/>
  <c r="D459" i="7"/>
  <c r="D461" i="7"/>
  <c r="D462" i="7"/>
  <c r="D16" i="7"/>
  <c r="C451" i="7"/>
  <c r="C450" i="7"/>
  <c r="C452" i="7"/>
  <c r="C453" i="7"/>
  <c r="C460" i="7"/>
  <c r="C459" i="7"/>
  <c r="C461" i="7"/>
  <c r="C462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R7" i="5"/>
  <c r="DQ7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BY962" i="3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L55" i="5"/>
  <c r="BZ55" i="5"/>
  <c r="N85" i="5"/>
  <c r="AE85" i="5"/>
  <c r="AV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DD609" i="3"/>
  <c r="BZ609" i="3"/>
  <c r="DF865" i="3"/>
  <c r="CB865" i="3"/>
  <c r="DD882" i="3"/>
  <c r="BZ882" i="3"/>
  <c r="CT61" i="6"/>
  <c r="BM15" i="3"/>
  <c r="BK15" i="3"/>
  <c r="BE15" i="3"/>
  <c r="W15" i="3"/>
  <c r="J15" i="3"/>
  <c r="H15" i="3"/>
  <c r="D15" i="3"/>
  <c r="B15" i="3"/>
  <c r="DQ73" i="6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H900" i="3"/>
  <c r="AR900" i="3"/>
  <c r="G10" i="3"/>
  <c r="G900" i="3"/>
  <c r="K10" i="3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<sst xmlns="http://schemas.openxmlformats.org/spreadsheetml/2006/main" count="4598" uniqueCount="962">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</sst>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5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</cellXfs>
  <cellStyles count="450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01313960"/>
        <c:axId val="-2100814216"/>
      </c:lineChart>
      <c:catAx>
        <c:axId val="-21013139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814216"/>
        <c:crosses val="autoZero"/>
        <c:auto val="1"/>
        <c:lblAlgn val="ctr"/>
        <c:lblOffset val="100"/>
        <c:noMultiLvlLbl val="1"/>
      </c:catAx>
      <c:valAx>
        <c:axId val="-2100814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13139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1958056"/>
        <c:axId val="-2013747896"/>
      </c:lineChart>
      <c:catAx>
        <c:axId val="-2031958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3747896"/>
        <c:crosses val="autoZero"/>
        <c:auto val="1"/>
        <c:lblAlgn val="ctr"/>
        <c:lblOffset val="100"/>
        <c:noMultiLvlLbl val="1"/>
      </c:catAx>
      <c:valAx>
        <c:axId val="-2013747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19580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1902536"/>
        <c:axId val="-2026099896"/>
      </c:barChart>
      <c:catAx>
        <c:axId val="-21019025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26099896"/>
        <c:crosses val="autoZero"/>
        <c:auto val="1"/>
        <c:lblAlgn val="ctr"/>
        <c:lblOffset val="100"/>
        <c:noMultiLvlLbl val="1"/>
      </c:catAx>
      <c:valAx>
        <c:axId val="-20260998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19025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06296"/>
        <c:axId val="-2031259336"/>
      </c:barChart>
      <c:catAx>
        <c:axId val="-2101506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259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259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06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829752"/>
        <c:axId val="-2101580568"/>
      </c:barChart>
      <c:catAx>
        <c:axId val="-210182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80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580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2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89656"/>
        <c:axId val="-2101544216"/>
      </c:barChart>
      <c:catAx>
        <c:axId val="-210168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4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54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8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0830360"/>
        <c:axId val="1817216616"/>
      </c:barChart>
      <c:catAx>
        <c:axId val="177083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721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721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083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83688"/>
        <c:axId val="-2013709064"/>
      </c:barChart>
      <c:catAx>
        <c:axId val="-210148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370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370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83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548346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594065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170369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BZ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customWidth="1"/>
    <col min="20" max="26" width="9.1640625" style="1141" customWidth="1"/>
    <col min="27" max="36" width="9.1640625" style="14" customWidth="1"/>
    <col min="37" max="51" width="9.1640625" style="1141" customWidth="1"/>
    <col min="52" max="53" width="9.1640625" style="14" customWidth="1"/>
    <col min="54" max="67" width="9.1640625" style="1141" customWidth="1"/>
    <col min="68" max="70" width="9.1640625" style="14" customWidth="1"/>
    <col min="71" max="80" width="9" style="1141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796" t="s">
        <v>50</v>
      </c>
      <c r="DN4" s="1796"/>
      <c r="DO4" s="1796"/>
      <c r="DP4" s="1796"/>
      <c r="DQ4" s="1796"/>
      <c r="DR4" s="1796"/>
      <c r="DS4" s="1796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797"/>
      <c r="W270" s="1797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798" t="s">
        <v>665</v>
      </c>
      <c r="AH270" s="1798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797"/>
      <c r="W310" s="1797"/>
      <c r="X310" s="1140"/>
      <c r="Y310" s="1140"/>
      <c r="Z310" s="1140"/>
      <c r="AA310"/>
      <c r="AB310"/>
      <c r="AC310"/>
      <c r="AD310"/>
      <c r="AE310"/>
      <c r="AF310"/>
      <c r="AG310" s="1798"/>
      <c r="AH310" s="1798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AC8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799" t="s">
        <v>50</v>
      </c>
      <c r="DJ4" s="1799"/>
      <c r="DK4" s="1799"/>
      <c r="DL4" s="1799"/>
      <c r="DM4" s="1799"/>
      <c r="DN4" s="1799"/>
      <c r="DO4" s="1799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800" t="s">
        <v>47</v>
      </c>
      <c r="CE6" s="1800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801" t="s">
        <v>48</v>
      </c>
      <c r="DC6" s="1801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802" t="s">
        <v>50</v>
      </c>
      <c r="DR4" s="1802"/>
      <c r="DS4" s="1802"/>
      <c r="DT4" s="1802"/>
      <c r="DU4" s="1802"/>
      <c r="DV4" s="1802"/>
      <c r="DW4" s="1802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803" t="s">
        <v>47</v>
      </c>
      <c r="CE5" s="1803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804" t="s">
        <v>48</v>
      </c>
      <c r="CT5" s="1804"/>
      <c r="CU5" s="1805" t="s">
        <v>47</v>
      </c>
      <c r="CV5" s="1805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801" t="s">
        <v>48</v>
      </c>
      <c r="DK5" s="1801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717" customWidth="1"/>
    <col min="2" max="18" width="8.83203125" style="1717" customWidth="1"/>
    <col min="19" max="19" width="1.6640625" style="1717" customWidth="1"/>
    <col min="20" max="30" width="8.33203125" style="1717" customWidth="1"/>
    <col min="31" max="36" width="8.5" style="1717" customWidth="1"/>
    <col min="37" max="37" width="2.1640625" style="1717" customWidth="1"/>
    <col min="38" max="54" width="8.5" style="1717" customWidth="1"/>
    <col min="55" max="55" width="1.6640625" style="1717" customWidth="1"/>
    <col min="56" max="72" width="8.5" style="1717" customWidth="1"/>
    <col min="73" max="73" width="1.83203125" style="1717" customWidth="1"/>
    <col min="74" max="77" width="8.83203125" style="1717"/>
    <col min="78" max="78" width="10.1640625" style="1717" customWidth="1"/>
    <col min="79" max="81" width="8.83203125" style="1717"/>
    <col min="82" max="98" width="7.6640625" style="1717" customWidth="1"/>
    <col min="99" max="115" width="7.6640625" style="1717" hidden="1" customWidth="1"/>
    <col min="116" max="120" width="8.83203125" style="1717"/>
    <col min="121" max="121" width="10" style="1717" customWidth="1"/>
    <col min="122" max="123" width="8.83203125" style="1717"/>
    <col min="124" max="124" width="81.5" style="1717" customWidth="1"/>
    <col min="125" max="125" width="9.1640625" style="1717" customWidth="1"/>
    <col min="126" max="16384" width="8.83203125" style="1717"/>
  </cols>
  <sheetData>
    <row r="1" spans="1:127" ht="17" customHeight="1">
      <c r="A1" s="1706" t="s">
        <v>483</v>
      </c>
      <c r="B1" s="1707"/>
      <c r="C1" s="1707"/>
      <c r="D1" s="1708" t="s">
        <v>712</v>
      </c>
      <c r="E1" s="1709"/>
      <c r="F1" s="1709"/>
      <c r="G1" s="1710">
        <f>Data!$G$1</f>
        <v>8800</v>
      </c>
      <c r="H1" s="1711" t="str">
        <f>Data!$H$1</f>
        <v>kJ</v>
      </c>
      <c r="I1" s="1707"/>
      <c r="J1" s="1707"/>
      <c r="K1" s="1707"/>
      <c r="L1" s="1707"/>
      <c r="M1" s="1707"/>
      <c r="N1" s="1707"/>
      <c r="O1" s="1707"/>
      <c r="P1" s="1707"/>
      <c r="Q1" s="1707"/>
      <c r="R1" s="1707"/>
      <c r="S1" s="1707"/>
      <c r="T1" s="1707"/>
      <c r="U1" s="1707"/>
      <c r="V1" s="1707"/>
      <c r="W1" s="1707"/>
      <c r="X1" s="1707"/>
      <c r="Y1" s="1707"/>
      <c r="Z1" s="1707"/>
      <c r="AA1" s="1707"/>
      <c r="AB1" s="1707"/>
      <c r="AC1" s="1707"/>
      <c r="AD1" s="1707"/>
      <c r="AE1" s="1707"/>
      <c r="AF1" s="1707"/>
      <c r="AG1" s="1707"/>
      <c r="AH1" s="1707"/>
      <c r="AI1" s="1707"/>
      <c r="AJ1" s="1707"/>
      <c r="AK1" s="1707"/>
      <c r="AL1" s="1707"/>
      <c r="AM1" s="1707"/>
      <c r="AN1" s="1707"/>
      <c r="AO1" s="1707"/>
      <c r="AP1" s="1707"/>
      <c r="AQ1" s="1707"/>
      <c r="AR1" s="1707"/>
      <c r="AS1" s="1707"/>
      <c r="AT1" s="1707"/>
      <c r="AU1" s="1707"/>
      <c r="AV1" s="1707"/>
      <c r="AW1" s="1707"/>
      <c r="AX1" s="1707"/>
      <c r="AY1" s="1707"/>
      <c r="AZ1" s="1707"/>
      <c r="BA1" s="1707"/>
      <c r="BB1" s="1707"/>
      <c r="BC1" s="1707"/>
      <c r="BD1" s="1707"/>
      <c r="BE1" s="1707"/>
      <c r="BF1" s="1707"/>
      <c r="BG1" s="1707"/>
      <c r="BH1" s="1707"/>
      <c r="BI1" s="1707"/>
      <c r="BJ1" s="1707"/>
      <c r="BK1" s="1707"/>
      <c r="BL1" s="1707"/>
      <c r="BM1" s="1707"/>
      <c r="BN1" s="1707"/>
      <c r="BO1" s="1707"/>
      <c r="BP1" s="1707"/>
      <c r="BQ1" s="1707"/>
      <c r="BR1" s="1707"/>
      <c r="BS1" s="1707"/>
      <c r="BT1" s="1707"/>
      <c r="BU1" s="1707"/>
      <c r="BV1" s="1707"/>
      <c r="BW1" s="1707"/>
      <c r="BX1" s="1707"/>
      <c r="BY1" s="1707"/>
      <c r="BZ1" s="1368"/>
      <c r="CA1" s="1368"/>
      <c r="CB1" s="1368"/>
      <c r="CC1" s="1368"/>
      <c r="CD1" s="1712"/>
      <c r="CE1" s="1368"/>
      <c r="CF1" s="1368"/>
      <c r="CG1" s="1368"/>
      <c r="CH1" s="1368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713"/>
      <c r="CU1" s="1368"/>
      <c r="CV1" s="1368"/>
      <c r="CW1" s="1368"/>
      <c r="CX1" s="1368"/>
      <c r="CY1" s="1368"/>
      <c r="CZ1" s="1368"/>
      <c r="DA1" s="1368"/>
      <c r="DB1" s="1368"/>
      <c r="DC1" s="1368"/>
      <c r="DD1" s="1368"/>
      <c r="DE1" s="1368"/>
      <c r="DF1" s="1368"/>
      <c r="DG1" s="1368"/>
      <c r="DH1" s="1368"/>
      <c r="DI1" s="1368"/>
      <c r="DJ1" s="1368"/>
      <c r="DK1" s="1368"/>
      <c r="DL1" s="1714"/>
      <c r="DM1" s="1714"/>
      <c r="DN1" s="1714"/>
      <c r="DO1" s="1714"/>
      <c r="DP1" s="1715"/>
      <c r="DQ1" s="1360"/>
      <c r="DR1" s="1360"/>
      <c r="DS1" s="1716"/>
      <c r="DT1" s="1714"/>
      <c r="DU1" s="1714"/>
      <c r="DV1" s="1369"/>
      <c r="DW1" s="1369"/>
    </row>
    <row r="2" spans="1:127" ht="14" customHeight="1">
      <c r="A2" s="1707"/>
      <c r="B2" s="1707"/>
      <c r="C2" s="1707"/>
      <c r="D2" s="1707"/>
      <c r="E2" s="1707"/>
      <c r="F2" s="1707"/>
      <c r="G2" s="1707"/>
      <c r="H2" s="1707"/>
      <c r="I2" s="1707"/>
      <c r="J2" s="1707"/>
      <c r="K2" s="1707"/>
      <c r="L2" s="1707"/>
      <c r="M2" s="1707"/>
      <c r="N2" s="1707"/>
      <c r="O2" s="1707"/>
      <c r="P2" s="1707"/>
      <c r="Q2" s="1707"/>
      <c r="R2" s="1707"/>
      <c r="S2" s="1707"/>
      <c r="T2" s="1707"/>
      <c r="U2" s="1707"/>
      <c r="V2" s="1707"/>
      <c r="W2" s="1707"/>
      <c r="X2" s="1707"/>
      <c r="Y2" s="1707"/>
      <c r="Z2" s="1707"/>
      <c r="AA2" s="1707"/>
      <c r="AB2" s="1707"/>
      <c r="AC2" s="1707"/>
      <c r="AD2" s="1707"/>
      <c r="AE2" s="1707"/>
      <c r="AF2" s="1707"/>
      <c r="AG2" s="1707"/>
      <c r="AH2" s="1707"/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7"/>
      <c r="AX2" s="1707"/>
      <c r="AY2" s="1707"/>
      <c r="AZ2" s="1707"/>
      <c r="BA2" s="1707"/>
      <c r="BB2" s="1707"/>
      <c r="BC2" s="1707"/>
      <c r="BD2" s="1707"/>
      <c r="BE2" s="1707"/>
      <c r="BF2" s="1707"/>
      <c r="BG2" s="1707"/>
      <c r="BH2" s="1707"/>
      <c r="BI2" s="1707"/>
      <c r="BJ2" s="1707"/>
      <c r="BK2" s="1707"/>
      <c r="BL2" s="1707"/>
      <c r="BM2" s="1707"/>
      <c r="BN2" s="1707"/>
      <c r="BO2" s="1707"/>
      <c r="BP2" s="1707"/>
      <c r="BQ2" s="1707"/>
      <c r="BR2" s="1707"/>
      <c r="BS2" s="1707"/>
      <c r="BT2" s="1707"/>
      <c r="BU2" s="1707"/>
      <c r="BV2" s="1707"/>
      <c r="BW2" s="1707"/>
      <c r="BX2" s="1707"/>
      <c r="BY2" s="1707"/>
      <c r="BZ2" s="1375"/>
      <c r="CA2" s="1375"/>
      <c r="CB2" s="1375"/>
      <c r="CC2" s="1375"/>
      <c r="CD2" s="1718" t="s">
        <v>110</v>
      </c>
      <c r="CE2" s="1375"/>
      <c r="CF2" s="1375"/>
      <c r="CG2" s="1375"/>
      <c r="CH2" s="1375"/>
      <c r="CI2" s="1375"/>
      <c r="CJ2" s="1375"/>
      <c r="CK2" s="1375"/>
      <c r="CL2" s="1375"/>
      <c r="CM2" s="1375"/>
      <c r="CN2" s="1375"/>
      <c r="CO2" s="1375"/>
      <c r="CP2" s="1375"/>
      <c r="CQ2" s="1375"/>
      <c r="CR2" s="1375"/>
      <c r="CS2" s="1375"/>
      <c r="CT2" s="1719"/>
      <c r="CU2" s="1375" t="s">
        <v>111</v>
      </c>
      <c r="CV2" s="1375"/>
      <c r="CW2" s="1375"/>
      <c r="CX2" s="1375"/>
      <c r="CY2" s="1375"/>
      <c r="CZ2" s="1375"/>
      <c r="DA2" s="1375"/>
      <c r="DB2" s="1375"/>
      <c r="DC2" s="1375"/>
      <c r="DD2" s="1375"/>
      <c r="DE2" s="1375"/>
      <c r="DF2" s="1375"/>
      <c r="DG2" s="1375"/>
      <c r="DH2" s="1375"/>
      <c r="DI2" s="1375"/>
      <c r="DJ2" s="1375"/>
      <c r="DK2" s="1375"/>
      <c r="DL2" s="1357"/>
      <c r="DM2" s="1357"/>
      <c r="DN2" s="1357"/>
      <c r="DO2" s="1357"/>
      <c r="DP2" s="1720" t="s">
        <v>484</v>
      </c>
      <c r="DQ2" s="1721"/>
      <c r="DR2" s="1721"/>
      <c r="DS2" s="1722"/>
      <c r="DT2" s="1357"/>
      <c r="DU2" s="1357"/>
      <c r="DV2" s="1376"/>
      <c r="DW2" s="1376"/>
    </row>
    <row r="3" spans="1:127" ht="14" customHeight="1">
      <c r="A3" s="1723" t="s">
        <v>34</v>
      </c>
      <c r="B3" s="1645" t="str">
        <f>Data!B3</f>
        <v>V Poor</v>
      </c>
      <c r="C3" s="1645" t="str">
        <f>Data!C3</f>
        <v>V Poor</v>
      </c>
      <c r="D3" s="1645" t="str">
        <f>Data!D3</f>
        <v>V Poor</v>
      </c>
      <c r="E3" s="1645" t="str">
        <f>Data!E3</f>
        <v>V Poor</v>
      </c>
      <c r="F3" s="1645" t="str">
        <f>Data!F3</f>
        <v>V Poor</v>
      </c>
      <c r="G3" s="1645" t="str">
        <f>Data!G3</f>
        <v>V Poor</v>
      </c>
      <c r="H3" s="1645" t="str">
        <f>Data!H3</f>
        <v>V Poor</v>
      </c>
      <c r="I3" s="1645" t="str">
        <f>Data!I3</f>
        <v>V Poor</v>
      </c>
      <c r="J3" s="1645" t="str">
        <f>Data!J3</f>
        <v>V Poor</v>
      </c>
      <c r="K3" s="1645" t="str">
        <f>Data!K3</f>
        <v>V Poor</v>
      </c>
      <c r="L3" s="1645">
        <f>Data!L3</f>
        <v>0</v>
      </c>
      <c r="M3" s="1645">
        <f>Data!M3</f>
        <v>0</v>
      </c>
      <c r="N3" s="1645">
        <f>Data!N3</f>
        <v>0</v>
      </c>
      <c r="O3" s="1645">
        <f>Data!O3</f>
        <v>0</v>
      </c>
      <c r="P3" s="1645">
        <f>Data!P3</f>
        <v>0</v>
      </c>
      <c r="Q3" s="1645">
        <f>Data!Q3</f>
        <v>0</v>
      </c>
      <c r="R3" s="1645">
        <f>Data!R3</f>
        <v>0</v>
      </c>
      <c r="S3" s="1326"/>
      <c r="T3" s="1645" t="str">
        <f>Data!T3</f>
        <v>Poor</v>
      </c>
      <c r="U3" s="1645" t="str">
        <f>Data!U3</f>
        <v>Poor</v>
      </c>
      <c r="V3" s="1645" t="str">
        <f>Data!V3</f>
        <v>Poor</v>
      </c>
      <c r="W3" s="1645" t="str">
        <f>Data!W3</f>
        <v>Poor</v>
      </c>
      <c r="X3" s="1645" t="str">
        <f>Data!X3</f>
        <v>Poor</v>
      </c>
      <c r="Y3" s="1645" t="str">
        <f>Data!Y3</f>
        <v>Poor</v>
      </c>
      <c r="Z3" s="1645" t="str">
        <f>Data!Z3</f>
        <v>Poor</v>
      </c>
      <c r="AA3" s="1645" t="str">
        <f>Data!AA3</f>
        <v>Poor</v>
      </c>
      <c r="AB3" s="1645" t="str">
        <f>Data!AB3</f>
        <v>Poor</v>
      </c>
      <c r="AC3" s="1645" t="str">
        <f>Data!AC3</f>
        <v>Poor</v>
      </c>
      <c r="AD3" s="1645">
        <f>Data!AD3</f>
        <v>0</v>
      </c>
      <c r="AE3" s="1645">
        <f>Data!AE3</f>
        <v>0</v>
      </c>
      <c r="AF3" s="1645">
        <f>Data!AF3</f>
        <v>0</v>
      </c>
      <c r="AG3" s="1645">
        <f>Data!AG3</f>
        <v>0</v>
      </c>
      <c r="AH3" s="1645">
        <f>Data!AH3</f>
        <v>0</v>
      </c>
      <c r="AI3" s="1645">
        <f>Data!AI3</f>
        <v>0</v>
      </c>
      <c r="AJ3" s="1645">
        <f>Data!AJ3</f>
        <v>0</v>
      </c>
      <c r="AK3" s="1326"/>
      <c r="AL3" s="1645" t="str">
        <f>Data!AL3</f>
        <v>Middle</v>
      </c>
      <c r="AM3" s="1645" t="str">
        <f>Data!AM3</f>
        <v>Middle</v>
      </c>
      <c r="AN3" s="1645" t="str">
        <f>Data!AN3</f>
        <v>Middle</v>
      </c>
      <c r="AO3" s="1645" t="str">
        <f>Data!AO3</f>
        <v>Middle</v>
      </c>
      <c r="AP3" s="1645" t="str">
        <f>Data!AP3</f>
        <v>Middle</v>
      </c>
      <c r="AQ3" s="1645" t="str">
        <f>Data!AQ3</f>
        <v>Middle</v>
      </c>
      <c r="AR3" s="1645" t="str">
        <f>Data!AR3</f>
        <v>Middle</v>
      </c>
      <c r="AS3" s="1645" t="str">
        <f>Data!AS3</f>
        <v>Middle</v>
      </c>
      <c r="AT3" s="1645" t="str">
        <f>Data!AT3</f>
        <v>Middle</v>
      </c>
      <c r="AU3" s="1645" t="str">
        <f>Data!AU3</f>
        <v>Middle</v>
      </c>
      <c r="AV3" s="1645">
        <f>Data!AV3</f>
        <v>0</v>
      </c>
      <c r="AW3" s="1645">
        <f>Data!AW3</f>
        <v>0</v>
      </c>
      <c r="AX3" s="1645">
        <f>Data!AX3</f>
        <v>0</v>
      </c>
      <c r="AY3" s="1645">
        <f>Data!AY3</f>
        <v>0</v>
      </c>
      <c r="AZ3" s="1645">
        <f>Data!AZ3</f>
        <v>0</v>
      </c>
      <c r="BA3" s="1645">
        <f>Data!BA3</f>
        <v>0</v>
      </c>
      <c r="BB3" s="1645">
        <f>Data!BB3</f>
        <v>0</v>
      </c>
      <c r="BC3" s="1326"/>
      <c r="BD3" s="1645" t="str">
        <f>Data!BD3</f>
        <v>B Off</v>
      </c>
      <c r="BE3" s="1645" t="str">
        <f>Data!BE3</f>
        <v>B Off</v>
      </c>
      <c r="BF3" s="1645" t="str">
        <f>Data!BF3</f>
        <v>B Off</v>
      </c>
      <c r="BG3" s="1645" t="str">
        <f>Data!BG3</f>
        <v>B Off</v>
      </c>
      <c r="BH3" s="1645" t="str">
        <f>Data!BH3</f>
        <v>B Off</v>
      </c>
      <c r="BI3" s="1645" t="str">
        <f>Data!BI3</f>
        <v>B Off</v>
      </c>
      <c r="BJ3" s="1645" t="str">
        <f>Data!BJ3</f>
        <v>B Off</v>
      </c>
      <c r="BK3" s="1645" t="str">
        <f>Data!BK3</f>
        <v>B Off</v>
      </c>
      <c r="BL3" s="1645" t="str">
        <f>Data!BL3</f>
        <v>B Off</v>
      </c>
      <c r="BM3" s="1645" t="str">
        <f>Data!BM3</f>
        <v>B Off</v>
      </c>
      <c r="BN3" s="1645">
        <f>Data!BN3</f>
        <v>0</v>
      </c>
      <c r="BO3" s="1645">
        <f>Data!BO3</f>
        <v>0</v>
      </c>
      <c r="BP3" s="1645">
        <f>Data!BP3</f>
        <v>0</v>
      </c>
      <c r="BQ3" s="1645">
        <f>Data!BQ3</f>
        <v>0</v>
      </c>
      <c r="BR3" s="1645">
        <f>Data!BR3</f>
        <v>0</v>
      </c>
      <c r="BS3" s="1645">
        <f>Data!BS3</f>
        <v>0</v>
      </c>
      <c r="BT3" s="1645">
        <f>Data!BT3</f>
        <v>0</v>
      </c>
      <c r="BU3" s="1326"/>
      <c r="BV3" s="1646" t="s">
        <v>112</v>
      </c>
      <c r="BW3" s="1647"/>
      <c r="BX3" s="1647"/>
      <c r="BY3" s="1648"/>
      <c r="BZ3" s="1724" t="s">
        <v>113</v>
      </c>
      <c r="CA3" s="1725"/>
      <c r="CB3" s="1725"/>
      <c r="CC3" s="1726"/>
      <c r="CD3" s="1379"/>
      <c r="CE3" s="1379"/>
      <c r="CF3" s="1379"/>
      <c r="CG3" s="1379"/>
      <c r="CH3" s="1379"/>
      <c r="CI3" s="1379"/>
      <c r="CJ3" s="1379"/>
      <c r="CK3" s="1379"/>
      <c r="CL3" s="1379"/>
      <c r="CM3" s="1379"/>
      <c r="CN3" s="1379"/>
      <c r="CO3" s="1379"/>
      <c r="CP3" s="1379"/>
      <c r="CQ3" s="1379"/>
      <c r="CR3" s="1379"/>
      <c r="CS3" s="1379"/>
      <c r="CT3" s="1649"/>
      <c r="CU3" s="1379"/>
      <c r="CV3" s="1379"/>
      <c r="CW3" s="1379"/>
      <c r="CX3" s="1379"/>
      <c r="CY3" s="1379"/>
      <c r="CZ3" s="1379"/>
      <c r="DA3" s="1379"/>
      <c r="DB3" s="1379"/>
      <c r="DC3" s="1379"/>
      <c r="DD3" s="1379"/>
      <c r="DE3" s="1379"/>
      <c r="DF3" s="1379"/>
      <c r="DG3" s="1379"/>
      <c r="DH3" s="1379"/>
      <c r="DI3" s="1379"/>
      <c r="DJ3" s="1379"/>
      <c r="DK3" s="1379"/>
      <c r="DL3" s="1727" t="s">
        <v>46</v>
      </c>
      <c r="DM3" s="1386"/>
      <c r="DN3" s="1386"/>
      <c r="DO3" s="1386"/>
      <c r="DP3" s="1650" t="s">
        <v>485</v>
      </c>
      <c r="DQ3" s="1651"/>
      <c r="DR3" s="1652"/>
      <c r="DS3" s="1653"/>
      <c r="DT3" s="1357"/>
      <c r="DU3" s="1357"/>
      <c r="DV3" s="1376"/>
      <c r="DW3" s="1376"/>
    </row>
    <row r="4" spans="1:127" ht="26" customHeight="1">
      <c r="A4" s="1728" t="s">
        <v>114</v>
      </c>
      <c r="B4" s="1654" t="str">
        <f>IF(WB!T4="","",WB!T4)</f>
        <v>Ntambanana</v>
      </c>
      <c r="C4" s="1352" t="str">
        <f>IF(WB!U4="","",WB!U4)</f>
        <v>Mkhanyakude</v>
      </c>
      <c r="D4" s="1352" t="str">
        <f>IF(WB!V4="","",WB!V4)</f>
        <v>Mkhanyakude</v>
      </c>
      <c r="E4" s="1352" t="str">
        <f>IF(WB!W4="","",WB!W4)</f>
        <v>uLundi</v>
      </c>
      <c r="F4" s="1352" t="str">
        <f>IF(WB!X4="","",WB!X4)</f>
        <v>Mandeni</v>
      </c>
      <c r="G4" s="1352" t="str">
        <f>IF(WB!Y4="","",WB!Y4)</f>
        <v>Ugu</v>
      </c>
      <c r="H4" s="1352" t="str">
        <f>IF(WB!Z4="","",WB!Z4)</f>
        <v>Nkandla</v>
      </c>
      <c r="I4" s="1352" t="str">
        <f>IF(WB!AA4="","",WB!AA4)</f>
        <v>Ndwedwe</v>
      </c>
      <c r="J4" s="1352" t="str">
        <f>IF(WB!AB4="","",WB!AB4)</f>
        <v>Ndwedwe</v>
      </c>
      <c r="K4" s="1352" t="str">
        <f>IF(WB!AC4="","",WB!AC4)</f>
        <v>Mzinyathi</v>
      </c>
      <c r="L4" s="1352" t="str">
        <f>IF(WB!AD4="","",WB!AD4)</f>
        <v/>
      </c>
      <c r="M4" s="1352" t="str">
        <f>IF(WB!AE4="","",WB!AE4)</f>
        <v/>
      </c>
      <c r="N4" s="1352" t="str">
        <f>IF(WB!AF4="","",WB!AF4)</f>
        <v/>
      </c>
      <c r="O4" s="1352" t="str">
        <f>IF(WB!AG4="","",WB!AG4)</f>
        <v/>
      </c>
      <c r="P4" s="1352" t="str">
        <f>IF(WB!AH4="","",WB!AH4)</f>
        <v/>
      </c>
      <c r="Q4" s="1352" t="str">
        <f>IF(WB!AI4="","",WB!AI4)</f>
        <v/>
      </c>
      <c r="R4" s="1352" t="str">
        <f>IF(WB!AJ4="","",WB!AJ4)</f>
        <v/>
      </c>
      <c r="S4" s="1326"/>
      <c r="T4" s="1352" t="str">
        <f>IF(WB!AK4="","",WB!AK4)</f>
        <v>Ntambanana</v>
      </c>
      <c r="U4" s="1352" t="str">
        <f>IF(WB!AL4="","",WB!AL4)</f>
        <v>Mkhanyakude</v>
      </c>
      <c r="V4" s="1352" t="str">
        <f>IF(WB!AM4="","",WB!AM4)</f>
        <v>Mkhanyakude</v>
      </c>
      <c r="W4" s="1352" t="str">
        <f>IF(WB!AN4="","",WB!AN4)</f>
        <v>uLundi</v>
      </c>
      <c r="X4" s="1352" t="str">
        <f>IF(WB!AO4="","",WB!AO4)</f>
        <v>Mandeni</v>
      </c>
      <c r="Y4" s="1352" t="str">
        <f>IF(WB!AP4="","",WB!AP4)</f>
        <v>Ugu</v>
      </c>
      <c r="Z4" s="1352" t="str">
        <f>IF(WB!AQ4="","",WB!AQ4)</f>
        <v>Nkandla</v>
      </c>
      <c r="AA4" s="1352" t="str">
        <f>IF(WB!AR4="","",WB!AR4)</f>
        <v>Ndwedwe</v>
      </c>
      <c r="AB4" s="1352" t="str">
        <f>IF(WB!AS4="","",WB!AS4)</f>
        <v>Ndwedwe</v>
      </c>
      <c r="AC4" s="1352" t="str">
        <f>IF(WB!AT4="","",WB!AT4)</f>
        <v>Mzinyathi</v>
      </c>
      <c r="AD4" s="1352" t="str">
        <f>IF(WB!AU4="","",WB!AU4)</f>
        <v/>
      </c>
      <c r="AE4" s="1352" t="str">
        <f>IF(WB!AV4="","",WB!AV4)</f>
        <v/>
      </c>
      <c r="AF4" s="1352" t="str">
        <f>IF(WB!AW4="","",WB!AW4)</f>
        <v/>
      </c>
      <c r="AG4" s="1352" t="str">
        <f>IF(WB!AX4="","",WB!AX4)</f>
        <v/>
      </c>
      <c r="AH4" s="1352" t="str">
        <f>IF(WB!AY4="","",WB!AY4)</f>
        <v/>
      </c>
      <c r="AI4" s="1352" t="str">
        <f>IF(WB!AZ4="","",WB!AZ4)</f>
        <v/>
      </c>
      <c r="AJ4" s="1352" t="str">
        <f>IF(WB!BA4="","",WB!BA4)</f>
        <v/>
      </c>
      <c r="AK4" s="1326"/>
      <c r="AL4" s="1352" t="str">
        <f>IF(WB!BB4="","",WB!BB4)</f>
        <v>Ntambanana</v>
      </c>
      <c r="AM4" s="1352" t="str">
        <f>IF(WB!BC4="","",WB!BC4)</f>
        <v>Mkhanyakude</v>
      </c>
      <c r="AN4" s="1352" t="str">
        <f>IF(WB!BD4="","",WB!BD4)</f>
        <v>Mkhanyakude</v>
      </c>
      <c r="AO4" s="1352" t="str">
        <f>IF(WB!BE4="","",WB!BE4)</f>
        <v>uLundi</v>
      </c>
      <c r="AP4" s="1352" t="str">
        <f>IF(WB!BF4="","",WB!BF4)</f>
        <v>Mandeni</v>
      </c>
      <c r="AQ4" s="1352" t="str">
        <f>IF(WB!BG4="","",WB!BG4)</f>
        <v>Ugu</v>
      </c>
      <c r="AR4" s="1352" t="str">
        <f>IF(WB!BH4="","",WB!BH4)</f>
        <v>Nkandla</v>
      </c>
      <c r="AS4" s="1352" t="str">
        <f>IF(WB!BI4="","",WB!BI4)</f>
        <v>Ndwedwe</v>
      </c>
      <c r="AT4" s="1352" t="str">
        <f>IF(WB!BJ4="","",WB!BJ4)</f>
        <v>Ndwedwe</v>
      </c>
      <c r="AU4" s="1352" t="str">
        <f>IF(WB!BK4="","",WB!BK4)</f>
        <v>Mzinyathi</v>
      </c>
      <c r="AV4" s="1352" t="str">
        <f>IF(WB!BL4="","",WB!BL4)</f>
        <v/>
      </c>
      <c r="AW4" s="1352" t="str">
        <f>IF(WB!BM4="","",WB!BM4)</f>
        <v/>
      </c>
      <c r="AX4" s="1352" t="str">
        <f>IF(WB!BN4="","",WB!BN4)</f>
        <v/>
      </c>
      <c r="AY4" s="1352" t="str">
        <f>IF(WB!BO4="","",WB!BO4)</f>
        <v/>
      </c>
      <c r="AZ4" s="1352" t="str">
        <f>IF(WB!BP4="","",WB!BP4)</f>
        <v/>
      </c>
      <c r="BA4" s="1352" t="str">
        <f>IF(WB!BQ4="","",WB!BQ4)</f>
        <v/>
      </c>
      <c r="BB4" s="1352" t="str">
        <f>IF(WB!BR4="","",WB!BR4)</f>
        <v/>
      </c>
      <c r="BC4" s="1326"/>
      <c r="BD4" s="1352" t="str">
        <f>IF(WB!BS4="","",WB!BS4)</f>
        <v>Ntambanana</v>
      </c>
      <c r="BE4" s="1352" t="str">
        <f>IF(WB!BT4="","",WB!BT4)</f>
        <v>Mkhanyakude</v>
      </c>
      <c r="BF4" s="1352" t="str">
        <f>IF(WB!BU4="","",WB!BU4)</f>
        <v>Mkhanyakude</v>
      </c>
      <c r="BG4" s="1352" t="str">
        <f>IF(WB!BV4="","",WB!BV4)</f>
        <v>uLundi</v>
      </c>
      <c r="BH4" s="1352" t="str">
        <f>IF(WB!BW4="","",WB!BW4)</f>
        <v>Mandeni</v>
      </c>
      <c r="BI4" s="1352" t="str">
        <f>IF(WB!BX4="","",WB!BX4)</f>
        <v>Ugu</v>
      </c>
      <c r="BJ4" s="1352" t="str">
        <f>IF(WB!BY4="","",WB!BY4)</f>
        <v>Nkandla</v>
      </c>
      <c r="BK4" s="1352" t="str">
        <f>IF(WB!BZ4="","",WB!BZ4)</f>
        <v>Ndwedwe</v>
      </c>
      <c r="BL4" s="1352" t="str">
        <f>IF(WB!CA4="","",WB!CA4)</f>
        <v>Ndwedwe</v>
      </c>
      <c r="BM4" s="1352" t="str">
        <f>IF(WB!CB4="","",WB!CB4)</f>
        <v>Mzinyathi</v>
      </c>
      <c r="BN4" s="1352" t="str">
        <f>IF(WB!CC4="","",WB!CC4)</f>
        <v/>
      </c>
      <c r="BO4" s="1352" t="str">
        <f>IF(WB!CD4="","",WB!CD4)</f>
        <v/>
      </c>
      <c r="BP4" s="1352" t="str">
        <f>IF(WB!CE4="","",WB!CE4)</f>
        <v/>
      </c>
      <c r="BQ4" s="1352" t="str">
        <f>IF(WB!CF4="","",WB!CF4)</f>
        <v/>
      </c>
      <c r="BR4" s="1352" t="str">
        <f>IF(WB!CG4="","",WB!CG4)</f>
        <v/>
      </c>
      <c r="BS4" s="1352" t="str">
        <f>IF(WB!CH4="","",WB!CH4)</f>
        <v/>
      </c>
      <c r="BT4" s="1352" t="str">
        <f>IF(WB!CI4="","",WB!CI4)</f>
        <v/>
      </c>
      <c r="BU4" s="1326"/>
      <c r="BV4" s="1327" t="str">
        <f>Data!BV4</f>
        <v>'Very Poor'</v>
      </c>
      <c r="BW4" s="1327" t="str">
        <f>Data!BW4</f>
        <v>'Poor'</v>
      </c>
      <c r="BX4" s="1327" t="str">
        <f>Data!BX4</f>
        <v>'Middle'</v>
      </c>
      <c r="BY4" s="1655" t="str">
        <f>Data!BY4</f>
        <v>'Better-Off'</v>
      </c>
      <c r="BZ4" s="1729" t="str">
        <f>WB!B9</f>
        <v>VP</v>
      </c>
      <c r="CA4" s="1730" t="str">
        <f>WB!B10</f>
        <v>P</v>
      </c>
      <c r="CB4" s="1730" t="str">
        <f>WB!B11</f>
        <v>M</v>
      </c>
      <c r="CC4" s="1378" t="str">
        <f>WB!B12</f>
        <v>BO</v>
      </c>
      <c r="CD4" s="1656" t="s">
        <v>603</v>
      </c>
      <c r="CE4" s="165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58"/>
      <c r="CG4" s="1659"/>
      <c r="CH4" s="1659"/>
      <c r="CI4" s="1659"/>
      <c r="CJ4" s="1659"/>
      <c r="CK4" s="1659"/>
      <c r="CL4" s="1659"/>
      <c r="CM4" s="1659"/>
      <c r="CN4" s="1659"/>
      <c r="CO4" s="1659"/>
      <c r="CP4" s="1659"/>
      <c r="CQ4" s="1659"/>
      <c r="CR4" s="1659"/>
      <c r="CS4" s="1659"/>
      <c r="CT4" s="1660"/>
      <c r="CU4" s="1659"/>
      <c r="CV4" s="1659"/>
      <c r="CW4" s="1659"/>
      <c r="CX4" s="1659"/>
      <c r="CY4" s="1659"/>
      <c r="CZ4" s="1659"/>
      <c r="DA4" s="1659"/>
      <c r="DB4" s="1659"/>
      <c r="DC4" s="1659"/>
      <c r="DD4" s="1659"/>
      <c r="DE4" s="1659"/>
      <c r="DF4" s="1659"/>
      <c r="DG4" s="1659"/>
      <c r="DH4" s="1659"/>
      <c r="DI4" s="1659"/>
      <c r="DJ4" s="1659"/>
      <c r="DK4" s="1659"/>
      <c r="DL4" s="1731" t="str">
        <f>BZ4</f>
        <v>VP</v>
      </c>
      <c r="DM4" s="1421" t="str">
        <f>CA4</f>
        <v>P</v>
      </c>
      <c r="DN4" s="1421" t="str">
        <f>CB4</f>
        <v>M</v>
      </c>
      <c r="DO4" s="1421" t="str">
        <f>CC4</f>
        <v>BO</v>
      </c>
      <c r="DP4" s="1661" t="str">
        <f>DL4</f>
        <v>VP</v>
      </c>
      <c r="DQ4" s="1662" t="str">
        <f>DM4</f>
        <v>P</v>
      </c>
      <c r="DR4" s="1663" t="str">
        <f>DN4</f>
        <v>M</v>
      </c>
      <c r="DS4" s="1664" t="str">
        <f>DO4</f>
        <v>BO</v>
      </c>
      <c r="DT4" s="1665" t="s">
        <v>49</v>
      </c>
      <c r="DU4" s="1386"/>
      <c r="DV4" s="1381"/>
    </row>
    <row r="5" spans="1:127" s="1738" customFormat="1" ht="26" customHeight="1">
      <c r="A5" s="1732" t="s">
        <v>119</v>
      </c>
      <c r="B5" s="1666" t="str">
        <f>IF(WB!T5="","",WB!T5)</f>
        <v>Debe</v>
      </c>
      <c r="C5" s="1666" t="str">
        <f>IF(WB!U5="","",WB!U5)</f>
        <v>Kwamahlungula</v>
      </c>
      <c r="D5" s="1666" t="str">
        <f>IF(WB!V5="","",WB!V5)</f>
        <v>Bangizwe</v>
      </c>
      <c r="E5" s="1666" t="str">
        <f>IF(WB!W5="","",WB!W5)</f>
        <v>Mawulashe</v>
      </c>
      <c r="F5" s="1666" t="str">
        <f>IF(WB!X5="","",WB!X5)</f>
        <v>Abeshumi</v>
      </c>
      <c r="G5" s="1666" t="str">
        <f>IF(WB!Y5="","",WB!Y5)</f>
        <v>Mkhunya</v>
      </c>
      <c r="H5" s="1666" t="str">
        <f>IF(WB!Z5="","",WB!Z5)</f>
        <v>Chwezi</v>
      </c>
      <c r="I5" s="1666" t="str">
        <f>IF(WB!AA5="","",WB!AA5)</f>
        <v>Abejuthi</v>
      </c>
      <c r="J5" s="1666" t="str">
        <f>IF(WB!AB5="","",WB!AB5)</f>
        <v>Nobanga</v>
      </c>
      <c r="K5" s="1667" t="str">
        <f>IF(WB!AC5="","",WB!AC5)</f>
        <v>Mkhize</v>
      </c>
      <c r="L5" s="1667" t="str">
        <f>IF(WB!AD5="","",WB!AD5)</f>
        <v/>
      </c>
      <c r="M5" s="1667" t="str">
        <f>IF(WB!AE5="","",WB!AE5)</f>
        <v/>
      </c>
      <c r="N5" s="1667" t="str">
        <f>IF(WB!AF5="","",WB!AF5)</f>
        <v/>
      </c>
      <c r="O5" s="1667" t="str">
        <f>IF(WB!AG5="","",WB!AG5)</f>
        <v/>
      </c>
      <c r="P5" s="1667" t="str">
        <f>IF(WB!AH5="","",WB!AH5)</f>
        <v/>
      </c>
      <c r="Q5" s="1667" t="str">
        <f>IF(WB!AI5="","",WB!AI5)</f>
        <v/>
      </c>
      <c r="R5" s="1667" t="str">
        <f>IF(WB!AJ5="","",WB!AJ5)</f>
        <v/>
      </c>
      <c r="S5" s="1668"/>
      <c r="T5" s="1666" t="str">
        <f>IF(WB!AK5="","",WB!AK5)</f>
        <v>Debe</v>
      </c>
      <c r="U5" s="1666" t="str">
        <f>IF(WB!AL5="","",WB!AL5)</f>
        <v>Kwamahlungula</v>
      </c>
      <c r="V5" s="1666" t="str">
        <f>IF(WB!AM5="","",WB!AM5)</f>
        <v>Bangizwe</v>
      </c>
      <c r="W5" s="1666" t="str">
        <f>IF(WB!AN5="","",WB!AN5)</f>
        <v>Mawulashe</v>
      </c>
      <c r="X5" s="1666" t="str">
        <f>IF(WB!AO5="","",WB!AO5)</f>
        <v>Abeshumi</v>
      </c>
      <c r="Y5" s="1666" t="str">
        <f>IF(WB!AP5="","",WB!AP5)</f>
        <v>Mkhunya</v>
      </c>
      <c r="Z5" s="1666" t="str">
        <f>IF(WB!AQ5="","",WB!AQ5)</f>
        <v>Chwezi</v>
      </c>
      <c r="AA5" s="1666" t="str">
        <f>IF(WB!AR5="","",WB!AR5)</f>
        <v>Abejuthi</v>
      </c>
      <c r="AB5" s="1666" t="str">
        <f>IF(WB!AS5="","",WB!AS5)</f>
        <v>Nobanga</v>
      </c>
      <c r="AC5" s="1666" t="str">
        <f>IF(WB!AT5="","",WB!AT5)</f>
        <v>Mkhize</v>
      </c>
      <c r="AD5" s="1666" t="str">
        <f>IF(WB!AU5="","",WB!AU5)</f>
        <v/>
      </c>
      <c r="AE5" s="1666" t="str">
        <f>IF(WB!AV5="","",WB!AV5)</f>
        <v/>
      </c>
      <c r="AF5" s="1666" t="str">
        <f>IF(WB!AW5="","",WB!AW5)</f>
        <v/>
      </c>
      <c r="AG5" s="1666" t="str">
        <f>IF(WB!AX5="","",WB!AX5)</f>
        <v/>
      </c>
      <c r="AH5" s="1666" t="str">
        <f>IF(WB!AY5="","",WB!AY5)</f>
        <v/>
      </c>
      <c r="AI5" s="1666" t="str">
        <f>IF(WB!AZ5="","",WB!AZ5)</f>
        <v/>
      </c>
      <c r="AJ5" s="1666" t="str">
        <f>IF(WB!BA5="","",WB!BA5)</f>
        <v/>
      </c>
      <c r="AK5" s="1668"/>
      <c r="AL5" s="1666" t="str">
        <f>IF(WB!BB5="","",WB!BB5)</f>
        <v>Debe</v>
      </c>
      <c r="AM5" s="1666" t="str">
        <f>IF(WB!BC5="","",WB!BC5)</f>
        <v>Kwamahlungula</v>
      </c>
      <c r="AN5" s="1666" t="str">
        <f>IF(WB!BD5="","",WB!BD5)</f>
        <v>Bangizwe</v>
      </c>
      <c r="AO5" s="1666" t="str">
        <f>IF(WB!BE5="","",WB!BE5)</f>
        <v>Mawulashe</v>
      </c>
      <c r="AP5" s="1666" t="str">
        <f>IF(WB!BF5="","",WB!BF5)</f>
        <v>Abeshumi</v>
      </c>
      <c r="AQ5" s="1666" t="str">
        <f>IF(WB!BG5="","",WB!BG5)</f>
        <v>Mkhunya</v>
      </c>
      <c r="AR5" s="1666" t="str">
        <f>IF(WB!BH5="","",WB!BH5)</f>
        <v>Chwezi</v>
      </c>
      <c r="AS5" s="1666" t="str">
        <f>IF(WB!BI5="","",WB!BI5)</f>
        <v>Abejuthi</v>
      </c>
      <c r="AT5" s="1666" t="str">
        <f>IF(WB!BJ5="","",WB!BJ5)</f>
        <v>Nobanga</v>
      </c>
      <c r="AU5" s="1666" t="str">
        <f>IF(WB!BK5="","",WB!BK5)</f>
        <v>Mkhize</v>
      </c>
      <c r="AV5" s="1666" t="str">
        <f>IF(WB!BL5="","",WB!BL5)</f>
        <v/>
      </c>
      <c r="AW5" s="1666" t="str">
        <f>IF(WB!BM5="","",WB!BM5)</f>
        <v/>
      </c>
      <c r="AX5" s="1666" t="str">
        <f>IF(WB!BN5="","",WB!BN5)</f>
        <v/>
      </c>
      <c r="AY5" s="1666" t="str">
        <f>IF(WB!BO5="","",WB!BO5)</f>
        <v/>
      </c>
      <c r="AZ5" s="1666" t="str">
        <f>IF(WB!BP5="","",WB!BP5)</f>
        <v/>
      </c>
      <c r="BA5" s="1666" t="str">
        <f>IF(WB!BQ5="","",WB!BQ5)</f>
        <v/>
      </c>
      <c r="BB5" s="1666" t="str">
        <f>IF(WB!BR5="","",WB!BR5)</f>
        <v/>
      </c>
      <c r="BC5" s="1668"/>
      <c r="BD5" s="1666" t="str">
        <f>IF(WB!BS5="","",WB!BS5)</f>
        <v>Debe</v>
      </c>
      <c r="BE5" s="1666" t="str">
        <f>IF(WB!BT5="","",WB!BT5)</f>
        <v>Kwamahlungula</v>
      </c>
      <c r="BF5" s="1666" t="str">
        <f>IF(WB!BU5="","",WB!BU5)</f>
        <v>Bangizwe</v>
      </c>
      <c r="BG5" s="1666" t="str">
        <f>IF(WB!BV5="","",WB!BV5)</f>
        <v>Mawulashe</v>
      </c>
      <c r="BH5" s="1666" t="str">
        <f>IF(WB!BW5="","",WB!BW5)</f>
        <v>Abeshumi</v>
      </c>
      <c r="BI5" s="1666" t="str">
        <f>IF(WB!BX5="","",WB!BX5)</f>
        <v>Mkhunya</v>
      </c>
      <c r="BJ5" s="1666" t="str">
        <f>IF(WB!BY5="","",WB!BY5)</f>
        <v>Chwezi</v>
      </c>
      <c r="BK5" s="1666" t="str">
        <f>IF(WB!BZ5="","",WB!BZ5)</f>
        <v>Abejuthi</v>
      </c>
      <c r="BL5" s="1666" t="str">
        <f>IF(WB!CA5="","",WB!CA5)</f>
        <v>Nobanga</v>
      </c>
      <c r="BM5" s="1666" t="str">
        <f>IF(WB!CB5="","",WB!CB5)</f>
        <v>Mkhize</v>
      </c>
      <c r="BN5" s="1666" t="str">
        <f>IF(WB!CC5="","",WB!CC5)</f>
        <v/>
      </c>
      <c r="BO5" s="1666" t="str">
        <f>IF(WB!CD5="","",WB!CD5)</f>
        <v/>
      </c>
      <c r="BP5" s="1666" t="str">
        <f>IF(WB!CE5="","",WB!CE5)</f>
        <v/>
      </c>
      <c r="BQ5" s="1666" t="str">
        <f>IF(WB!CF5="","",WB!CF5)</f>
        <v/>
      </c>
      <c r="BR5" s="1666" t="str">
        <f>IF(WB!CG5="","",WB!CG5)</f>
        <v/>
      </c>
      <c r="BS5" s="1666" t="str">
        <f>IF(WB!CH5="","",WB!CH5)</f>
        <v/>
      </c>
      <c r="BT5" s="1666" t="str">
        <f>IF(WB!CI5="","",WB!CI5)</f>
        <v/>
      </c>
      <c r="BU5" s="1668"/>
      <c r="BV5" s="1669"/>
      <c r="BW5" s="1670"/>
      <c r="BX5" s="1670"/>
      <c r="BY5" s="1671"/>
      <c r="BZ5" s="1733"/>
      <c r="CA5" s="1733"/>
      <c r="CB5" s="1733"/>
      <c r="CC5" s="1734"/>
      <c r="CD5" s="1672" t="str">
        <f>IF(UPPER($CD$4)=UPPER($BZ$4),$BV$4,IF(UPPER($CD$4)=UPPER($CA$4),$BW$4,IF(UPPER($CD$4)=UPPER($CB$4),$BX$4,$BY$4)))</f>
        <v>'Better-Off'</v>
      </c>
      <c r="CE5" s="1658"/>
      <c r="CF5" s="1658"/>
      <c r="CG5" s="1658"/>
      <c r="CH5" s="1658"/>
      <c r="CI5" s="1658"/>
      <c r="CJ5" s="1658"/>
      <c r="CK5" s="1658"/>
      <c r="CL5" s="1658"/>
      <c r="CM5" s="1658"/>
      <c r="CN5" s="1658"/>
      <c r="CO5" s="1658"/>
      <c r="CP5" s="1658"/>
      <c r="CQ5" s="1658"/>
      <c r="CR5" s="1658"/>
      <c r="CS5" s="1658"/>
      <c r="CT5" s="1673"/>
      <c r="CU5" s="1659" t="str">
        <f>IF($CD$4=$BZ$4,$BW$4,$BY$4)</f>
        <v>'Better-Off'</v>
      </c>
      <c r="CV5" s="1658"/>
      <c r="CW5" s="1658"/>
      <c r="CX5" s="1658"/>
      <c r="CY5" s="1658"/>
      <c r="CZ5" s="1658"/>
      <c r="DA5" s="1658"/>
      <c r="DB5" s="1658"/>
      <c r="DC5" s="1658"/>
      <c r="DD5" s="1658"/>
      <c r="DE5" s="1658"/>
      <c r="DF5" s="1658"/>
      <c r="DG5" s="1658"/>
      <c r="DH5" s="1658"/>
      <c r="DI5" s="1658"/>
      <c r="DJ5" s="1658"/>
      <c r="DK5" s="1658"/>
      <c r="DL5" s="1735"/>
      <c r="DM5" s="1736"/>
      <c r="DN5" s="1736"/>
      <c r="DO5" s="1736"/>
      <c r="DP5" s="1674"/>
      <c r="DQ5" s="1675"/>
      <c r="DR5" s="1670"/>
      <c r="DS5" s="1676"/>
      <c r="DT5" s="1736"/>
      <c r="DU5" s="1736"/>
      <c r="DV5" s="1737"/>
      <c r="DW5" s="1737"/>
    </row>
    <row r="6" spans="1:127" ht="12.75" customHeight="1">
      <c r="A6" s="1732" t="s">
        <v>120</v>
      </c>
      <c r="B6" s="1352">
        <f>IF(WB!T6="","",WB!T6)</f>
        <v>1</v>
      </c>
      <c r="C6" s="1352">
        <f>IF(WB!U6="","",WB!U6)</f>
        <v>2</v>
      </c>
      <c r="D6" s="1352">
        <f>IF(WB!V6="","",WB!V6)</f>
        <v>3</v>
      </c>
      <c r="E6" s="1352">
        <f>IF(WB!W6="","",WB!W6)</f>
        <v>4</v>
      </c>
      <c r="F6" s="1352">
        <f>IF(WB!X6="","",WB!X6)</f>
        <v>5</v>
      </c>
      <c r="G6" s="1352">
        <f>IF(WB!Y6="","",WB!Y6)</f>
        <v>6</v>
      </c>
      <c r="H6" s="1352">
        <f>IF(WB!Z6="","",WB!Z6)</f>
        <v>7</v>
      </c>
      <c r="I6" s="1352">
        <f>IF(WB!AA6="","",WB!AA6)</f>
        <v>8</v>
      </c>
      <c r="J6" s="1352">
        <f>IF(WB!AB6="","",WB!AB6)</f>
        <v>9</v>
      </c>
      <c r="K6" s="1352">
        <f>IF(WB!AC6="","",WB!AC6)</f>
        <v>10</v>
      </c>
      <c r="L6" s="1352">
        <f>IF(WB!AD6="","",WB!AD6)</f>
        <v>11</v>
      </c>
      <c r="M6" s="1352">
        <f>IF(WB!AE6="","",WB!AE6)</f>
        <v>12</v>
      </c>
      <c r="N6" s="1352">
        <f>IF(WB!AF6="","",WB!AF6)</f>
        <v>13</v>
      </c>
      <c r="O6" s="1352">
        <f>IF(WB!AG6="","",WB!AG6)</f>
        <v>14</v>
      </c>
      <c r="P6" s="1352">
        <f>IF(WB!AH6="","",WB!AH6)</f>
        <v>15</v>
      </c>
      <c r="Q6" s="1352">
        <f>IF(WB!AI6="","",WB!AI6)</f>
        <v>16</v>
      </c>
      <c r="R6" s="1352">
        <f>IF(WB!AJ6="","",WB!AJ6)</f>
        <v>17</v>
      </c>
      <c r="S6" s="1334"/>
      <c r="T6" s="1352">
        <f>IF(WB!AK6="","",WB!AK6)</f>
        <v>18</v>
      </c>
      <c r="U6" s="1352">
        <f>IF(WB!AL6="","",WB!AL6)</f>
        <v>19</v>
      </c>
      <c r="V6" s="1352">
        <f>IF(WB!AM6="","",WB!AM6)</f>
        <v>20</v>
      </c>
      <c r="W6" s="1352">
        <f>IF(WB!AN6="","",WB!AN6)</f>
        <v>21</v>
      </c>
      <c r="X6" s="1352">
        <f>IF(WB!AO6="","",WB!AO6)</f>
        <v>22</v>
      </c>
      <c r="Y6" s="1352">
        <f>IF(WB!AP6="","",WB!AP6)</f>
        <v>23</v>
      </c>
      <c r="Z6" s="1352">
        <f>IF(WB!AQ6="","",WB!AQ6)</f>
        <v>24</v>
      </c>
      <c r="AA6" s="1352">
        <f>IF(WB!AR6="","",WB!AR6)</f>
        <v>25</v>
      </c>
      <c r="AB6" s="1352">
        <f>IF(WB!AS6="","",WB!AS6)</f>
        <v>26</v>
      </c>
      <c r="AC6" s="1352">
        <f>IF(WB!AT6="","",WB!AT6)</f>
        <v>27</v>
      </c>
      <c r="AD6" s="1352" t="str">
        <f>IF(WB!AU6="","",WB!AU6)</f>
        <v/>
      </c>
      <c r="AE6" s="1352" t="str">
        <f>IF(WB!AV6="","",WB!AV6)</f>
        <v/>
      </c>
      <c r="AF6" s="1352" t="str">
        <f>IF(WB!AW6="","",WB!AW6)</f>
        <v/>
      </c>
      <c r="AG6" s="1352" t="str">
        <f>IF(WB!AX6="","",WB!AX6)</f>
        <v/>
      </c>
      <c r="AH6" s="1352" t="str">
        <f>IF(WB!AY6="","",WB!AY6)</f>
        <v/>
      </c>
      <c r="AI6" s="1352" t="str">
        <f>IF(WB!AZ6="","",WB!AZ6)</f>
        <v/>
      </c>
      <c r="AJ6" s="1352" t="str">
        <f>IF(WB!BA6="","",WB!BA6)</f>
        <v/>
      </c>
      <c r="AK6" s="1334"/>
      <c r="AL6" s="1352">
        <f>IF(WB!BB6="","",WB!BB6)</f>
        <v>35</v>
      </c>
      <c r="AM6" s="1352">
        <f>IF(WB!BC6="","",WB!BC6)</f>
        <v>36</v>
      </c>
      <c r="AN6" s="1352">
        <f>IF(WB!BD6="","",WB!BD6)</f>
        <v>37</v>
      </c>
      <c r="AO6" s="1352">
        <f>IF(WB!BE6="","",WB!BE6)</f>
        <v>38</v>
      </c>
      <c r="AP6" s="1352">
        <f>IF(WB!BF6="","",WB!BF6)</f>
        <v>39</v>
      </c>
      <c r="AQ6" s="1352">
        <f>IF(WB!BG6="","",WB!BG6)</f>
        <v>40</v>
      </c>
      <c r="AR6" s="1352">
        <f>IF(WB!BH6="","",WB!BH6)</f>
        <v>41</v>
      </c>
      <c r="AS6" s="1352">
        <f>IF(WB!BI6="","",WB!BI6)</f>
        <v>42</v>
      </c>
      <c r="AT6" s="1352">
        <f>IF(WB!BJ6="","",WB!BJ6)</f>
        <v>43</v>
      </c>
      <c r="AU6" s="1352">
        <f>IF(WB!BK6="","",WB!BK6)</f>
        <v>44</v>
      </c>
      <c r="AV6" s="1352" t="str">
        <f>IF(WB!BL6="","",WB!BL6)</f>
        <v/>
      </c>
      <c r="AW6" s="1352" t="str">
        <f>IF(WB!BM6="","",WB!BM6)</f>
        <v/>
      </c>
      <c r="AX6" s="1352" t="str">
        <f>IF(WB!BN6="","",WB!BN6)</f>
        <v/>
      </c>
      <c r="AY6" s="1352" t="str">
        <f>IF(WB!BO6="","",WB!BO6)</f>
        <v/>
      </c>
      <c r="AZ6" s="1352" t="str">
        <f>IF(WB!BP6="","",WB!BP6)</f>
        <v/>
      </c>
      <c r="BA6" s="1352" t="str">
        <f>IF(WB!BQ6="","",WB!BQ6)</f>
        <v/>
      </c>
      <c r="BB6" s="1352" t="str">
        <f>IF(WB!BR6="","",WB!BR6)</f>
        <v/>
      </c>
      <c r="BC6" s="1334"/>
      <c r="BD6" s="1352">
        <f>IF(WB!BS6="","",WB!BS6)</f>
        <v>52</v>
      </c>
      <c r="BE6" s="1352">
        <f>IF(WB!BT6="","",WB!BT6)</f>
        <v>53</v>
      </c>
      <c r="BF6" s="1352">
        <f>IF(WB!BU6="","",WB!BU6)</f>
        <v>54</v>
      </c>
      <c r="BG6" s="1352">
        <f>IF(WB!BV6="","",WB!BV6)</f>
        <v>55</v>
      </c>
      <c r="BH6" s="1352">
        <f>IF(WB!BW6="","",WB!BW6)</f>
        <v>56</v>
      </c>
      <c r="BI6" s="1352">
        <f>IF(WB!BX6="","",WB!BX6)</f>
        <v>57</v>
      </c>
      <c r="BJ6" s="1352">
        <f>IF(WB!BY6="","",WB!BY6)</f>
        <v>58</v>
      </c>
      <c r="BK6" s="1352">
        <f>IF(WB!BZ6="","",WB!BZ6)</f>
        <v>59</v>
      </c>
      <c r="BL6" s="1352">
        <f>IF(WB!CA6="","",WB!CA6)</f>
        <v>60</v>
      </c>
      <c r="BM6" s="1352">
        <f>IF(WB!CB6="","",WB!CB6)</f>
        <v>61</v>
      </c>
      <c r="BN6" s="1352" t="str">
        <f>IF(WB!CC6="","",WB!CC6)</f>
        <v/>
      </c>
      <c r="BO6" s="1352" t="str">
        <f>IF(WB!CD6="","",WB!CD6)</f>
        <v/>
      </c>
      <c r="BP6" s="1352" t="str">
        <f>IF(WB!CE6="","",WB!CE6)</f>
        <v/>
      </c>
      <c r="BQ6" s="1352" t="str">
        <f>IF(WB!CF6="","",WB!CF6)</f>
        <v/>
      </c>
      <c r="BR6" s="1352" t="str">
        <f>IF(WB!CG6="","",WB!CG6)</f>
        <v/>
      </c>
      <c r="BS6" s="1352" t="str">
        <f>IF(WB!CH6="","",WB!CH6)</f>
        <v/>
      </c>
      <c r="BT6" s="1352" t="str">
        <f>IF(WB!CI6="","",WB!CI6)</f>
        <v/>
      </c>
      <c r="BU6" s="1334"/>
      <c r="BV6" s="1332"/>
      <c r="BW6" s="1332"/>
      <c r="BX6" s="1332"/>
      <c r="BY6" s="1677"/>
      <c r="BZ6" s="1739"/>
      <c r="CA6" s="1739"/>
      <c r="CB6" s="1739"/>
      <c r="CC6" s="1649"/>
      <c r="CD6" s="1806" t="s">
        <v>47</v>
      </c>
      <c r="CE6" s="1806"/>
      <c r="CF6" s="1678"/>
      <c r="CG6" s="1678"/>
      <c r="CH6" s="1678"/>
      <c r="CI6" s="1678"/>
      <c r="CJ6" s="1678"/>
      <c r="CK6" s="1678"/>
      <c r="CL6" s="1678"/>
      <c r="CM6" s="1678"/>
      <c r="CN6" s="1678"/>
      <c r="CO6" s="1678"/>
      <c r="CP6" s="1678"/>
      <c r="CQ6" s="1678"/>
      <c r="CR6" s="1678"/>
      <c r="CS6" s="1807" t="s">
        <v>48</v>
      </c>
      <c r="CT6" s="1807"/>
      <c r="CU6" s="1808" t="s">
        <v>47</v>
      </c>
      <c r="CV6" s="1808"/>
      <c r="CW6" s="1678"/>
      <c r="CX6" s="1678"/>
      <c r="CY6" s="1678"/>
      <c r="CZ6" s="1678"/>
      <c r="DA6" s="1678"/>
      <c r="DB6" s="1678"/>
      <c r="DC6" s="1678"/>
      <c r="DD6" s="1678"/>
      <c r="DE6" s="1678"/>
      <c r="DF6" s="1678"/>
      <c r="DG6" s="1678"/>
      <c r="DH6" s="1678"/>
      <c r="DI6" s="1678"/>
      <c r="DJ6" s="1809" t="s">
        <v>48</v>
      </c>
      <c r="DK6" s="1809"/>
      <c r="DL6" s="1731"/>
      <c r="DM6" s="1386"/>
      <c r="DN6" s="1386"/>
      <c r="DO6" s="1386"/>
      <c r="DP6" s="1679"/>
      <c r="DQ6" s="1680"/>
      <c r="DR6" s="1332"/>
      <c r="DS6" s="1681"/>
      <c r="DT6" s="1386"/>
      <c r="DU6" s="1386"/>
      <c r="DV6" s="1381"/>
      <c r="DW6" s="1381"/>
    </row>
    <row r="7" spans="1:127" ht="14" customHeight="1">
      <c r="A7" s="1380" t="s">
        <v>64</v>
      </c>
      <c r="B7" s="1352">
        <f>IF(WB!T14="","",WB!T14)</f>
        <v>10</v>
      </c>
      <c r="C7" s="1352">
        <f>IF(WB!U14="","",WB!U14)</f>
        <v>7</v>
      </c>
      <c r="D7" s="1352">
        <f>IF(WB!V14="","",WB!V14)</f>
        <v>8</v>
      </c>
      <c r="E7" s="1352">
        <f>IF(WB!W14="","",WB!W14)</f>
        <v>10</v>
      </c>
      <c r="F7" s="1352">
        <f>IF(WB!X14="","",WB!X14)</f>
        <v>7</v>
      </c>
      <c r="G7" s="1352">
        <f>IF(WB!Y14="","",WB!Y14)</f>
        <v>8</v>
      </c>
      <c r="H7" s="1352">
        <f>IF(WB!Z14="","",WB!Z14)</f>
        <v>9</v>
      </c>
      <c r="I7" s="1352">
        <f>IF(WB!AA14="","",WB!AA14)</f>
        <v>5</v>
      </c>
      <c r="J7" s="1352">
        <f>IF(WB!AB14="","",WB!AB14)</f>
        <v>8</v>
      </c>
      <c r="K7" s="1352">
        <f>IF(WB!AC14="","",WB!AC14)</f>
        <v>7</v>
      </c>
      <c r="L7" s="1352" t="str">
        <f>IF(WB!AD14="","",WB!AD14)</f>
        <v/>
      </c>
      <c r="M7" s="1352" t="str">
        <f>IF(WB!AE14="","",WB!AE14)</f>
        <v/>
      </c>
      <c r="N7" s="1352" t="str">
        <f>IF(WB!AF14="","",WB!AF14)</f>
        <v/>
      </c>
      <c r="O7" s="1352" t="str">
        <f>IF(WB!AG14="","",WB!AG14)</f>
        <v/>
      </c>
      <c r="P7" s="1352" t="str">
        <f>IF(WB!AH14="","",WB!AH14)</f>
        <v/>
      </c>
      <c r="Q7" s="1352" t="str">
        <f>IF(WB!AI14="","",WB!AI14)</f>
        <v/>
      </c>
      <c r="R7" s="1352" t="str">
        <f>IF(WB!AJ14="","",WB!AJ14)</f>
        <v/>
      </c>
      <c r="S7" s="1415"/>
      <c r="T7" s="1352">
        <f>IF(WB!AK15="","",WB!AK15)</f>
        <v>8</v>
      </c>
      <c r="U7" s="1352">
        <f>IF(WB!AL15="","",WB!AL15)</f>
        <v>7</v>
      </c>
      <c r="V7" s="1352">
        <f>IF(WB!AM15="","",WB!AM15)</f>
        <v>9</v>
      </c>
      <c r="W7" s="1352">
        <f>IF(WB!AN15="","",WB!AN15)</f>
        <v>10</v>
      </c>
      <c r="X7" s="1352">
        <f>IF(WB!AO15="","",WB!AO15)</f>
        <v>8</v>
      </c>
      <c r="Y7" s="1352">
        <f>IF(WB!AP15="","",WB!AP15)</f>
        <v>10</v>
      </c>
      <c r="Z7" s="1352">
        <f>IF(WB!AQ15="","",WB!AQ15)</f>
        <v>9</v>
      </c>
      <c r="AA7" s="1352">
        <f>IF(WB!AR15="","",WB!AR15)</f>
        <v>10</v>
      </c>
      <c r="AB7" s="1352">
        <f>IF(WB!AS15="","",WB!AS15)</f>
        <v>8</v>
      </c>
      <c r="AC7" s="1352">
        <f>IF(WB!AT15="","",WB!AT15)</f>
        <v>9</v>
      </c>
      <c r="AD7" s="1352" t="str">
        <f>IF(WB!AU15="","",WB!AU15)</f>
        <v/>
      </c>
      <c r="AE7" s="1352" t="str">
        <f>IF(WB!AV15="","",WB!AV15)</f>
        <v/>
      </c>
      <c r="AF7" s="1352" t="str">
        <f>IF(WB!AW15="","",WB!AW15)</f>
        <v/>
      </c>
      <c r="AG7" s="1352" t="str">
        <f>IF(WB!AX15="","",WB!AX15)</f>
        <v/>
      </c>
      <c r="AH7" s="1352" t="str">
        <f>IF(WB!AY15="","",WB!AY15)</f>
        <v/>
      </c>
      <c r="AI7" s="1352" t="str">
        <f>IF(WB!AZ15="","",WB!AZ15)</f>
        <v/>
      </c>
      <c r="AJ7" s="1352" t="str">
        <f>IF(WB!BA15="","",WB!BA15)</f>
        <v/>
      </c>
      <c r="AK7" s="1415"/>
      <c r="AL7" s="1352">
        <f>IF(WB!BB16="","",WB!BB16)</f>
        <v>7</v>
      </c>
      <c r="AM7" s="1352">
        <f>IF(WB!BC16="","",WB!BC16)</f>
        <v>8</v>
      </c>
      <c r="AN7" s="1352">
        <f>IF(WB!BD16="","",WB!BD16)</f>
        <v>5</v>
      </c>
      <c r="AO7" s="1352">
        <f>IF(WB!BE16="","",WB!BE16)</f>
        <v>10</v>
      </c>
      <c r="AP7" s="1352">
        <f>IF(WB!BF16="","",WB!BF16)</f>
        <v>10</v>
      </c>
      <c r="AQ7" s="1352">
        <f>IF(WB!BG16="","",WB!BG16)</f>
        <v>5</v>
      </c>
      <c r="AR7" s="1352">
        <f>IF(WB!BH16="","",WB!BH16)</f>
        <v>7</v>
      </c>
      <c r="AS7" s="1352">
        <f>IF(WB!BI16="","",WB!BI16)</f>
        <v>10</v>
      </c>
      <c r="AT7" s="1352">
        <f>IF(WB!BJ16="","",WB!BJ16)</f>
        <v>5</v>
      </c>
      <c r="AU7" s="1352">
        <f>IF(WB!BK16="","",WB!BK16)</f>
        <v>10</v>
      </c>
      <c r="AV7" s="1352" t="str">
        <f>IF(WB!BL16="","",WB!BL16)</f>
        <v/>
      </c>
      <c r="AW7" s="1352" t="str">
        <f>IF(WB!BM16="","",WB!BM16)</f>
        <v/>
      </c>
      <c r="AX7" s="1352" t="str">
        <f>IF(WB!BN16="","",WB!BN16)</f>
        <v/>
      </c>
      <c r="AY7" s="1352" t="str">
        <f>IF(WB!BO16="","",WB!BO16)</f>
        <v/>
      </c>
      <c r="AZ7" s="1352" t="str">
        <f>IF(WB!BP16="","",WB!BP16)</f>
        <v/>
      </c>
      <c r="BA7" s="1352" t="str">
        <f>IF(WB!BQ16="","",WB!BQ16)</f>
        <v/>
      </c>
      <c r="BB7" s="1352" t="str">
        <f>IF(WB!BR16="","",WB!BR16)</f>
        <v/>
      </c>
      <c r="BC7" s="1415"/>
      <c r="BD7" s="1352">
        <f>IF(WB!BS17="","",WB!BS17)</f>
        <v>12</v>
      </c>
      <c r="BE7" s="1352">
        <f>IF(WB!BT17="","",WB!BT17)</f>
        <v>8</v>
      </c>
      <c r="BF7" s="1352">
        <f>IF(WB!BU17="","",WB!BU17)</f>
        <v>12</v>
      </c>
      <c r="BG7" s="1352">
        <f>IF(WB!BV17="","",WB!BV17)</f>
        <v>7</v>
      </c>
      <c r="BH7" s="1352">
        <f>IF(WB!BW17="","",WB!BW17)</f>
        <v>11</v>
      </c>
      <c r="BI7" s="1352">
        <f>IF(WB!BX17="","",WB!BX17)</f>
        <v>10</v>
      </c>
      <c r="BJ7" s="1352">
        <f>IF(WB!BY17="","",WB!BY17)</f>
        <v>8</v>
      </c>
      <c r="BK7" s="1352">
        <f>IF(WB!BZ17="","",WB!BZ17)</f>
        <v>7</v>
      </c>
      <c r="BL7" s="1352">
        <f>IF(WB!CA17="","",WB!CA17)</f>
        <v>11</v>
      </c>
      <c r="BM7" s="1352">
        <f>IF(WB!CB17="","",WB!CB17)</f>
        <v>7</v>
      </c>
      <c r="BN7" s="1352" t="str">
        <f>IF(WB!CC17="","",WB!CC17)</f>
        <v/>
      </c>
      <c r="BO7" s="1352" t="str">
        <f>IF(WB!CD17="","",WB!CD17)</f>
        <v/>
      </c>
      <c r="BP7" s="1352" t="str">
        <f>IF(WB!CE17="","",WB!CE17)</f>
        <v/>
      </c>
      <c r="BQ7" s="1352" t="str">
        <f>IF(WB!CF17="","",WB!CF17)</f>
        <v/>
      </c>
      <c r="BR7" s="1352" t="str">
        <f>IF(WB!CG17="","",WB!CG17)</f>
        <v/>
      </c>
      <c r="BS7" s="1352" t="str">
        <f>IF(WB!CH17="","",WB!CH17)</f>
        <v/>
      </c>
      <c r="BT7" s="1352" t="str">
        <f>IF(WB!CI17="","",WB!CI17)</f>
        <v/>
      </c>
      <c r="BU7" s="1415"/>
      <c r="BV7" s="1352">
        <f>IF(WB!CK14="","",WB!CK14)</f>
        <v>8</v>
      </c>
      <c r="BW7" s="1352">
        <f>IF(WB!CK15="","",WB!CK15)</f>
        <v>8</v>
      </c>
      <c r="BX7" s="1352">
        <f>IF(WB!CK16="","",WB!CK16)</f>
        <v>8</v>
      </c>
      <c r="BY7" s="1682">
        <f>IF(WB!CK17="","",WB!CK17)</f>
        <v>9</v>
      </c>
      <c r="BZ7" s="1739"/>
      <c r="CA7" s="1739"/>
      <c r="CB7" s="1739"/>
      <c r="CC7" s="1649"/>
      <c r="CD7" s="1683">
        <v>17</v>
      </c>
      <c r="CE7" s="1684">
        <v>16</v>
      </c>
      <c r="CF7" s="1685">
        <v>15</v>
      </c>
      <c r="CG7" s="1685">
        <v>14</v>
      </c>
      <c r="CH7" s="1685">
        <v>13</v>
      </c>
      <c r="CI7" s="1685">
        <v>12</v>
      </c>
      <c r="CJ7" s="1685">
        <v>11</v>
      </c>
      <c r="CK7" s="1686">
        <v>10</v>
      </c>
      <c r="CL7" s="1686">
        <v>9</v>
      </c>
      <c r="CM7" s="1686">
        <v>8</v>
      </c>
      <c r="CN7" s="1685">
        <v>7</v>
      </c>
      <c r="CO7" s="1685">
        <v>6</v>
      </c>
      <c r="CP7" s="1685">
        <v>5</v>
      </c>
      <c r="CQ7" s="1685">
        <v>4</v>
      </c>
      <c r="CR7" s="1685">
        <v>3</v>
      </c>
      <c r="CS7" s="1684">
        <v>2</v>
      </c>
      <c r="CT7" s="1687">
        <v>1</v>
      </c>
      <c r="CU7" s="1688">
        <v>17</v>
      </c>
      <c r="CV7" s="1684">
        <v>16</v>
      </c>
      <c r="CW7" s="1685">
        <v>15</v>
      </c>
      <c r="CX7" s="1685">
        <v>14</v>
      </c>
      <c r="CY7" s="1685">
        <v>13</v>
      </c>
      <c r="CZ7" s="1685">
        <v>12</v>
      </c>
      <c r="DA7" s="1685">
        <v>11</v>
      </c>
      <c r="DB7" s="1686">
        <v>10</v>
      </c>
      <c r="DC7" s="1686">
        <v>9</v>
      </c>
      <c r="DD7" s="1686">
        <v>8</v>
      </c>
      <c r="DE7" s="1685">
        <v>7</v>
      </c>
      <c r="DF7" s="1685">
        <v>6</v>
      </c>
      <c r="DG7" s="1685">
        <v>5</v>
      </c>
      <c r="DH7" s="1685">
        <v>4</v>
      </c>
      <c r="DI7" s="1685">
        <v>3</v>
      </c>
      <c r="DJ7" s="1684">
        <v>2</v>
      </c>
      <c r="DK7" s="1689">
        <v>1</v>
      </c>
      <c r="DL7" s="1731"/>
      <c r="DM7" s="1386"/>
      <c r="DN7" s="1386"/>
      <c r="DO7" s="1386"/>
      <c r="DP7" s="1352">
        <f>IF(WB!CK14="","",WB!CK14)</f>
        <v>8</v>
      </c>
      <c r="DQ7" s="1352">
        <f>IF(WB!CK15="","",WB!CK15)</f>
        <v>8</v>
      </c>
      <c r="DR7" s="1352">
        <f>IF(WB!CK16="","",WB!CK16)</f>
        <v>8</v>
      </c>
      <c r="DS7" s="1352">
        <f>IF(WB!CK17="","",WB!CK17)</f>
        <v>9</v>
      </c>
      <c r="DT7" s="1386"/>
      <c r="DU7" s="1386"/>
      <c r="DV7" s="1381"/>
      <c r="DW7" s="1381"/>
    </row>
    <row r="8" spans="1:127" ht="12.75" customHeight="1">
      <c r="A8" s="1707"/>
      <c r="B8" s="1707"/>
      <c r="C8" s="1707"/>
      <c r="D8" s="1707"/>
      <c r="E8" s="1707"/>
      <c r="F8" s="1707"/>
      <c r="G8" s="1707"/>
      <c r="H8" s="1707"/>
      <c r="I8" s="1707"/>
      <c r="J8" s="1707"/>
      <c r="K8" s="1707"/>
      <c r="L8" s="1707"/>
      <c r="M8" s="1707"/>
      <c r="N8" s="1707"/>
      <c r="O8" s="1707"/>
      <c r="P8" s="1707"/>
      <c r="Q8" s="1707"/>
      <c r="R8" s="1707"/>
      <c r="S8" s="1740"/>
      <c r="T8" s="1707"/>
      <c r="U8" s="1707"/>
      <c r="V8" s="1707"/>
      <c r="W8" s="1707"/>
      <c r="X8" s="1707"/>
      <c r="Y8" s="1707"/>
      <c r="Z8" s="1707"/>
      <c r="AA8" s="1707"/>
      <c r="AB8" s="1707"/>
      <c r="AC8" s="1707"/>
      <c r="AD8" s="1707"/>
      <c r="AE8" s="1707"/>
      <c r="AF8" s="1707"/>
      <c r="AG8" s="1707"/>
      <c r="AH8" s="1707"/>
      <c r="AI8" s="1707"/>
      <c r="AJ8" s="1707"/>
      <c r="AK8" s="1740"/>
      <c r="AL8" s="1707"/>
      <c r="AM8" s="1707"/>
      <c r="AN8" s="1707"/>
      <c r="AO8" s="1707"/>
      <c r="AP8" s="1707"/>
      <c r="AQ8" s="1707"/>
      <c r="AR8" s="1707"/>
      <c r="AS8" s="1707"/>
      <c r="AT8" s="1707"/>
      <c r="AU8" s="1707"/>
      <c r="AV8" s="1707"/>
      <c r="AW8" s="1707"/>
      <c r="AX8" s="1707"/>
      <c r="AY8" s="1707"/>
      <c r="AZ8" s="1707"/>
      <c r="BA8" s="1707"/>
      <c r="BB8" s="1707"/>
      <c r="BC8" s="1740"/>
      <c r="BD8" s="1707"/>
      <c r="BE8" s="1707"/>
      <c r="BF8" s="1707"/>
      <c r="BG8" s="1707"/>
      <c r="BH8" s="1707"/>
      <c r="BI8" s="1707"/>
      <c r="BJ8" s="1707"/>
      <c r="BK8" s="1707"/>
      <c r="BL8" s="1707"/>
      <c r="BM8" s="1707"/>
      <c r="BN8" s="1707"/>
      <c r="BO8" s="1707"/>
      <c r="BP8" s="1707"/>
      <c r="BQ8" s="1707"/>
      <c r="BR8" s="1707"/>
      <c r="BS8" s="1707"/>
      <c r="BT8" s="1707"/>
      <c r="BU8" s="1740"/>
      <c r="BV8" s="1707"/>
      <c r="BW8" s="1707"/>
      <c r="BX8" s="1707"/>
      <c r="BY8" s="1707"/>
      <c r="BZ8" s="1739"/>
      <c r="CA8" s="1739"/>
      <c r="CB8" s="1739"/>
      <c r="CC8" s="164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64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731"/>
      <c r="DM8" s="1386"/>
      <c r="DN8" s="1386"/>
      <c r="DO8" s="1386"/>
      <c r="DP8" s="1690"/>
      <c r="DQ8" s="1691"/>
      <c r="DR8" s="1340"/>
      <c r="DS8" s="1692"/>
      <c r="DT8" s="1385"/>
      <c r="DU8" s="1386"/>
      <c r="DV8" s="1381"/>
      <c r="DW8" s="1381"/>
    </row>
    <row r="9" spans="1:127" ht="14" customHeight="1">
      <c r="A9" s="1741" t="s">
        <v>486</v>
      </c>
      <c r="B9" s="1466"/>
      <c r="C9" s="1466"/>
      <c r="D9" s="1466"/>
      <c r="E9" s="1466"/>
      <c r="F9" s="1466"/>
      <c r="G9" s="1466"/>
      <c r="H9" s="1466"/>
      <c r="I9" s="1466"/>
      <c r="J9" s="1466"/>
      <c r="K9" s="1466"/>
      <c r="L9" s="1466"/>
      <c r="M9" s="1466"/>
      <c r="N9" s="1466"/>
      <c r="O9" s="1466"/>
      <c r="P9" s="1466"/>
      <c r="Q9" s="1466"/>
      <c r="R9" s="1466"/>
      <c r="S9" s="1742"/>
      <c r="T9" s="1466"/>
      <c r="U9" s="1466"/>
      <c r="V9" s="1466"/>
      <c r="W9" s="1466"/>
      <c r="X9" s="1466"/>
      <c r="Y9" s="1466"/>
      <c r="Z9" s="1466"/>
      <c r="AA9" s="1466"/>
      <c r="AB9" s="1466"/>
      <c r="AC9" s="1466"/>
      <c r="AD9" s="1466"/>
      <c r="AE9" s="1466"/>
      <c r="AF9" s="1466"/>
      <c r="AG9" s="1466"/>
      <c r="AH9" s="1466"/>
      <c r="AI9" s="1466"/>
      <c r="AJ9" s="1466"/>
      <c r="AK9" s="1550"/>
      <c r="AL9" s="1466"/>
      <c r="AM9" s="1466"/>
      <c r="AN9" s="1466"/>
      <c r="AO9" s="1466"/>
      <c r="AP9" s="1466"/>
      <c r="AQ9" s="1466"/>
      <c r="AR9" s="1466"/>
      <c r="AS9" s="1466"/>
      <c r="AT9" s="1466"/>
      <c r="AU9" s="1466"/>
      <c r="AV9" s="1466"/>
      <c r="AW9" s="1466"/>
      <c r="AX9" s="1466"/>
      <c r="AY9" s="1466"/>
      <c r="AZ9" s="1466"/>
      <c r="BA9" s="1466"/>
      <c r="BB9" s="1466"/>
      <c r="BC9" s="1550"/>
      <c r="BD9" s="1466"/>
      <c r="BE9" s="1466"/>
      <c r="BF9" s="1466"/>
      <c r="BG9" s="1466"/>
      <c r="BH9" s="1466"/>
      <c r="BI9" s="1466"/>
      <c r="BJ9" s="1466"/>
      <c r="BK9" s="1466"/>
      <c r="BL9" s="1466"/>
      <c r="BM9" s="1466"/>
      <c r="BN9" s="1466"/>
      <c r="BO9" s="1466"/>
      <c r="BP9" s="1466"/>
      <c r="BQ9" s="1466"/>
      <c r="BR9" s="1466"/>
      <c r="BS9" s="1466"/>
      <c r="BT9" s="1466"/>
      <c r="BU9" s="1550"/>
      <c r="BV9" s="1466"/>
      <c r="BW9" s="1466"/>
      <c r="BX9" s="1466"/>
      <c r="BY9" s="1743"/>
      <c r="BZ9" s="1739"/>
      <c r="CA9" s="1739"/>
      <c r="CB9" s="1739"/>
      <c r="CC9" s="1649"/>
      <c r="CD9" s="1379"/>
      <c r="CE9" s="1379"/>
      <c r="CF9" s="1379"/>
      <c r="CG9" s="1379"/>
      <c r="CH9" s="1379"/>
      <c r="CI9" s="1379"/>
      <c r="CJ9" s="1379"/>
      <c r="CK9" s="1379"/>
      <c r="CL9" s="1379"/>
      <c r="CM9" s="1379"/>
      <c r="CN9" s="1379"/>
      <c r="CO9" s="1379"/>
      <c r="CP9" s="1379"/>
      <c r="CQ9" s="1379"/>
      <c r="CR9" s="1379"/>
      <c r="CS9" s="1379"/>
      <c r="CT9" s="1649"/>
      <c r="CU9" s="1744"/>
      <c r="CV9" s="1379"/>
      <c r="CW9" s="1379"/>
      <c r="CX9" s="1379"/>
      <c r="CY9" s="1379"/>
      <c r="CZ9" s="1379"/>
      <c r="DA9" s="1379"/>
      <c r="DB9" s="1379"/>
      <c r="DC9" s="1379"/>
      <c r="DD9" s="1379"/>
      <c r="DE9" s="1379"/>
      <c r="DF9" s="1379"/>
      <c r="DG9" s="1379"/>
      <c r="DH9" s="1379"/>
      <c r="DI9" s="1379"/>
      <c r="DJ9" s="1379"/>
      <c r="DK9" s="1649"/>
      <c r="DL9" s="1744"/>
      <c r="DM9" s="1379"/>
      <c r="DN9" s="1379"/>
      <c r="DO9" s="1379"/>
      <c r="DP9" s="1693"/>
      <c r="DQ9" s="1694"/>
      <c r="DR9" s="1342"/>
      <c r="DS9" s="1695"/>
      <c r="DT9" s="1385"/>
      <c r="DU9" s="1386"/>
      <c r="DV9" s="1381"/>
      <c r="DW9" s="1381"/>
    </row>
    <row r="10" spans="1:127" ht="12.75" customHeight="1">
      <c r="A10" s="1745" t="s">
        <v>487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492"/>
      <c r="L10" s="1492"/>
      <c r="M10" s="1492"/>
      <c r="N10" s="1492"/>
      <c r="O10" s="1492"/>
      <c r="P10" s="1492"/>
      <c r="Q10" s="1492"/>
      <c r="R10" s="1492"/>
      <c r="S10" s="1747"/>
      <c r="T10" s="1746"/>
      <c r="U10" s="1746"/>
      <c r="V10" s="1746"/>
      <c r="W10" s="1746"/>
      <c r="X10" s="1746"/>
      <c r="Y10" s="1746"/>
      <c r="Z10" s="1746"/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7"/>
      <c r="AL10" s="1746"/>
      <c r="AM10" s="1746"/>
      <c r="AN10" s="1746"/>
      <c r="AO10" s="1746"/>
      <c r="AP10" s="1746"/>
      <c r="AQ10" s="1746"/>
      <c r="AR10" s="1746"/>
      <c r="AS10" s="1746"/>
      <c r="AT10" s="1746"/>
      <c r="AU10" s="1746"/>
      <c r="AV10" s="1746"/>
      <c r="AW10" s="1746"/>
      <c r="AX10" s="1746"/>
      <c r="AY10" s="1746"/>
      <c r="AZ10" s="1746"/>
      <c r="BA10" s="1746"/>
      <c r="BB10" s="1746"/>
      <c r="BC10" s="1747"/>
      <c r="BD10" s="1746"/>
      <c r="BE10" s="1746"/>
      <c r="BF10" s="1746"/>
      <c r="BG10" s="1746"/>
      <c r="BH10" s="1746"/>
      <c r="BI10" s="1746"/>
      <c r="BJ10" s="1746"/>
      <c r="BK10" s="1746"/>
      <c r="BL10" s="1746"/>
      <c r="BM10" s="1746"/>
      <c r="BN10" s="1746"/>
      <c r="BO10" s="1746"/>
      <c r="BP10" s="1746"/>
      <c r="BQ10" s="1746"/>
      <c r="BR10" s="1746"/>
      <c r="BS10" s="1746"/>
      <c r="BT10" s="1746"/>
      <c r="BU10" s="1747"/>
      <c r="BV10" s="1746"/>
      <c r="BW10" s="1746"/>
      <c r="BX10" s="1746"/>
      <c r="BY10" s="1746"/>
      <c r="BZ10" s="1748" t="str">
        <f t="shared" ref="BZ10:BZ46" si="0">IF(DL10&lt;3,"",(SUM(B10:R10)-MIN(B10:R10)-MAX(B10:R10))/(DL10-2))</f>
        <v/>
      </c>
      <c r="CA10" s="1748" t="str">
        <f t="shared" ref="CA10:CA46" si="1">IF(DM10&lt;3,"",(SUM(T10:AJ10)-MIN(T10:AJ10)-MAX(T10:AJ10))/(DM10-2))</f>
        <v/>
      </c>
      <c r="CB10" s="1748" t="str">
        <f t="shared" ref="CB10:CB46" si="2">IF(DN10&lt;3,"",(SUM(AL10:BB10)-MIN(AL10:BB10)-MAX(AL10:BB10))/(DN10-2))</f>
        <v/>
      </c>
      <c r="CC10" s="1749" t="str">
        <f t="shared" ref="CC10:CC46" si="3">IF(DO10&lt;3,"",(SUM(BD10:BT10)-MIN(BD10:BT10)-MAX(BD10:BT10))/(DO10-2))</f>
        <v/>
      </c>
      <c r="CD10" s="168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8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85" t="str">
        <f t="shared" si="5"/>
        <v/>
      </c>
      <c r="CG10" s="1685" t="str">
        <f t="shared" si="5"/>
        <v/>
      </c>
      <c r="CH10" s="1685" t="str">
        <f t="shared" si="5"/>
        <v/>
      </c>
      <c r="CI10" s="1685" t="str">
        <f t="shared" si="5"/>
        <v/>
      </c>
      <c r="CJ10" s="1685" t="str">
        <f t="shared" si="5"/>
        <v/>
      </c>
      <c r="CK10" s="1686" t="str">
        <f t="shared" si="5"/>
        <v/>
      </c>
      <c r="CL10" s="1686" t="str">
        <f t="shared" si="5"/>
        <v/>
      </c>
      <c r="CM10" s="1686" t="str">
        <f t="shared" si="5"/>
        <v/>
      </c>
      <c r="CN10" s="1685" t="str">
        <f t="shared" si="5"/>
        <v/>
      </c>
      <c r="CO10" s="1685" t="str">
        <f t="shared" si="5"/>
        <v/>
      </c>
      <c r="CP10" s="1685" t="str">
        <f t="shared" si="5"/>
        <v/>
      </c>
      <c r="CQ10" s="1685" t="str">
        <f t="shared" si="5"/>
        <v/>
      </c>
      <c r="CR10" s="1685" t="str">
        <f t="shared" si="5"/>
        <v/>
      </c>
      <c r="CS10" s="1684" t="str">
        <f t="shared" si="5"/>
        <v/>
      </c>
      <c r="CT10" s="1687" t="str">
        <f t="shared" si="5"/>
        <v/>
      </c>
      <c r="CU10" s="169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9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9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9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9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9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9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9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9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9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9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9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9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9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9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9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9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50">
        <f t="shared" ref="DL10:DL46" si="23">COUNT(B10:R10)</f>
        <v>0</v>
      </c>
      <c r="DM10" s="1386">
        <f t="shared" ref="DM10:DM46" si="24">COUNT(T10:AJ10)</f>
        <v>0</v>
      </c>
      <c r="DN10" s="1386">
        <f t="shared" ref="DN10:DN46" si="25">COUNT(AL10:BB10)</f>
        <v>0</v>
      </c>
      <c r="DO10" s="1386">
        <f t="shared" ref="DO10:DO46" si="26">COUNT(BD10:BT10)</f>
        <v>0</v>
      </c>
      <c r="DP10" s="1751" t="str">
        <f>IF(SUM(BV10)&gt;0,BV10*'Exp factors'!C$21,"")</f>
        <v/>
      </c>
      <c r="DQ10" s="1752" t="str">
        <f>IF(SUM(BW10)&gt;0,BW10*'Exp factors'!D$21,"")</f>
        <v/>
      </c>
      <c r="DR10" s="1752" t="str">
        <f>IF(SUM(BX10)&gt;0,BX10*'Exp factors'!E$21,"")</f>
        <v/>
      </c>
      <c r="DS10" s="1753" t="str">
        <f>IF(SUM(BY10)&gt;0,BY10*'Exp factors'!F$21,"")</f>
        <v/>
      </c>
      <c r="DT10" s="1385"/>
      <c r="DU10" s="1386"/>
      <c r="DV10" s="1381"/>
      <c r="DW10" s="1381"/>
    </row>
    <row r="11" spans="1:127" ht="12.75" customHeight="1">
      <c r="A11" s="1344" t="s">
        <v>260</v>
      </c>
      <c r="B11" s="1754"/>
      <c r="C11" s="1754"/>
      <c r="D11" s="1754"/>
      <c r="E11" s="1754"/>
      <c r="F11" s="1754"/>
      <c r="G11" s="1754"/>
      <c r="H11" s="1754"/>
      <c r="I11" s="1754"/>
      <c r="J11" s="1754"/>
      <c r="K11" s="1492"/>
      <c r="L11" s="1492"/>
      <c r="M11" s="1492"/>
      <c r="N11" s="1492"/>
      <c r="O11" s="1492"/>
      <c r="P11" s="1492"/>
      <c r="Q11" s="1492"/>
      <c r="R11" s="1492"/>
      <c r="S11" s="1755"/>
      <c r="T11" s="1754"/>
      <c r="U11" s="1754"/>
      <c r="V11" s="1754"/>
      <c r="W11" s="1754"/>
      <c r="X11" s="1754"/>
      <c r="Y11" s="1754"/>
      <c r="Z11" s="1754"/>
      <c r="AA11" s="1754"/>
      <c r="AB11" s="1754"/>
      <c r="AC11" s="1754"/>
      <c r="AD11" s="1754"/>
      <c r="AE11" s="1754"/>
      <c r="AF11" s="1754"/>
      <c r="AG11" s="1754"/>
      <c r="AH11" s="1754"/>
      <c r="AI11" s="1754"/>
      <c r="AJ11" s="1754"/>
      <c r="AK11" s="1755"/>
      <c r="AL11" s="1754"/>
      <c r="AM11" s="1754"/>
      <c r="AN11" s="1754"/>
      <c r="AO11" s="1754"/>
      <c r="AP11" s="1754"/>
      <c r="AQ11" s="1754"/>
      <c r="AR11" s="1754"/>
      <c r="AS11" s="1754"/>
      <c r="AT11" s="1754"/>
      <c r="AU11" s="1754"/>
      <c r="AV11" s="1754"/>
      <c r="AW11" s="1754"/>
      <c r="AX11" s="1754"/>
      <c r="AY11" s="1754"/>
      <c r="AZ11" s="1754"/>
      <c r="BA11" s="1754"/>
      <c r="BB11" s="1754"/>
      <c r="BC11" s="1755"/>
      <c r="BD11" s="1754"/>
      <c r="BE11" s="1754"/>
      <c r="BF11" s="1754"/>
      <c r="BG11" s="1754"/>
      <c r="BH11" s="1754"/>
      <c r="BI11" s="1754"/>
      <c r="BJ11" s="1754"/>
      <c r="BK11" s="1754"/>
      <c r="BL11" s="1754"/>
      <c r="BM11" s="1754"/>
      <c r="BN11" s="1754"/>
      <c r="BO11" s="1754"/>
      <c r="BP11" s="1754"/>
      <c r="BQ11" s="1754"/>
      <c r="BR11" s="1754"/>
      <c r="BS11" s="1754"/>
      <c r="BT11" s="1754"/>
      <c r="BU11" s="1755"/>
      <c r="BV11" s="1754"/>
      <c r="BW11" s="1754"/>
      <c r="BX11" s="1754"/>
      <c r="BY11" s="1754"/>
      <c r="BZ11" s="1748" t="str">
        <f t="shared" si="0"/>
        <v/>
      </c>
      <c r="CA11" s="1748" t="str">
        <f t="shared" si="1"/>
        <v/>
      </c>
      <c r="CB11" s="1748" t="str">
        <f t="shared" si="2"/>
        <v/>
      </c>
      <c r="CC11" s="1749" t="str">
        <f t="shared" si="3"/>
        <v/>
      </c>
      <c r="CD11" s="1683" t="str">
        <f t="shared" si="4"/>
        <v/>
      </c>
      <c r="CE11" s="1684" t="str">
        <f t="shared" si="5"/>
        <v/>
      </c>
      <c r="CF11" s="1685" t="str">
        <f t="shared" si="5"/>
        <v/>
      </c>
      <c r="CG11" s="1685" t="str">
        <f t="shared" si="5"/>
        <v/>
      </c>
      <c r="CH11" s="1685" t="str">
        <f t="shared" si="5"/>
        <v/>
      </c>
      <c r="CI11" s="1685" t="str">
        <f t="shared" si="5"/>
        <v/>
      </c>
      <c r="CJ11" s="1685" t="str">
        <f t="shared" si="5"/>
        <v/>
      </c>
      <c r="CK11" s="1686" t="str">
        <f t="shared" si="5"/>
        <v/>
      </c>
      <c r="CL11" s="1686" t="str">
        <f t="shared" si="5"/>
        <v/>
      </c>
      <c r="CM11" s="1686" t="str">
        <f t="shared" si="5"/>
        <v/>
      </c>
      <c r="CN11" s="1685" t="str">
        <f t="shared" si="5"/>
        <v/>
      </c>
      <c r="CO11" s="1685" t="str">
        <f t="shared" si="5"/>
        <v/>
      </c>
      <c r="CP11" s="1685" t="str">
        <f t="shared" si="5"/>
        <v/>
      </c>
      <c r="CQ11" s="1685" t="str">
        <f t="shared" si="5"/>
        <v/>
      </c>
      <c r="CR11" s="1685" t="str">
        <f t="shared" si="5"/>
        <v/>
      </c>
      <c r="CS11" s="1684" t="str">
        <f t="shared" si="5"/>
        <v/>
      </c>
      <c r="CT11" s="1687" t="str">
        <f t="shared" si="5"/>
        <v/>
      </c>
      <c r="CU11" s="1696" t="str">
        <f t="shared" si="6"/>
        <v/>
      </c>
      <c r="CV11" s="1697" t="str">
        <f t="shared" si="7"/>
        <v/>
      </c>
      <c r="CW11" s="1698" t="str">
        <f t="shared" si="8"/>
        <v/>
      </c>
      <c r="CX11" s="1698" t="str">
        <f t="shared" si="9"/>
        <v/>
      </c>
      <c r="CY11" s="1698" t="str">
        <f t="shared" si="10"/>
        <v/>
      </c>
      <c r="CZ11" s="1698" t="str">
        <f t="shared" si="11"/>
        <v/>
      </c>
      <c r="DA11" s="1698" t="str">
        <f t="shared" si="12"/>
        <v/>
      </c>
      <c r="DB11" s="1699" t="str">
        <f t="shared" si="13"/>
        <v/>
      </c>
      <c r="DC11" s="1699" t="str">
        <f t="shared" si="14"/>
        <v/>
      </c>
      <c r="DD11" s="1699" t="str">
        <f t="shared" si="15"/>
        <v/>
      </c>
      <c r="DE11" s="1698" t="str">
        <f t="shared" si="16"/>
        <v/>
      </c>
      <c r="DF11" s="1698" t="str">
        <f t="shared" si="17"/>
        <v/>
      </c>
      <c r="DG11" s="1698" t="str">
        <f t="shared" si="18"/>
        <v/>
      </c>
      <c r="DH11" s="1698" t="str">
        <f t="shared" si="19"/>
        <v/>
      </c>
      <c r="DI11" s="1698" t="str">
        <f t="shared" si="20"/>
        <v/>
      </c>
      <c r="DJ11" s="1697" t="str">
        <f t="shared" si="21"/>
        <v/>
      </c>
      <c r="DK11" s="1696" t="str">
        <f t="shared" si="22"/>
        <v/>
      </c>
      <c r="DL11" s="1750">
        <f t="shared" si="23"/>
        <v>0</v>
      </c>
      <c r="DM11" s="1386">
        <f t="shared" si="24"/>
        <v>0</v>
      </c>
      <c r="DN11" s="1386">
        <f t="shared" si="25"/>
        <v>0</v>
      </c>
      <c r="DO11" s="1386">
        <f t="shared" si="26"/>
        <v>0</v>
      </c>
      <c r="DP11" s="1756"/>
      <c r="DQ11" s="1427"/>
      <c r="DR11" s="1427"/>
      <c r="DS11" s="1757"/>
      <c r="DT11" s="1758"/>
      <c r="DU11" s="1707"/>
    </row>
    <row r="12" spans="1:127" ht="12.75" customHeight="1">
      <c r="A12" s="1732" t="s">
        <v>257</v>
      </c>
      <c r="B12" s="1759"/>
      <c r="C12" s="1759"/>
      <c r="D12" s="1759"/>
      <c r="E12" s="1759"/>
      <c r="F12" s="1759"/>
      <c r="G12" s="1759"/>
      <c r="H12" s="1759"/>
      <c r="I12" s="1759"/>
      <c r="J12" s="1759"/>
      <c r="K12" s="1492"/>
      <c r="L12" s="1492"/>
      <c r="M12" s="1492"/>
      <c r="N12" s="1492"/>
      <c r="O12" s="1492"/>
      <c r="P12" s="1492"/>
      <c r="Q12" s="1492"/>
      <c r="R12" s="1492"/>
      <c r="S12" s="1755"/>
      <c r="T12" s="1759"/>
      <c r="U12" s="1759"/>
      <c r="V12" s="1759"/>
      <c r="W12" s="1759"/>
      <c r="X12" s="1759"/>
      <c r="Y12" s="1759"/>
      <c r="Z12" s="1759"/>
      <c r="AA12" s="1759"/>
      <c r="AB12" s="1759"/>
      <c r="AC12" s="1759"/>
      <c r="AD12" s="1759"/>
      <c r="AE12" s="1759"/>
      <c r="AF12" s="1759"/>
      <c r="AG12" s="1759"/>
      <c r="AH12" s="1759"/>
      <c r="AI12" s="1759"/>
      <c r="AJ12" s="1759"/>
      <c r="AK12" s="1755"/>
      <c r="AL12" s="1759"/>
      <c r="AM12" s="1759"/>
      <c r="AN12" s="1759"/>
      <c r="AO12" s="1759"/>
      <c r="AP12" s="1759"/>
      <c r="AQ12" s="1759"/>
      <c r="AR12" s="1759"/>
      <c r="AS12" s="1759"/>
      <c r="AT12" s="1759"/>
      <c r="AU12" s="1759"/>
      <c r="AV12" s="1759"/>
      <c r="AW12" s="1759"/>
      <c r="AX12" s="1759"/>
      <c r="AY12" s="1759"/>
      <c r="AZ12" s="1759"/>
      <c r="BA12" s="1759"/>
      <c r="BB12" s="1759"/>
      <c r="BC12" s="1755"/>
      <c r="BD12" s="1759"/>
      <c r="BE12" s="1759"/>
      <c r="BF12" s="1759"/>
      <c r="BG12" s="1759"/>
      <c r="BH12" s="1759"/>
      <c r="BI12" s="1759"/>
      <c r="BJ12" s="1759"/>
      <c r="BK12" s="1759"/>
      <c r="BL12" s="1759"/>
      <c r="BM12" s="1759"/>
      <c r="BN12" s="1759"/>
      <c r="BO12" s="1759"/>
      <c r="BP12" s="1759"/>
      <c r="BQ12" s="1759"/>
      <c r="BR12" s="1759"/>
      <c r="BS12" s="1759"/>
      <c r="BT12" s="1759"/>
      <c r="BU12" s="1755"/>
      <c r="BV12" s="1759"/>
      <c r="BW12" s="1759"/>
      <c r="BX12" s="1759"/>
      <c r="BY12" s="1759"/>
      <c r="BZ12" s="1748" t="str">
        <f t="shared" si="0"/>
        <v/>
      </c>
      <c r="CA12" s="1748" t="str">
        <f t="shared" si="1"/>
        <v/>
      </c>
      <c r="CB12" s="1748" t="str">
        <f t="shared" si="2"/>
        <v/>
      </c>
      <c r="CC12" s="1749" t="str">
        <f t="shared" si="3"/>
        <v/>
      </c>
      <c r="CD12" s="1683" t="str">
        <f t="shared" si="4"/>
        <v/>
      </c>
      <c r="CE12" s="1684" t="str">
        <f t="shared" si="5"/>
        <v/>
      </c>
      <c r="CF12" s="1685" t="str">
        <f t="shared" si="5"/>
        <v/>
      </c>
      <c r="CG12" s="1685" t="str">
        <f t="shared" si="5"/>
        <v/>
      </c>
      <c r="CH12" s="1685" t="str">
        <f t="shared" si="5"/>
        <v/>
      </c>
      <c r="CI12" s="1685" t="str">
        <f t="shared" si="5"/>
        <v/>
      </c>
      <c r="CJ12" s="1685" t="str">
        <f t="shared" si="5"/>
        <v/>
      </c>
      <c r="CK12" s="1686" t="str">
        <f t="shared" si="5"/>
        <v/>
      </c>
      <c r="CL12" s="1686" t="str">
        <f t="shared" si="5"/>
        <v/>
      </c>
      <c r="CM12" s="1686" t="str">
        <f t="shared" si="5"/>
        <v/>
      </c>
      <c r="CN12" s="1685" t="str">
        <f t="shared" si="5"/>
        <v/>
      </c>
      <c r="CO12" s="1685" t="str">
        <f t="shared" si="5"/>
        <v/>
      </c>
      <c r="CP12" s="1685" t="str">
        <f t="shared" si="5"/>
        <v/>
      </c>
      <c r="CQ12" s="1685" t="str">
        <f t="shared" si="5"/>
        <v/>
      </c>
      <c r="CR12" s="1685" t="str">
        <f t="shared" si="5"/>
        <v/>
      </c>
      <c r="CS12" s="1684" t="str">
        <f t="shared" si="5"/>
        <v/>
      </c>
      <c r="CT12" s="1687" t="str">
        <f t="shared" si="5"/>
        <v/>
      </c>
      <c r="CU12" s="1696" t="str">
        <f t="shared" si="6"/>
        <v/>
      </c>
      <c r="CV12" s="1697" t="str">
        <f t="shared" si="7"/>
        <v/>
      </c>
      <c r="CW12" s="1698" t="str">
        <f t="shared" si="8"/>
        <v/>
      </c>
      <c r="CX12" s="1698" t="str">
        <f t="shared" si="9"/>
        <v/>
      </c>
      <c r="CY12" s="1698" t="str">
        <f t="shared" si="10"/>
        <v/>
      </c>
      <c r="CZ12" s="1698" t="str">
        <f t="shared" si="11"/>
        <v/>
      </c>
      <c r="DA12" s="1698" t="str">
        <f t="shared" si="12"/>
        <v/>
      </c>
      <c r="DB12" s="1699" t="str">
        <f t="shared" si="13"/>
        <v/>
      </c>
      <c r="DC12" s="1699" t="str">
        <f t="shared" si="14"/>
        <v/>
      </c>
      <c r="DD12" s="1699" t="str">
        <f t="shared" si="15"/>
        <v/>
      </c>
      <c r="DE12" s="1698" t="str">
        <f t="shared" si="16"/>
        <v/>
      </c>
      <c r="DF12" s="1698" t="str">
        <f t="shared" si="17"/>
        <v/>
      </c>
      <c r="DG12" s="1698" t="str">
        <f t="shared" si="18"/>
        <v/>
      </c>
      <c r="DH12" s="1698" t="str">
        <f t="shared" si="19"/>
        <v/>
      </c>
      <c r="DI12" s="1698" t="str">
        <f t="shared" si="20"/>
        <v/>
      </c>
      <c r="DJ12" s="1697" t="str">
        <f t="shared" si="21"/>
        <v/>
      </c>
      <c r="DK12" s="1696" t="str">
        <f t="shared" si="22"/>
        <v/>
      </c>
      <c r="DL12" s="1750">
        <f t="shared" si="23"/>
        <v>0</v>
      </c>
      <c r="DM12" s="1386">
        <f t="shared" si="24"/>
        <v>0</v>
      </c>
      <c r="DN12" s="1386">
        <f t="shared" si="25"/>
        <v>0</v>
      </c>
      <c r="DO12" s="1386">
        <f t="shared" si="26"/>
        <v>0</v>
      </c>
      <c r="DP12" s="1760" t="str">
        <f>IF(SUM(BV12)&gt;0,(BV10-DP15-SUM(BV15)*(DP15=""))*'Exp factors'!C$21,"")</f>
        <v/>
      </c>
      <c r="DQ12" s="1497" t="str">
        <f>IF(SUM(BW12)&gt;0,(BW10-DQ15-SUM(BW15)*(DQ15=""))*'Exp factors'!D$21,"")</f>
        <v/>
      </c>
      <c r="DR12" s="1497" t="str">
        <f>IF(SUM(BX12)&gt;0,(BX10-DR15-SUM(BX15)*(DR15=""))*'Exp factors'!E$21,"")</f>
        <v/>
      </c>
      <c r="DS12" s="1761" t="str">
        <f>IF(SUM(BY12)&gt;0,(BY10-DS15-SUM(BY15)*(DS15=""))*'Exp factors'!F$21,"")</f>
        <v/>
      </c>
      <c r="DT12" s="1758"/>
      <c r="DU12" s="1707"/>
    </row>
    <row r="13" spans="1:127" ht="12.75" customHeight="1">
      <c r="A13" s="1762" t="s">
        <v>181</v>
      </c>
      <c r="B13" s="1763"/>
      <c r="C13" s="1763"/>
      <c r="D13" s="1763"/>
      <c r="E13" s="1763"/>
      <c r="F13" s="1763"/>
      <c r="G13" s="1763"/>
      <c r="H13" s="1763"/>
      <c r="I13" s="1763"/>
      <c r="J13" s="1763"/>
      <c r="K13" s="1764"/>
      <c r="L13" s="1764"/>
      <c r="M13" s="1764"/>
      <c r="N13" s="1764"/>
      <c r="O13" s="1764"/>
      <c r="P13" s="1764"/>
      <c r="Q13" s="1764"/>
      <c r="R13" s="1764"/>
      <c r="S13" s="1755"/>
      <c r="T13" s="1763"/>
      <c r="U13" s="1763"/>
      <c r="V13" s="1763"/>
      <c r="W13" s="1763"/>
      <c r="X13" s="1763"/>
      <c r="Y13" s="1763"/>
      <c r="Z13" s="1763"/>
      <c r="AA13" s="1763"/>
      <c r="AB13" s="1763"/>
      <c r="AC13" s="1763"/>
      <c r="AD13" s="1763"/>
      <c r="AE13" s="1763"/>
      <c r="AF13" s="1763"/>
      <c r="AG13" s="1763"/>
      <c r="AH13" s="1763"/>
      <c r="AI13" s="1763"/>
      <c r="AJ13" s="1763"/>
      <c r="AK13" s="1755"/>
      <c r="AL13" s="1763"/>
      <c r="AM13" s="1763"/>
      <c r="AN13" s="1763"/>
      <c r="AO13" s="1763"/>
      <c r="AP13" s="1763"/>
      <c r="AQ13" s="1763"/>
      <c r="AR13" s="1763"/>
      <c r="AS13" s="1763"/>
      <c r="AT13" s="1763"/>
      <c r="AU13" s="1763"/>
      <c r="AV13" s="1763"/>
      <c r="AW13" s="1763"/>
      <c r="AX13" s="1763"/>
      <c r="AY13" s="1763"/>
      <c r="AZ13" s="1763"/>
      <c r="BA13" s="1763"/>
      <c r="BB13" s="1763"/>
      <c r="BC13" s="1755"/>
      <c r="BD13" s="1763"/>
      <c r="BE13" s="1763"/>
      <c r="BF13" s="1763"/>
      <c r="BG13" s="1763"/>
      <c r="BH13" s="1763"/>
      <c r="BI13" s="1763"/>
      <c r="BJ13" s="1763"/>
      <c r="BK13" s="1763"/>
      <c r="BL13" s="1763"/>
      <c r="BM13" s="1763"/>
      <c r="BN13" s="1763"/>
      <c r="BO13" s="1763"/>
      <c r="BP13" s="1763"/>
      <c r="BQ13" s="1763"/>
      <c r="BR13" s="1763"/>
      <c r="BS13" s="1763"/>
      <c r="BT13" s="1763"/>
      <c r="BU13" s="1755"/>
      <c r="BV13" s="1763"/>
      <c r="BW13" s="1763"/>
      <c r="BX13" s="1763"/>
      <c r="BY13" s="1763"/>
      <c r="BZ13" s="1748" t="str">
        <f t="shared" si="0"/>
        <v/>
      </c>
      <c r="CA13" s="1748" t="str">
        <f t="shared" si="1"/>
        <v/>
      </c>
      <c r="CB13" s="1748" t="str">
        <f t="shared" si="2"/>
        <v/>
      </c>
      <c r="CC13" s="1749" t="str">
        <f t="shared" si="3"/>
        <v/>
      </c>
      <c r="CD13" s="1683" t="str">
        <f t="shared" si="4"/>
        <v/>
      </c>
      <c r="CE13" s="1684" t="str">
        <f t="shared" si="5"/>
        <v/>
      </c>
      <c r="CF13" s="1685" t="str">
        <f t="shared" si="5"/>
        <v/>
      </c>
      <c r="CG13" s="1685" t="str">
        <f t="shared" si="5"/>
        <v/>
      </c>
      <c r="CH13" s="1685" t="str">
        <f t="shared" si="5"/>
        <v/>
      </c>
      <c r="CI13" s="1685" t="str">
        <f t="shared" si="5"/>
        <v/>
      </c>
      <c r="CJ13" s="1685" t="str">
        <f t="shared" si="5"/>
        <v/>
      </c>
      <c r="CK13" s="1686" t="str">
        <f t="shared" si="5"/>
        <v/>
      </c>
      <c r="CL13" s="1686" t="str">
        <f t="shared" si="5"/>
        <v/>
      </c>
      <c r="CM13" s="1686" t="str">
        <f t="shared" si="5"/>
        <v/>
      </c>
      <c r="CN13" s="1685" t="str">
        <f t="shared" si="5"/>
        <v/>
      </c>
      <c r="CO13" s="1685" t="str">
        <f t="shared" si="5"/>
        <v/>
      </c>
      <c r="CP13" s="1685" t="str">
        <f t="shared" si="5"/>
        <v/>
      </c>
      <c r="CQ13" s="1685" t="str">
        <f t="shared" si="5"/>
        <v/>
      </c>
      <c r="CR13" s="1685" t="str">
        <f t="shared" si="5"/>
        <v/>
      </c>
      <c r="CS13" s="1684" t="str">
        <f t="shared" si="5"/>
        <v/>
      </c>
      <c r="CT13" s="1687" t="str">
        <f t="shared" si="5"/>
        <v/>
      </c>
      <c r="CU13" s="1696" t="str">
        <f t="shared" si="6"/>
        <v/>
      </c>
      <c r="CV13" s="1697" t="str">
        <f t="shared" si="7"/>
        <v/>
      </c>
      <c r="CW13" s="1698" t="str">
        <f t="shared" si="8"/>
        <v/>
      </c>
      <c r="CX13" s="1698" t="str">
        <f t="shared" si="9"/>
        <v/>
      </c>
      <c r="CY13" s="1698" t="str">
        <f t="shared" si="10"/>
        <v/>
      </c>
      <c r="CZ13" s="1698" t="str">
        <f t="shared" si="11"/>
        <v/>
      </c>
      <c r="DA13" s="1698" t="str">
        <f t="shared" si="12"/>
        <v/>
      </c>
      <c r="DB13" s="1699" t="str">
        <f t="shared" si="13"/>
        <v/>
      </c>
      <c r="DC13" s="1699" t="str">
        <f t="shared" si="14"/>
        <v/>
      </c>
      <c r="DD13" s="1699" t="str">
        <f t="shared" si="15"/>
        <v/>
      </c>
      <c r="DE13" s="1698" t="str">
        <f t="shared" si="16"/>
        <v/>
      </c>
      <c r="DF13" s="1698" t="str">
        <f t="shared" si="17"/>
        <v/>
      </c>
      <c r="DG13" s="1698" t="str">
        <f t="shared" si="18"/>
        <v/>
      </c>
      <c r="DH13" s="1698" t="str">
        <f t="shared" si="19"/>
        <v/>
      </c>
      <c r="DI13" s="1698" t="str">
        <f t="shared" si="20"/>
        <v/>
      </c>
      <c r="DJ13" s="1697" t="str">
        <f t="shared" si="21"/>
        <v/>
      </c>
      <c r="DK13" s="1696" t="str">
        <f t="shared" si="22"/>
        <v/>
      </c>
      <c r="DL13" s="1750">
        <f t="shared" si="23"/>
        <v>0</v>
      </c>
      <c r="DM13" s="1386">
        <f t="shared" si="24"/>
        <v>0</v>
      </c>
      <c r="DN13" s="1386">
        <f t="shared" si="25"/>
        <v>0</v>
      </c>
      <c r="DO13" s="1386">
        <f t="shared" si="26"/>
        <v>0</v>
      </c>
      <c r="DP13" s="1756"/>
      <c r="DQ13" s="1427"/>
      <c r="DR13" s="1427"/>
      <c r="DS13" s="1757"/>
      <c r="DT13" s="1758"/>
      <c r="DU13" s="1707"/>
    </row>
    <row r="14" spans="1:127" ht="12.75" customHeight="1">
      <c r="A14" s="1762" t="s">
        <v>183</v>
      </c>
      <c r="B14" s="1355" t="str">
        <f t="shared" ref="B14:R14" si="27">IF(B12="","",B12*B13)</f>
        <v/>
      </c>
      <c r="C14" s="1355" t="str">
        <f t="shared" si="27"/>
        <v/>
      </c>
      <c r="D14" s="1355" t="str">
        <f t="shared" si="27"/>
        <v/>
      </c>
      <c r="E14" s="1355" t="str">
        <f t="shared" si="27"/>
        <v/>
      </c>
      <c r="F14" s="1355" t="str">
        <f t="shared" si="27"/>
        <v/>
      </c>
      <c r="G14" s="1355" t="str">
        <f t="shared" si="27"/>
        <v/>
      </c>
      <c r="H14" s="1355" t="str">
        <f t="shared" si="27"/>
        <v/>
      </c>
      <c r="I14" s="1355" t="str">
        <f t="shared" si="27"/>
        <v/>
      </c>
      <c r="J14" s="1355" t="str">
        <f t="shared" si="27"/>
        <v/>
      </c>
      <c r="K14" s="1355" t="str">
        <f t="shared" si="27"/>
        <v/>
      </c>
      <c r="L14" s="1355" t="str">
        <f t="shared" si="27"/>
        <v/>
      </c>
      <c r="M14" s="1355" t="str">
        <f t="shared" si="27"/>
        <v/>
      </c>
      <c r="N14" s="1355" t="str">
        <f t="shared" si="27"/>
        <v/>
      </c>
      <c r="O14" s="1355" t="str">
        <f t="shared" si="27"/>
        <v/>
      </c>
      <c r="P14" s="1355" t="str">
        <f t="shared" si="27"/>
        <v/>
      </c>
      <c r="Q14" s="1355" t="str">
        <f t="shared" si="27"/>
        <v/>
      </c>
      <c r="R14" s="1355" t="str">
        <f t="shared" si="27"/>
        <v/>
      </c>
      <c r="S14" s="1747"/>
      <c r="T14" s="1355" t="str">
        <f t="shared" ref="T14:AJ14" si="28">IF(T12="","",T12*T13)</f>
        <v/>
      </c>
      <c r="U14" s="1355" t="str">
        <f t="shared" si="28"/>
        <v/>
      </c>
      <c r="V14" s="1355" t="str">
        <f t="shared" si="28"/>
        <v/>
      </c>
      <c r="W14" s="1355" t="str">
        <f t="shared" si="28"/>
        <v/>
      </c>
      <c r="X14" s="1355" t="str">
        <f t="shared" si="28"/>
        <v/>
      </c>
      <c r="Y14" s="1355" t="str">
        <f t="shared" si="28"/>
        <v/>
      </c>
      <c r="Z14" s="1355" t="str">
        <f t="shared" si="28"/>
        <v/>
      </c>
      <c r="AA14" s="1355" t="str">
        <f t="shared" si="28"/>
        <v/>
      </c>
      <c r="AB14" s="1355" t="str">
        <f t="shared" si="28"/>
        <v/>
      </c>
      <c r="AC14" s="1355" t="str">
        <f t="shared" si="28"/>
        <v/>
      </c>
      <c r="AD14" s="1355" t="str">
        <f t="shared" si="28"/>
        <v/>
      </c>
      <c r="AE14" s="1355" t="str">
        <f t="shared" si="28"/>
        <v/>
      </c>
      <c r="AF14" s="1355" t="str">
        <f t="shared" si="28"/>
        <v/>
      </c>
      <c r="AG14" s="1355" t="str">
        <f t="shared" si="28"/>
        <v/>
      </c>
      <c r="AH14" s="1355" t="str">
        <f t="shared" si="28"/>
        <v/>
      </c>
      <c r="AI14" s="1355" t="str">
        <f t="shared" si="28"/>
        <v/>
      </c>
      <c r="AJ14" s="1355" t="str">
        <f t="shared" si="28"/>
        <v/>
      </c>
      <c r="AK14" s="1765"/>
      <c r="AL14" s="1355" t="str">
        <f t="shared" ref="AL14:BB14" si="29">IF(AL12="","",AL12*AL13)</f>
        <v/>
      </c>
      <c r="AM14" s="1355" t="str">
        <f t="shared" si="29"/>
        <v/>
      </c>
      <c r="AN14" s="1355" t="str">
        <f t="shared" si="29"/>
        <v/>
      </c>
      <c r="AO14" s="1355" t="str">
        <f t="shared" si="29"/>
        <v/>
      </c>
      <c r="AP14" s="1355" t="str">
        <f t="shared" si="29"/>
        <v/>
      </c>
      <c r="AQ14" s="1355" t="str">
        <f t="shared" si="29"/>
        <v/>
      </c>
      <c r="AR14" s="1355" t="str">
        <f t="shared" si="29"/>
        <v/>
      </c>
      <c r="AS14" s="1355" t="str">
        <f t="shared" si="29"/>
        <v/>
      </c>
      <c r="AT14" s="1355" t="str">
        <f t="shared" si="29"/>
        <v/>
      </c>
      <c r="AU14" s="1355" t="str">
        <f t="shared" si="29"/>
        <v/>
      </c>
      <c r="AV14" s="1355" t="str">
        <f t="shared" si="29"/>
        <v/>
      </c>
      <c r="AW14" s="1355" t="str">
        <f t="shared" si="29"/>
        <v/>
      </c>
      <c r="AX14" s="1355" t="str">
        <f t="shared" si="29"/>
        <v/>
      </c>
      <c r="AY14" s="1355" t="str">
        <f t="shared" si="29"/>
        <v/>
      </c>
      <c r="AZ14" s="1355" t="str">
        <f t="shared" si="29"/>
        <v/>
      </c>
      <c r="BA14" s="1355" t="str">
        <f t="shared" si="29"/>
        <v/>
      </c>
      <c r="BB14" s="1355" t="str">
        <f t="shared" si="29"/>
        <v/>
      </c>
      <c r="BC14" s="1765"/>
      <c r="BD14" s="1355" t="str">
        <f t="shared" ref="BD14:BT14" si="30">IF(BD12="","",BD12*BD13)</f>
        <v/>
      </c>
      <c r="BE14" s="1355" t="str">
        <f t="shared" si="30"/>
        <v/>
      </c>
      <c r="BF14" s="1355" t="str">
        <f t="shared" si="30"/>
        <v/>
      </c>
      <c r="BG14" s="1355" t="str">
        <f t="shared" si="30"/>
        <v/>
      </c>
      <c r="BH14" s="1355" t="str">
        <f t="shared" si="30"/>
        <v/>
      </c>
      <c r="BI14" s="1355" t="str">
        <f t="shared" si="30"/>
        <v/>
      </c>
      <c r="BJ14" s="1355" t="str">
        <f t="shared" si="30"/>
        <v/>
      </c>
      <c r="BK14" s="1355" t="str">
        <f t="shared" si="30"/>
        <v/>
      </c>
      <c r="BL14" s="1355" t="str">
        <f t="shared" si="30"/>
        <v/>
      </c>
      <c r="BM14" s="1355" t="str">
        <f t="shared" si="30"/>
        <v/>
      </c>
      <c r="BN14" s="1355" t="str">
        <f t="shared" si="30"/>
        <v/>
      </c>
      <c r="BO14" s="1355" t="str">
        <f t="shared" si="30"/>
        <v/>
      </c>
      <c r="BP14" s="1355" t="str">
        <f t="shared" si="30"/>
        <v/>
      </c>
      <c r="BQ14" s="1355" t="str">
        <f t="shared" si="30"/>
        <v/>
      </c>
      <c r="BR14" s="1355" t="str">
        <f t="shared" si="30"/>
        <v/>
      </c>
      <c r="BS14" s="1355" t="str">
        <f t="shared" si="30"/>
        <v/>
      </c>
      <c r="BT14" s="1355" t="str">
        <f t="shared" si="30"/>
        <v/>
      </c>
      <c r="BU14" s="1765"/>
      <c r="BV14" s="1355" t="str">
        <f>IF(BV12="","",BV12*BV13)</f>
        <v/>
      </c>
      <c r="BW14" s="1355" t="str">
        <f>IF(BW12="","",BW12*BW13)</f>
        <v/>
      </c>
      <c r="BX14" s="1355" t="str">
        <f>IF(BX12="","",BX12*BX13)</f>
        <v/>
      </c>
      <c r="BY14" s="1355" t="str">
        <f>IF(BY12="","",BY12*BY13)</f>
        <v/>
      </c>
      <c r="BZ14" s="1748" t="str">
        <f t="shared" si="0"/>
        <v/>
      </c>
      <c r="CA14" s="1748" t="str">
        <f t="shared" si="1"/>
        <v/>
      </c>
      <c r="CB14" s="1748" t="str">
        <f t="shared" si="2"/>
        <v/>
      </c>
      <c r="CC14" s="1749" t="str">
        <f t="shared" si="3"/>
        <v/>
      </c>
      <c r="CD14" s="1683" t="str">
        <f t="shared" si="4"/>
        <v/>
      </c>
      <c r="CE14" s="1684" t="str">
        <f t="shared" si="5"/>
        <v/>
      </c>
      <c r="CF14" s="1685" t="str">
        <f t="shared" si="5"/>
        <v/>
      </c>
      <c r="CG14" s="1685" t="str">
        <f t="shared" si="5"/>
        <v/>
      </c>
      <c r="CH14" s="1685" t="str">
        <f t="shared" si="5"/>
        <v/>
      </c>
      <c r="CI14" s="1685" t="str">
        <f t="shared" si="5"/>
        <v/>
      </c>
      <c r="CJ14" s="1685" t="str">
        <f t="shared" si="5"/>
        <v/>
      </c>
      <c r="CK14" s="1686" t="str">
        <f t="shared" si="5"/>
        <v/>
      </c>
      <c r="CL14" s="1686" t="str">
        <f t="shared" si="5"/>
        <v/>
      </c>
      <c r="CM14" s="1686" t="str">
        <f t="shared" si="5"/>
        <v/>
      </c>
      <c r="CN14" s="1685" t="str">
        <f t="shared" si="5"/>
        <v/>
      </c>
      <c r="CO14" s="1685" t="str">
        <f t="shared" si="5"/>
        <v/>
      </c>
      <c r="CP14" s="1685" t="str">
        <f t="shared" si="5"/>
        <v/>
      </c>
      <c r="CQ14" s="1685" t="str">
        <f t="shared" si="5"/>
        <v/>
      </c>
      <c r="CR14" s="1685" t="str">
        <f t="shared" si="5"/>
        <v/>
      </c>
      <c r="CS14" s="1684" t="str">
        <f t="shared" si="5"/>
        <v/>
      </c>
      <c r="CT14" s="1687" t="str">
        <f t="shared" si="5"/>
        <v/>
      </c>
      <c r="CU14" s="1696" t="str">
        <f t="shared" si="6"/>
        <v/>
      </c>
      <c r="CV14" s="1697" t="str">
        <f t="shared" si="7"/>
        <v/>
      </c>
      <c r="CW14" s="1698" t="str">
        <f t="shared" si="8"/>
        <v/>
      </c>
      <c r="CX14" s="1698" t="str">
        <f t="shared" si="9"/>
        <v/>
      </c>
      <c r="CY14" s="1698" t="str">
        <f t="shared" si="10"/>
        <v/>
      </c>
      <c r="CZ14" s="1698" t="str">
        <f t="shared" si="11"/>
        <v/>
      </c>
      <c r="DA14" s="1698" t="str">
        <f t="shared" si="12"/>
        <v/>
      </c>
      <c r="DB14" s="1699" t="str">
        <f t="shared" si="13"/>
        <v/>
      </c>
      <c r="DC14" s="1699" t="str">
        <f t="shared" si="14"/>
        <v/>
      </c>
      <c r="DD14" s="1699" t="str">
        <f t="shared" si="15"/>
        <v/>
      </c>
      <c r="DE14" s="1698" t="str">
        <f t="shared" si="16"/>
        <v/>
      </c>
      <c r="DF14" s="1698" t="str">
        <f t="shared" si="17"/>
        <v/>
      </c>
      <c r="DG14" s="1698" t="str">
        <f t="shared" si="18"/>
        <v/>
      </c>
      <c r="DH14" s="1698" t="str">
        <f t="shared" si="19"/>
        <v/>
      </c>
      <c r="DI14" s="1698" t="str">
        <f t="shared" si="20"/>
        <v/>
      </c>
      <c r="DJ14" s="1697" t="str">
        <f t="shared" si="21"/>
        <v/>
      </c>
      <c r="DK14" s="1696" t="str">
        <f t="shared" si="22"/>
        <v/>
      </c>
      <c r="DL14" s="1750">
        <f t="shared" si="23"/>
        <v>0</v>
      </c>
      <c r="DM14" s="1386">
        <f t="shared" si="24"/>
        <v>0</v>
      </c>
      <c r="DN14" s="1386">
        <f t="shared" si="25"/>
        <v>0</v>
      </c>
      <c r="DO14" s="1386">
        <f t="shared" si="26"/>
        <v>0</v>
      </c>
      <c r="DP14" s="1766" t="str">
        <f>IF(DP12="","",DP12*BV13)</f>
        <v/>
      </c>
      <c r="DQ14" s="1463" t="str">
        <f>IF(DQ12="","",DQ12*BW13)</f>
        <v/>
      </c>
      <c r="DR14" s="1463" t="str">
        <f>IF(DR12="","",DR12*BX13)</f>
        <v/>
      </c>
      <c r="DS14" s="1767" t="str">
        <f>IF(DS12="","",DS12*BY13)</f>
        <v/>
      </c>
      <c r="DT14" s="1758"/>
      <c r="DU14" s="1707"/>
    </row>
    <row r="15" spans="1:127" ht="12.75" customHeight="1">
      <c r="A15" s="1762" t="s">
        <v>258</v>
      </c>
      <c r="B15" s="1768"/>
      <c r="C15" s="1768"/>
      <c r="D15" s="1768"/>
      <c r="E15" s="1768"/>
      <c r="F15" s="1768"/>
      <c r="G15" s="1768"/>
      <c r="H15" s="1768"/>
      <c r="I15" s="1768"/>
      <c r="J15" s="1768"/>
      <c r="K15" s="1768"/>
      <c r="L15" s="1768"/>
      <c r="M15" s="1768"/>
      <c r="N15" s="1768"/>
      <c r="O15" s="1768"/>
      <c r="P15" s="1768"/>
      <c r="Q15" s="1768"/>
      <c r="R15" s="1768"/>
      <c r="S15" s="1747"/>
      <c r="T15" s="1768"/>
      <c r="U15" s="1768"/>
      <c r="V15" s="1768"/>
      <c r="W15" s="1768"/>
      <c r="X15" s="1768"/>
      <c r="Y15" s="1768"/>
      <c r="Z15" s="1768"/>
      <c r="AA15" s="1768"/>
      <c r="AB15" s="1768"/>
      <c r="AC15" s="1768"/>
      <c r="AD15" s="1768"/>
      <c r="AE15" s="1768"/>
      <c r="AF15" s="1768"/>
      <c r="AG15" s="1768"/>
      <c r="AH15" s="1768"/>
      <c r="AI15" s="1768"/>
      <c r="AJ15" s="1768"/>
      <c r="AK15" s="1747"/>
      <c r="AL15" s="1768"/>
      <c r="AM15" s="1768"/>
      <c r="AN15" s="1768"/>
      <c r="AO15" s="1768"/>
      <c r="AP15" s="1768"/>
      <c r="AQ15" s="1768"/>
      <c r="AR15" s="1768"/>
      <c r="AS15" s="1768"/>
      <c r="AT15" s="1768"/>
      <c r="AU15" s="1768"/>
      <c r="AV15" s="1768"/>
      <c r="AW15" s="1768"/>
      <c r="AX15" s="1768"/>
      <c r="AY15" s="1768"/>
      <c r="AZ15" s="1768"/>
      <c r="BA15" s="1768"/>
      <c r="BB15" s="1768"/>
      <c r="BC15" s="1747"/>
      <c r="BD15" s="1768"/>
      <c r="BE15" s="1768"/>
      <c r="BF15" s="1768"/>
      <c r="BG15" s="1768"/>
      <c r="BH15" s="1768"/>
      <c r="BI15" s="1768"/>
      <c r="BJ15" s="1768"/>
      <c r="BK15" s="1768"/>
      <c r="BL15" s="1768"/>
      <c r="BM15" s="1768"/>
      <c r="BN15" s="1768"/>
      <c r="BO15" s="1768"/>
      <c r="BP15" s="1768"/>
      <c r="BQ15" s="1768"/>
      <c r="BR15" s="1768"/>
      <c r="BS15" s="1768"/>
      <c r="BT15" s="1768"/>
      <c r="BU15" s="1747"/>
      <c r="BV15" s="1768"/>
      <c r="BW15" s="1768"/>
      <c r="BX15" s="1768"/>
      <c r="BY15" s="1768"/>
      <c r="BZ15" s="1748" t="str">
        <f t="shared" si="0"/>
        <v/>
      </c>
      <c r="CA15" s="1748" t="str">
        <f t="shared" si="1"/>
        <v/>
      </c>
      <c r="CB15" s="1748" t="str">
        <f t="shared" si="2"/>
        <v/>
      </c>
      <c r="CC15" s="1749" t="str">
        <f t="shared" si="3"/>
        <v/>
      </c>
      <c r="CD15" s="1683" t="str">
        <f t="shared" si="4"/>
        <v/>
      </c>
      <c r="CE15" s="1684" t="str">
        <f t="shared" si="5"/>
        <v/>
      </c>
      <c r="CF15" s="1685" t="str">
        <f t="shared" si="5"/>
        <v/>
      </c>
      <c r="CG15" s="1685" t="str">
        <f t="shared" si="5"/>
        <v/>
      </c>
      <c r="CH15" s="1685" t="str">
        <f t="shared" si="5"/>
        <v/>
      </c>
      <c r="CI15" s="1685" t="str">
        <f t="shared" si="5"/>
        <v/>
      </c>
      <c r="CJ15" s="1685" t="str">
        <f t="shared" si="5"/>
        <v/>
      </c>
      <c r="CK15" s="1686" t="str">
        <f t="shared" si="5"/>
        <v/>
      </c>
      <c r="CL15" s="1686" t="str">
        <f t="shared" si="5"/>
        <v/>
      </c>
      <c r="CM15" s="1686" t="str">
        <f t="shared" si="5"/>
        <v/>
      </c>
      <c r="CN15" s="1685" t="str">
        <f t="shared" si="5"/>
        <v/>
      </c>
      <c r="CO15" s="1685" t="str">
        <f t="shared" si="5"/>
        <v/>
      </c>
      <c r="CP15" s="1685" t="str">
        <f t="shared" si="5"/>
        <v/>
      </c>
      <c r="CQ15" s="1685" t="str">
        <f t="shared" si="5"/>
        <v/>
      </c>
      <c r="CR15" s="1685" t="str">
        <f t="shared" si="5"/>
        <v/>
      </c>
      <c r="CS15" s="1684" t="str">
        <f t="shared" si="5"/>
        <v/>
      </c>
      <c r="CT15" s="1687" t="str">
        <f t="shared" si="5"/>
        <v/>
      </c>
      <c r="CU15" s="1696" t="str">
        <f t="shared" si="6"/>
        <v/>
      </c>
      <c r="CV15" s="1697" t="str">
        <f t="shared" si="7"/>
        <v/>
      </c>
      <c r="CW15" s="1698" t="str">
        <f t="shared" si="8"/>
        <v/>
      </c>
      <c r="CX15" s="1698" t="str">
        <f t="shared" si="9"/>
        <v/>
      </c>
      <c r="CY15" s="1698" t="str">
        <f t="shared" si="10"/>
        <v/>
      </c>
      <c r="CZ15" s="1698" t="str">
        <f t="shared" si="11"/>
        <v/>
      </c>
      <c r="DA15" s="1698" t="str">
        <f t="shared" si="12"/>
        <v/>
      </c>
      <c r="DB15" s="1699" t="str">
        <f t="shared" si="13"/>
        <v/>
      </c>
      <c r="DC15" s="1699" t="str">
        <f t="shared" si="14"/>
        <v/>
      </c>
      <c r="DD15" s="1699" t="str">
        <f t="shared" si="15"/>
        <v/>
      </c>
      <c r="DE15" s="1698" t="str">
        <f t="shared" si="16"/>
        <v/>
      </c>
      <c r="DF15" s="1698" t="str">
        <f t="shared" si="17"/>
        <v/>
      </c>
      <c r="DG15" s="1698" t="str">
        <f t="shared" si="18"/>
        <v/>
      </c>
      <c r="DH15" s="1698" t="str">
        <f t="shared" si="19"/>
        <v/>
      </c>
      <c r="DI15" s="1698" t="str">
        <f t="shared" si="20"/>
        <v/>
      </c>
      <c r="DJ15" s="1697" t="str">
        <f t="shared" si="21"/>
        <v/>
      </c>
      <c r="DK15" s="1696" t="str">
        <f t="shared" si="22"/>
        <v/>
      </c>
      <c r="DL15" s="1750">
        <f t="shared" si="23"/>
        <v>0</v>
      </c>
      <c r="DM15" s="1386">
        <f t="shared" si="24"/>
        <v>0</v>
      </c>
      <c r="DN15" s="1386">
        <f t="shared" si="25"/>
        <v>0</v>
      </c>
      <c r="DO15" s="1386">
        <f t="shared" si="26"/>
        <v>0</v>
      </c>
      <c r="DP15" s="1769"/>
      <c r="DQ15" s="1492"/>
      <c r="DR15" s="1492"/>
      <c r="DS15" s="1770"/>
      <c r="DT15" s="1758"/>
      <c r="DU15" s="1707"/>
    </row>
    <row r="16" spans="1:127" ht="12.75" customHeight="1">
      <c r="A16" s="1771" t="s">
        <v>227</v>
      </c>
      <c r="B16" s="1354" t="str">
        <f t="shared" ref="B16:R16" si="31">IF(B10="","",(B10-B12-B15)*B11/B$7/365/$G$1)</f>
        <v/>
      </c>
      <c r="C16" s="1354" t="str">
        <f t="shared" si="31"/>
        <v/>
      </c>
      <c r="D16" s="1354" t="str">
        <f t="shared" si="31"/>
        <v/>
      </c>
      <c r="E16" s="1354" t="str">
        <f t="shared" si="31"/>
        <v/>
      </c>
      <c r="F16" s="1354" t="str">
        <f t="shared" si="31"/>
        <v/>
      </c>
      <c r="G16" s="1354" t="str">
        <f t="shared" si="31"/>
        <v/>
      </c>
      <c r="H16" s="1354" t="str">
        <f t="shared" si="31"/>
        <v/>
      </c>
      <c r="I16" s="1354" t="str">
        <f t="shared" si="31"/>
        <v/>
      </c>
      <c r="J16" s="1354" t="str">
        <f t="shared" si="31"/>
        <v/>
      </c>
      <c r="K16" s="1354" t="str">
        <f t="shared" si="31"/>
        <v/>
      </c>
      <c r="L16" s="1354" t="str">
        <f t="shared" si="31"/>
        <v/>
      </c>
      <c r="M16" s="1354" t="str">
        <f t="shared" si="31"/>
        <v/>
      </c>
      <c r="N16" s="1354" t="str">
        <f t="shared" si="31"/>
        <v/>
      </c>
      <c r="O16" s="1354" t="str">
        <f t="shared" si="31"/>
        <v/>
      </c>
      <c r="P16" s="1354" t="str">
        <f t="shared" si="31"/>
        <v/>
      </c>
      <c r="Q16" s="1354" t="str">
        <f t="shared" si="31"/>
        <v/>
      </c>
      <c r="R16" s="1354" t="str">
        <f t="shared" si="31"/>
        <v/>
      </c>
      <c r="S16" s="1772"/>
      <c r="T16" s="1354" t="str">
        <f t="shared" ref="T16:AJ16" si="32">IF(T10="","",(T10-T12-T15)*T11/T$7/365/$G$1)</f>
        <v/>
      </c>
      <c r="U16" s="1354" t="str">
        <f t="shared" si="32"/>
        <v/>
      </c>
      <c r="V16" s="1354" t="str">
        <f t="shared" si="32"/>
        <v/>
      </c>
      <c r="W16" s="1354" t="str">
        <f t="shared" si="32"/>
        <v/>
      </c>
      <c r="X16" s="1354" t="str">
        <f t="shared" si="32"/>
        <v/>
      </c>
      <c r="Y16" s="1354" t="str">
        <f t="shared" si="32"/>
        <v/>
      </c>
      <c r="Z16" s="1354" t="str">
        <f t="shared" si="32"/>
        <v/>
      </c>
      <c r="AA16" s="1354" t="str">
        <f t="shared" si="32"/>
        <v/>
      </c>
      <c r="AB16" s="1354" t="str">
        <f t="shared" si="32"/>
        <v/>
      </c>
      <c r="AC16" s="1354" t="str">
        <f t="shared" si="32"/>
        <v/>
      </c>
      <c r="AD16" s="1354" t="str">
        <f t="shared" si="32"/>
        <v/>
      </c>
      <c r="AE16" s="1354" t="str">
        <f t="shared" si="32"/>
        <v/>
      </c>
      <c r="AF16" s="1354" t="str">
        <f t="shared" si="32"/>
        <v/>
      </c>
      <c r="AG16" s="1354" t="str">
        <f t="shared" si="32"/>
        <v/>
      </c>
      <c r="AH16" s="1354" t="str">
        <f t="shared" si="32"/>
        <v/>
      </c>
      <c r="AI16" s="1354" t="str">
        <f t="shared" si="32"/>
        <v/>
      </c>
      <c r="AJ16" s="1354" t="str">
        <f t="shared" si="32"/>
        <v/>
      </c>
      <c r="AK16" s="1772"/>
      <c r="AL16" s="1354" t="str">
        <f t="shared" ref="AL16:BB16" si="33">IF(AL10="","",(AL10-AL12-AL15)*AL11/AL$7/365/$G$1)</f>
        <v/>
      </c>
      <c r="AM16" s="1354" t="str">
        <f t="shared" si="33"/>
        <v/>
      </c>
      <c r="AN16" s="1354" t="str">
        <f t="shared" si="33"/>
        <v/>
      </c>
      <c r="AO16" s="1354" t="str">
        <f t="shared" si="33"/>
        <v/>
      </c>
      <c r="AP16" s="1354" t="str">
        <f t="shared" si="33"/>
        <v/>
      </c>
      <c r="AQ16" s="1354" t="str">
        <f t="shared" si="33"/>
        <v/>
      </c>
      <c r="AR16" s="1354" t="str">
        <f t="shared" si="33"/>
        <v/>
      </c>
      <c r="AS16" s="1354" t="str">
        <f t="shared" si="33"/>
        <v/>
      </c>
      <c r="AT16" s="1354" t="str">
        <f t="shared" si="33"/>
        <v/>
      </c>
      <c r="AU16" s="1354" t="str">
        <f t="shared" si="33"/>
        <v/>
      </c>
      <c r="AV16" s="1354" t="str">
        <f t="shared" si="33"/>
        <v/>
      </c>
      <c r="AW16" s="1354" t="str">
        <f t="shared" si="33"/>
        <v/>
      </c>
      <c r="AX16" s="1354" t="str">
        <f t="shared" si="33"/>
        <v/>
      </c>
      <c r="AY16" s="1354" t="str">
        <f t="shared" si="33"/>
        <v/>
      </c>
      <c r="AZ16" s="1354" t="str">
        <f t="shared" si="33"/>
        <v/>
      </c>
      <c r="BA16" s="1354" t="str">
        <f t="shared" si="33"/>
        <v/>
      </c>
      <c r="BB16" s="1354" t="str">
        <f t="shared" si="33"/>
        <v/>
      </c>
      <c r="BC16" s="1772"/>
      <c r="BD16" s="1354" t="str">
        <f t="shared" ref="BD16:BT16" si="34">IF(BD10="","",(BD10-BD12-BD15)*BD11/BD$7/365/$G$1)</f>
        <v/>
      </c>
      <c r="BE16" s="1354" t="str">
        <f t="shared" si="34"/>
        <v/>
      </c>
      <c r="BF16" s="1354" t="str">
        <f t="shared" si="34"/>
        <v/>
      </c>
      <c r="BG16" s="1354" t="str">
        <f t="shared" si="34"/>
        <v/>
      </c>
      <c r="BH16" s="1354" t="str">
        <f t="shared" si="34"/>
        <v/>
      </c>
      <c r="BI16" s="1354" t="str">
        <f t="shared" si="34"/>
        <v/>
      </c>
      <c r="BJ16" s="1354" t="str">
        <f t="shared" si="34"/>
        <v/>
      </c>
      <c r="BK16" s="1354" t="str">
        <f t="shared" si="34"/>
        <v/>
      </c>
      <c r="BL16" s="1354" t="str">
        <f t="shared" si="34"/>
        <v/>
      </c>
      <c r="BM16" s="1354" t="str">
        <f t="shared" si="34"/>
        <v/>
      </c>
      <c r="BN16" s="1354" t="str">
        <f t="shared" si="34"/>
        <v/>
      </c>
      <c r="BO16" s="1354" t="str">
        <f t="shared" si="34"/>
        <v/>
      </c>
      <c r="BP16" s="1354" t="str">
        <f t="shared" si="34"/>
        <v/>
      </c>
      <c r="BQ16" s="1354" t="str">
        <f t="shared" si="34"/>
        <v/>
      </c>
      <c r="BR16" s="1354" t="str">
        <f t="shared" si="34"/>
        <v/>
      </c>
      <c r="BS16" s="1354" t="str">
        <f t="shared" si="34"/>
        <v/>
      </c>
      <c r="BT16" s="1354" t="str">
        <f t="shared" si="34"/>
        <v/>
      </c>
      <c r="BU16" s="1772"/>
      <c r="BV16" s="1354" t="str">
        <f>IF(BV10="","",(BV10-BV12-BV15)*BV11/BV$7/365/$G$1)</f>
        <v/>
      </c>
      <c r="BW16" s="1354" t="str">
        <f>IF(BW10="","",(BW10-BW12-BW15)*BW11/BW$7/365/$G$1)</f>
        <v/>
      </c>
      <c r="BX16" s="1354" t="str">
        <f>IF(BX10="","",(BX10-BX12-BX15)*BX11/BX$7/365/$G$1)</f>
        <v/>
      </c>
      <c r="BY16" s="1354" t="str">
        <f>IF(BY10="","",(BY10-BY12-BY15)*BY11/BY$7/365/$G$1)</f>
        <v/>
      </c>
      <c r="BZ16" s="1773" t="str">
        <f t="shared" si="0"/>
        <v/>
      </c>
      <c r="CA16" s="1773" t="str">
        <f t="shared" si="1"/>
        <v/>
      </c>
      <c r="CB16" s="1773" t="str">
        <f t="shared" si="2"/>
        <v/>
      </c>
      <c r="CC16" s="1774" t="str">
        <f t="shared" si="3"/>
        <v/>
      </c>
      <c r="CD16" s="1700" t="str">
        <f t="shared" si="4"/>
        <v/>
      </c>
      <c r="CE16" s="1701" t="str">
        <f t="shared" si="5"/>
        <v/>
      </c>
      <c r="CF16" s="1702" t="str">
        <f t="shared" si="5"/>
        <v/>
      </c>
      <c r="CG16" s="1702" t="str">
        <f t="shared" si="5"/>
        <v/>
      </c>
      <c r="CH16" s="1702" t="str">
        <f t="shared" si="5"/>
        <v/>
      </c>
      <c r="CI16" s="1702" t="str">
        <f t="shared" si="5"/>
        <v/>
      </c>
      <c r="CJ16" s="1702" t="str">
        <f t="shared" si="5"/>
        <v/>
      </c>
      <c r="CK16" s="1703" t="str">
        <f t="shared" si="5"/>
        <v/>
      </c>
      <c r="CL16" s="1703" t="str">
        <f t="shared" si="5"/>
        <v/>
      </c>
      <c r="CM16" s="1703" t="str">
        <f t="shared" si="5"/>
        <v/>
      </c>
      <c r="CN16" s="1702" t="str">
        <f t="shared" si="5"/>
        <v/>
      </c>
      <c r="CO16" s="1702" t="str">
        <f t="shared" si="5"/>
        <v/>
      </c>
      <c r="CP16" s="1702" t="str">
        <f t="shared" si="5"/>
        <v/>
      </c>
      <c r="CQ16" s="1702" t="str">
        <f t="shared" si="5"/>
        <v/>
      </c>
      <c r="CR16" s="1702" t="str">
        <f t="shared" si="5"/>
        <v/>
      </c>
      <c r="CS16" s="1701" t="str">
        <f t="shared" si="5"/>
        <v/>
      </c>
      <c r="CT16" s="1704" t="str">
        <f t="shared" si="5"/>
        <v/>
      </c>
      <c r="CU16" s="1705" t="str">
        <f t="shared" si="6"/>
        <v/>
      </c>
      <c r="CV16" s="1701" t="str">
        <f t="shared" si="7"/>
        <v/>
      </c>
      <c r="CW16" s="1702" t="str">
        <f t="shared" si="8"/>
        <v/>
      </c>
      <c r="CX16" s="1702" t="str">
        <f t="shared" si="9"/>
        <v/>
      </c>
      <c r="CY16" s="1702" t="str">
        <f t="shared" si="10"/>
        <v/>
      </c>
      <c r="CZ16" s="1702" t="str">
        <f t="shared" si="11"/>
        <v/>
      </c>
      <c r="DA16" s="1702" t="str">
        <f t="shared" si="12"/>
        <v/>
      </c>
      <c r="DB16" s="1703" t="str">
        <f t="shared" si="13"/>
        <v/>
      </c>
      <c r="DC16" s="1703" t="str">
        <f t="shared" si="14"/>
        <v/>
      </c>
      <c r="DD16" s="1703" t="str">
        <f t="shared" si="15"/>
        <v/>
      </c>
      <c r="DE16" s="1702" t="str">
        <f t="shared" si="16"/>
        <v/>
      </c>
      <c r="DF16" s="1702" t="str">
        <f t="shared" si="17"/>
        <v/>
      </c>
      <c r="DG16" s="1702" t="str">
        <f t="shared" si="18"/>
        <v/>
      </c>
      <c r="DH16" s="1702" t="str">
        <f t="shared" si="19"/>
        <v/>
      </c>
      <c r="DI16" s="1702" t="str">
        <f t="shared" si="20"/>
        <v/>
      </c>
      <c r="DJ16" s="1701" t="str">
        <f t="shared" si="21"/>
        <v/>
      </c>
      <c r="DK16" s="1705" t="str">
        <f t="shared" si="22"/>
        <v/>
      </c>
      <c r="DL16" s="1750">
        <f t="shared" si="23"/>
        <v>0</v>
      </c>
      <c r="DM16" s="1386">
        <f t="shared" si="24"/>
        <v>0</v>
      </c>
      <c r="DN16" s="1386">
        <f t="shared" si="25"/>
        <v>0</v>
      </c>
      <c r="DO16" s="1386">
        <f t="shared" si="26"/>
        <v>0</v>
      </c>
      <c r="DP16" s="1775" t="str">
        <f>IF(DP10="","",(DP10+SUM(BV10)*(DP10="")-SUM(DP12)-DP15-SUM(BV15)*(DP15=""))*BV11/DP$7/365/$G$1)</f>
        <v/>
      </c>
      <c r="DQ16" s="1354" t="str">
        <f>IF(DQ10="","",(DQ10+SUM(BW10)*(DQ10="")-SUM(DQ12)-DQ15-SUM(BW15)*(DQ15=""))*BW11/DQ$7/365/$G$1)</f>
        <v/>
      </c>
      <c r="DR16" s="1354" t="str">
        <f>IF(DR10="","",(DR10+SUM(BX10)*(DR10="")-SUM(DR12)-DR15-SUM(BX15)*(DR15=""))*BX11/DR$7/365/$G$1)</f>
        <v/>
      </c>
      <c r="DS16" s="1776" t="str">
        <f>IF(DS10="","",(DS10+SUM(BY10)*(DS10="")-SUM(DS12)-DS15-SUM(BY15)*(DS15=""))*BY11/DS$7/365/$G$1)</f>
        <v/>
      </c>
      <c r="DT16" s="1758"/>
      <c r="DU16" s="1707"/>
    </row>
    <row r="17" spans="1:125" ht="12.75" customHeight="1">
      <c r="A17" s="1745" t="s">
        <v>488</v>
      </c>
      <c r="B17" s="1746"/>
      <c r="C17" s="1746"/>
      <c r="D17" s="1746"/>
      <c r="E17" s="1746"/>
      <c r="F17" s="1746"/>
      <c r="G17" s="1746"/>
      <c r="H17" s="1746"/>
      <c r="I17" s="1746"/>
      <c r="J17" s="1746"/>
      <c r="K17" s="1746"/>
      <c r="L17" s="1746"/>
      <c r="M17" s="1746"/>
      <c r="N17" s="1746"/>
      <c r="O17" s="1746"/>
      <c r="P17" s="1746"/>
      <c r="Q17" s="1746"/>
      <c r="R17" s="1746"/>
      <c r="S17" s="1747"/>
      <c r="T17" s="1746"/>
      <c r="U17" s="1746"/>
      <c r="V17" s="1746"/>
      <c r="W17" s="1746"/>
      <c r="X17" s="1746"/>
      <c r="Y17" s="1746"/>
      <c r="Z17" s="1746"/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7"/>
      <c r="AL17" s="1746"/>
      <c r="AM17" s="1746"/>
      <c r="AN17" s="1746"/>
      <c r="AO17" s="1746"/>
      <c r="AP17" s="1746"/>
      <c r="AQ17" s="1746"/>
      <c r="AR17" s="1746"/>
      <c r="AS17" s="1746"/>
      <c r="AT17" s="1746"/>
      <c r="AU17" s="1746"/>
      <c r="AV17" s="1746"/>
      <c r="AW17" s="1746"/>
      <c r="AX17" s="1746"/>
      <c r="AY17" s="1746"/>
      <c r="AZ17" s="1746"/>
      <c r="BA17" s="1746"/>
      <c r="BB17" s="1746"/>
      <c r="BC17" s="1747"/>
      <c r="BD17" s="1746"/>
      <c r="BE17" s="1746"/>
      <c r="BF17" s="1746"/>
      <c r="BG17" s="1746"/>
      <c r="BH17" s="1746"/>
      <c r="BI17" s="1746"/>
      <c r="BJ17" s="1746"/>
      <c r="BK17" s="1746"/>
      <c r="BL17" s="1746"/>
      <c r="BM17" s="1746"/>
      <c r="BN17" s="1746"/>
      <c r="BO17" s="1746"/>
      <c r="BP17" s="1746"/>
      <c r="BQ17" s="1746"/>
      <c r="BR17" s="1746"/>
      <c r="BS17" s="1746"/>
      <c r="BT17" s="1746"/>
      <c r="BU17" s="1747"/>
      <c r="BV17" s="1746"/>
      <c r="BW17" s="1746"/>
      <c r="BX17" s="1746"/>
      <c r="BY17" s="1746"/>
      <c r="BZ17" s="1748" t="str">
        <f t="shared" si="0"/>
        <v/>
      </c>
      <c r="CA17" s="1748" t="str">
        <f t="shared" si="1"/>
        <v/>
      </c>
      <c r="CB17" s="1748" t="str">
        <f t="shared" si="2"/>
        <v/>
      </c>
      <c r="CC17" s="1749" t="str">
        <f t="shared" si="3"/>
        <v/>
      </c>
      <c r="CD17" s="1683" t="str">
        <f t="shared" si="4"/>
        <v/>
      </c>
      <c r="CE17" s="1684" t="str">
        <f t="shared" si="5"/>
        <v/>
      </c>
      <c r="CF17" s="1685" t="str">
        <f t="shared" si="5"/>
        <v/>
      </c>
      <c r="CG17" s="1685" t="str">
        <f t="shared" si="5"/>
        <v/>
      </c>
      <c r="CH17" s="1685" t="str">
        <f t="shared" si="5"/>
        <v/>
      </c>
      <c r="CI17" s="1685" t="str">
        <f t="shared" si="5"/>
        <v/>
      </c>
      <c r="CJ17" s="1685" t="str">
        <f t="shared" si="5"/>
        <v/>
      </c>
      <c r="CK17" s="1686" t="str">
        <f t="shared" si="5"/>
        <v/>
      </c>
      <c r="CL17" s="1686" t="str">
        <f t="shared" si="5"/>
        <v/>
      </c>
      <c r="CM17" s="1686" t="str">
        <f t="shared" si="5"/>
        <v/>
      </c>
      <c r="CN17" s="1685" t="str">
        <f t="shared" si="5"/>
        <v/>
      </c>
      <c r="CO17" s="1685" t="str">
        <f t="shared" si="5"/>
        <v/>
      </c>
      <c r="CP17" s="1685" t="str">
        <f t="shared" si="5"/>
        <v/>
      </c>
      <c r="CQ17" s="1685" t="str">
        <f t="shared" si="5"/>
        <v/>
      </c>
      <c r="CR17" s="1685" t="str">
        <f t="shared" si="5"/>
        <v/>
      </c>
      <c r="CS17" s="1684" t="str">
        <f t="shared" si="5"/>
        <v/>
      </c>
      <c r="CT17" s="1687" t="str">
        <f t="shared" si="5"/>
        <v/>
      </c>
      <c r="CU17" s="1696" t="str">
        <f t="shared" si="6"/>
        <v/>
      </c>
      <c r="CV17" s="1697" t="str">
        <f t="shared" si="7"/>
        <v/>
      </c>
      <c r="CW17" s="1698" t="str">
        <f t="shared" si="8"/>
        <v/>
      </c>
      <c r="CX17" s="1698" t="str">
        <f t="shared" si="9"/>
        <v/>
      </c>
      <c r="CY17" s="1698" t="str">
        <f t="shared" si="10"/>
        <v/>
      </c>
      <c r="CZ17" s="1698" t="str">
        <f t="shared" si="11"/>
        <v/>
      </c>
      <c r="DA17" s="1698" t="str">
        <f t="shared" si="12"/>
        <v/>
      </c>
      <c r="DB17" s="1699" t="str">
        <f t="shared" si="13"/>
        <v/>
      </c>
      <c r="DC17" s="1699" t="str">
        <f t="shared" si="14"/>
        <v/>
      </c>
      <c r="DD17" s="1699" t="str">
        <f t="shared" si="15"/>
        <v/>
      </c>
      <c r="DE17" s="1698" t="str">
        <f t="shared" si="16"/>
        <v/>
      </c>
      <c r="DF17" s="1698" t="str">
        <f t="shared" si="17"/>
        <v/>
      </c>
      <c r="DG17" s="1698" t="str">
        <f t="shared" si="18"/>
        <v/>
      </c>
      <c r="DH17" s="1698" t="str">
        <f t="shared" si="19"/>
        <v/>
      </c>
      <c r="DI17" s="1698" t="str">
        <f t="shared" si="20"/>
        <v/>
      </c>
      <c r="DJ17" s="1697" t="str">
        <f t="shared" si="21"/>
        <v/>
      </c>
      <c r="DK17" s="1696" t="str">
        <f t="shared" si="22"/>
        <v/>
      </c>
      <c r="DL17" s="1750">
        <f t="shared" si="23"/>
        <v>0</v>
      </c>
      <c r="DM17" s="1386">
        <f t="shared" si="24"/>
        <v>0</v>
      </c>
      <c r="DN17" s="1386">
        <f t="shared" si="25"/>
        <v>0</v>
      </c>
      <c r="DO17" s="1386">
        <f t="shared" si="26"/>
        <v>0</v>
      </c>
      <c r="DP17" s="1777" t="str">
        <f>IF(SUM(BV17)&gt;0,BV17*'Exp factors'!C$21,"")</f>
        <v/>
      </c>
      <c r="DQ17" s="1452" t="str">
        <f>IF(SUM(BW17)&gt;0,BW17*'Exp factors'!D$21,"")</f>
        <v/>
      </c>
      <c r="DR17" s="1452" t="str">
        <f>IF(SUM(BX17)&gt;0,BX17*'Exp factors'!E$21,"")</f>
        <v/>
      </c>
      <c r="DS17" s="1778" t="str">
        <f>IF(SUM(BY17)&gt;0,BY17*'Exp factors'!F$21,"")</f>
        <v/>
      </c>
      <c r="DT17" s="1758"/>
      <c r="DU17" s="1707"/>
    </row>
    <row r="18" spans="1:125" ht="12.75" customHeight="1">
      <c r="A18" s="1344" t="s">
        <v>260</v>
      </c>
      <c r="B18" s="1754"/>
      <c r="C18" s="1754"/>
      <c r="D18" s="1754"/>
      <c r="E18" s="1754"/>
      <c r="F18" s="1754"/>
      <c r="G18" s="1759"/>
      <c r="H18" s="1754"/>
      <c r="I18" s="1754"/>
      <c r="J18" s="1754"/>
      <c r="K18" s="1754"/>
      <c r="L18" s="1754"/>
      <c r="M18" s="1754"/>
      <c r="N18" s="1754"/>
      <c r="O18" s="1754"/>
      <c r="P18" s="1754"/>
      <c r="Q18" s="1754"/>
      <c r="R18" s="1754"/>
      <c r="S18" s="1755"/>
      <c r="T18" s="1754"/>
      <c r="U18" s="1754"/>
      <c r="V18" s="1754"/>
      <c r="W18" s="1754"/>
      <c r="X18" s="1754"/>
      <c r="Y18" s="1754"/>
      <c r="Z18" s="1754"/>
      <c r="AA18" s="1754"/>
      <c r="AB18" s="1754"/>
      <c r="AC18" s="1754"/>
      <c r="AD18" s="1754"/>
      <c r="AE18" s="1754"/>
      <c r="AF18" s="1754"/>
      <c r="AG18" s="1754"/>
      <c r="AH18" s="1754"/>
      <c r="AI18" s="1754"/>
      <c r="AJ18" s="1754"/>
      <c r="AK18" s="1755"/>
      <c r="AL18" s="1754"/>
      <c r="AM18" s="1754"/>
      <c r="AN18" s="1754"/>
      <c r="AO18" s="1754"/>
      <c r="AP18" s="1754"/>
      <c r="AQ18" s="1754"/>
      <c r="AR18" s="1754"/>
      <c r="AS18" s="1754"/>
      <c r="AT18" s="1754"/>
      <c r="AU18" s="1754"/>
      <c r="AV18" s="1754"/>
      <c r="AW18" s="1754"/>
      <c r="AX18" s="1754"/>
      <c r="AY18" s="1754"/>
      <c r="AZ18" s="1754"/>
      <c r="BA18" s="1754"/>
      <c r="BB18" s="1754"/>
      <c r="BC18" s="1755"/>
      <c r="BD18" s="1754"/>
      <c r="BE18" s="1754"/>
      <c r="BF18" s="1754"/>
      <c r="BG18" s="1754"/>
      <c r="BH18" s="1754"/>
      <c r="BI18" s="1754"/>
      <c r="BJ18" s="1754"/>
      <c r="BK18" s="1754"/>
      <c r="BL18" s="1754"/>
      <c r="BM18" s="1754"/>
      <c r="BN18" s="1754"/>
      <c r="BO18" s="1754"/>
      <c r="BP18" s="1754"/>
      <c r="BQ18" s="1754"/>
      <c r="BR18" s="1754"/>
      <c r="BS18" s="1754"/>
      <c r="BT18" s="1754"/>
      <c r="BU18" s="1755"/>
      <c r="BV18" s="1754"/>
      <c r="BW18" s="1754"/>
      <c r="BX18" s="1754"/>
      <c r="BY18" s="1754"/>
      <c r="BZ18" s="1748" t="str">
        <f t="shared" si="0"/>
        <v/>
      </c>
      <c r="CA18" s="1748" t="str">
        <f t="shared" si="1"/>
        <v/>
      </c>
      <c r="CB18" s="1748" t="str">
        <f t="shared" si="2"/>
        <v/>
      </c>
      <c r="CC18" s="1749" t="str">
        <f t="shared" si="3"/>
        <v/>
      </c>
      <c r="CD18" s="1683" t="str">
        <f t="shared" si="4"/>
        <v/>
      </c>
      <c r="CE18" s="1684" t="str">
        <f t="shared" si="5"/>
        <v/>
      </c>
      <c r="CF18" s="1685" t="str">
        <f t="shared" si="5"/>
        <v/>
      </c>
      <c r="CG18" s="1685" t="str">
        <f t="shared" si="5"/>
        <v/>
      </c>
      <c r="CH18" s="1685" t="str">
        <f t="shared" si="5"/>
        <v/>
      </c>
      <c r="CI18" s="1685" t="str">
        <f t="shared" si="5"/>
        <v/>
      </c>
      <c r="CJ18" s="1685" t="str">
        <f t="shared" si="5"/>
        <v/>
      </c>
      <c r="CK18" s="1686" t="str">
        <f t="shared" si="5"/>
        <v/>
      </c>
      <c r="CL18" s="1686" t="str">
        <f t="shared" si="5"/>
        <v/>
      </c>
      <c r="CM18" s="1686" t="str">
        <f t="shared" si="5"/>
        <v/>
      </c>
      <c r="CN18" s="1685" t="str">
        <f t="shared" si="5"/>
        <v/>
      </c>
      <c r="CO18" s="1685" t="str">
        <f t="shared" si="5"/>
        <v/>
      </c>
      <c r="CP18" s="1685" t="str">
        <f t="shared" si="5"/>
        <v/>
      </c>
      <c r="CQ18" s="1685" t="str">
        <f t="shared" si="5"/>
        <v/>
      </c>
      <c r="CR18" s="1685" t="str">
        <f t="shared" si="5"/>
        <v/>
      </c>
      <c r="CS18" s="1684" t="str">
        <f t="shared" si="5"/>
        <v/>
      </c>
      <c r="CT18" s="1687" t="str">
        <f t="shared" si="5"/>
        <v/>
      </c>
      <c r="CU18" s="1696" t="str">
        <f t="shared" si="6"/>
        <v/>
      </c>
      <c r="CV18" s="1697" t="str">
        <f t="shared" si="7"/>
        <v/>
      </c>
      <c r="CW18" s="1698" t="str">
        <f t="shared" si="8"/>
        <v/>
      </c>
      <c r="CX18" s="1698" t="str">
        <f t="shared" si="9"/>
        <v/>
      </c>
      <c r="CY18" s="1698" t="str">
        <f t="shared" si="10"/>
        <v/>
      </c>
      <c r="CZ18" s="1698" t="str">
        <f t="shared" si="11"/>
        <v/>
      </c>
      <c r="DA18" s="1698" t="str">
        <f t="shared" si="12"/>
        <v/>
      </c>
      <c r="DB18" s="1699" t="str">
        <f t="shared" si="13"/>
        <v/>
      </c>
      <c r="DC18" s="1699" t="str">
        <f t="shared" si="14"/>
        <v/>
      </c>
      <c r="DD18" s="1699" t="str">
        <f t="shared" si="15"/>
        <v/>
      </c>
      <c r="DE18" s="1698" t="str">
        <f t="shared" si="16"/>
        <v/>
      </c>
      <c r="DF18" s="1698" t="str">
        <f t="shared" si="17"/>
        <v/>
      </c>
      <c r="DG18" s="1698" t="str">
        <f t="shared" si="18"/>
        <v/>
      </c>
      <c r="DH18" s="1698" t="str">
        <f t="shared" si="19"/>
        <v/>
      </c>
      <c r="DI18" s="1698" t="str">
        <f t="shared" si="20"/>
        <v/>
      </c>
      <c r="DJ18" s="1697" t="str">
        <f t="shared" si="21"/>
        <v/>
      </c>
      <c r="DK18" s="1696" t="str">
        <f t="shared" si="22"/>
        <v/>
      </c>
      <c r="DL18" s="1750">
        <f t="shared" si="23"/>
        <v>0</v>
      </c>
      <c r="DM18" s="1386">
        <f t="shared" si="24"/>
        <v>0</v>
      </c>
      <c r="DN18" s="1386">
        <f t="shared" si="25"/>
        <v>0</v>
      </c>
      <c r="DO18" s="1386">
        <f t="shared" si="26"/>
        <v>0</v>
      </c>
      <c r="DP18" s="1756"/>
      <c r="DQ18" s="1427"/>
      <c r="DR18" s="1427"/>
      <c r="DS18" s="1757"/>
      <c r="DT18" s="1758"/>
      <c r="DU18" s="1707"/>
    </row>
    <row r="19" spans="1:125" ht="12.75" customHeight="1">
      <c r="A19" s="1732" t="s">
        <v>257</v>
      </c>
      <c r="B19" s="1759"/>
      <c r="C19" s="1759"/>
      <c r="D19" s="1759"/>
      <c r="E19" s="1759"/>
      <c r="F19" s="1759"/>
      <c r="G19" s="1759"/>
      <c r="H19" s="1759"/>
      <c r="I19" s="1759"/>
      <c r="J19" s="1759"/>
      <c r="K19" s="1759"/>
      <c r="L19" s="1759"/>
      <c r="M19" s="1759"/>
      <c r="N19" s="1759"/>
      <c r="O19" s="1759"/>
      <c r="P19" s="1759"/>
      <c r="Q19" s="1759"/>
      <c r="R19" s="1759"/>
      <c r="S19" s="1755"/>
      <c r="T19" s="1759"/>
      <c r="U19" s="1759"/>
      <c r="V19" s="1759"/>
      <c r="W19" s="1759"/>
      <c r="X19" s="1759"/>
      <c r="Y19" s="1759"/>
      <c r="Z19" s="1759"/>
      <c r="AA19" s="1759"/>
      <c r="AB19" s="1759"/>
      <c r="AC19" s="1759"/>
      <c r="AD19" s="1759"/>
      <c r="AE19" s="1759"/>
      <c r="AF19" s="1759"/>
      <c r="AG19" s="1759"/>
      <c r="AH19" s="1759"/>
      <c r="AI19" s="1759"/>
      <c r="AJ19" s="1759"/>
      <c r="AK19" s="1755"/>
      <c r="AL19" s="1759"/>
      <c r="AM19" s="1759"/>
      <c r="AN19" s="1759"/>
      <c r="AO19" s="1759"/>
      <c r="AP19" s="1759"/>
      <c r="AQ19" s="1759"/>
      <c r="AR19" s="1759"/>
      <c r="AS19" s="1759"/>
      <c r="AT19" s="1759"/>
      <c r="AU19" s="1759"/>
      <c r="AV19" s="1759"/>
      <c r="AW19" s="1759"/>
      <c r="AX19" s="1759"/>
      <c r="AY19" s="1759"/>
      <c r="AZ19" s="1759"/>
      <c r="BA19" s="1759"/>
      <c r="BB19" s="1759"/>
      <c r="BC19" s="1755"/>
      <c r="BD19" s="1759"/>
      <c r="BE19" s="1759"/>
      <c r="BF19" s="1759"/>
      <c r="BG19" s="1759"/>
      <c r="BH19" s="1759"/>
      <c r="BI19" s="1759"/>
      <c r="BJ19" s="1759"/>
      <c r="BK19" s="1759"/>
      <c r="BL19" s="1759"/>
      <c r="BM19" s="1759"/>
      <c r="BN19" s="1759"/>
      <c r="BO19" s="1759"/>
      <c r="BP19" s="1759"/>
      <c r="BQ19" s="1759"/>
      <c r="BR19" s="1759"/>
      <c r="BS19" s="1759"/>
      <c r="BT19" s="1759"/>
      <c r="BU19" s="1755"/>
      <c r="BV19" s="1759"/>
      <c r="BW19" s="1759"/>
      <c r="BX19" s="1759"/>
      <c r="BY19" s="1759"/>
      <c r="BZ19" s="1748" t="str">
        <f t="shared" si="0"/>
        <v/>
      </c>
      <c r="CA19" s="1748" t="str">
        <f t="shared" si="1"/>
        <v/>
      </c>
      <c r="CB19" s="1748" t="str">
        <f t="shared" si="2"/>
        <v/>
      </c>
      <c r="CC19" s="1749" t="str">
        <f t="shared" si="3"/>
        <v/>
      </c>
      <c r="CD19" s="1683" t="str">
        <f t="shared" si="4"/>
        <v/>
      </c>
      <c r="CE19" s="1684" t="str">
        <f t="shared" si="5"/>
        <v/>
      </c>
      <c r="CF19" s="1685" t="str">
        <f t="shared" si="5"/>
        <v/>
      </c>
      <c r="CG19" s="1685" t="str">
        <f t="shared" si="5"/>
        <v/>
      </c>
      <c r="CH19" s="1685" t="str">
        <f t="shared" si="5"/>
        <v/>
      </c>
      <c r="CI19" s="1685" t="str">
        <f t="shared" si="5"/>
        <v/>
      </c>
      <c r="CJ19" s="1685" t="str">
        <f t="shared" si="5"/>
        <v/>
      </c>
      <c r="CK19" s="1686" t="str">
        <f t="shared" si="5"/>
        <v/>
      </c>
      <c r="CL19" s="1686" t="str">
        <f t="shared" si="5"/>
        <v/>
      </c>
      <c r="CM19" s="1686" t="str">
        <f t="shared" si="5"/>
        <v/>
      </c>
      <c r="CN19" s="1685" t="str">
        <f t="shared" si="5"/>
        <v/>
      </c>
      <c r="CO19" s="1685" t="str">
        <f t="shared" si="5"/>
        <v/>
      </c>
      <c r="CP19" s="1685" t="str">
        <f t="shared" si="5"/>
        <v/>
      </c>
      <c r="CQ19" s="1685" t="str">
        <f t="shared" si="5"/>
        <v/>
      </c>
      <c r="CR19" s="1685" t="str">
        <f t="shared" si="5"/>
        <v/>
      </c>
      <c r="CS19" s="1684" t="str">
        <f t="shared" si="5"/>
        <v/>
      </c>
      <c r="CT19" s="1687" t="str">
        <f t="shared" si="5"/>
        <v/>
      </c>
      <c r="CU19" s="1696" t="str">
        <f t="shared" si="6"/>
        <v/>
      </c>
      <c r="CV19" s="1697" t="str">
        <f t="shared" si="7"/>
        <v/>
      </c>
      <c r="CW19" s="1698" t="str">
        <f t="shared" si="8"/>
        <v/>
      </c>
      <c r="CX19" s="1698" t="str">
        <f t="shared" si="9"/>
        <v/>
      </c>
      <c r="CY19" s="1698" t="str">
        <f t="shared" si="10"/>
        <v/>
      </c>
      <c r="CZ19" s="1698" t="str">
        <f t="shared" si="11"/>
        <v/>
      </c>
      <c r="DA19" s="1698" t="str">
        <f t="shared" si="12"/>
        <v/>
      </c>
      <c r="DB19" s="1699" t="str">
        <f t="shared" si="13"/>
        <v/>
      </c>
      <c r="DC19" s="1699" t="str">
        <f t="shared" si="14"/>
        <v/>
      </c>
      <c r="DD19" s="1699" t="str">
        <f t="shared" si="15"/>
        <v/>
      </c>
      <c r="DE19" s="1698" t="str">
        <f t="shared" si="16"/>
        <v/>
      </c>
      <c r="DF19" s="1698" t="str">
        <f t="shared" si="17"/>
        <v/>
      </c>
      <c r="DG19" s="1698" t="str">
        <f t="shared" si="18"/>
        <v/>
      </c>
      <c r="DH19" s="1698" t="str">
        <f t="shared" si="19"/>
        <v/>
      </c>
      <c r="DI19" s="1698" t="str">
        <f t="shared" si="20"/>
        <v/>
      </c>
      <c r="DJ19" s="1697" t="str">
        <f t="shared" si="21"/>
        <v/>
      </c>
      <c r="DK19" s="1696" t="str">
        <f t="shared" si="22"/>
        <v/>
      </c>
      <c r="DL19" s="1750">
        <f t="shared" si="23"/>
        <v>0</v>
      </c>
      <c r="DM19" s="1386">
        <f t="shared" si="24"/>
        <v>0</v>
      </c>
      <c r="DN19" s="1386">
        <f t="shared" si="25"/>
        <v>0</v>
      </c>
      <c r="DO19" s="1386">
        <f t="shared" si="26"/>
        <v>0</v>
      </c>
      <c r="DP19" s="1760" t="str">
        <f>IF(SUM(BV19)&gt;0,(BV17-DP22-SUM(BV22)*(DP22=""))*'Exp factors'!C$21,"")</f>
        <v/>
      </c>
      <c r="DQ19" s="1497" t="str">
        <f>IF(SUM(BW19)&gt;0,(BW17-DQ22-SUM(BW22)*(DQ22=""))*'Exp factors'!D$21,"")</f>
        <v/>
      </c>
      <c r="DR19" s="1497" t="str">
        <f>IF(SUM(BX19)&gt;0,(BX17-DR22-SUM(BX22)*(DR22=""))*'Exp factors'!E$21,"")</f>
        <v/>
      </c>
      <c r="DS19" s="1761" t="str">
        <f>IF(SUM(BY19)&gt;0,(BY17-DS22-SUM(BY22)*(DS22=""))*'Exp factors'!F$21,"")</f>
        <v/>
      </c>
      <c r="DT19" s="1758"/>
      <c r="DU19" s="1707"/>
    </row>
    <row r="20" spans="1:125" ht="12.75" customHeight="1">
      <c r="A20" s="1762" t="s">
        <v>181</v>
      </c>
      <c r="B20" s="1763"/>
      <c r="C20" s="1763"/>
      <c r="D20" s="1763"/>
      <c r="E20" s="1763"/>
      <c r="F20" s="1763"/>
      <c r="G20" s="1763"/>
      <c r="H20" s="1763"/>
      <c r="I20" s="1763"/>
      <c r="J20" s="1763"/>
      <c r="K20" s="1763"/>
      <c r="L20" s="1763"/>
      <c r="M20" s="1763"/>
      <c r="N20" s="1763"/>
      <c r="O20" s="1763"/>
      <c r="P20" s="1763"/>
      <c r="Q20" s="1763"/>
      <c r="R20" s="1763"/>
      <c r="S20" s="1755"/>
      <c r="T20" s="1763"/>
      <c r="U20" s="1763"/>
      <c r="V20" s="1763"/>
      <c r="W20" s="1763"/>
      <c r="X20" s="1763"/>
      <c r="Y20" s="1763"/>
      <c r="Z20" s="1763"/>
      <c r="AA20" s="1763"/>
      <c r="AB20" s="1763"/>
      <c r="AC20" s="1763"/>
      <c r="AD20" s="1763"/>
      <c r="AE20" s="1763"/>
      <c r="AF20" s="1763"/>
      <c r="AG20" s="1763"/>
      <c r="AH20" s="1763"/>
      <c r="AI20" s="1763"/>
      <c r="AJ20" s="1763"/>
      <c r="AK20" s="1755"/>
      <c r="AL20" s="1763"/>
      <c r="AM20" s="1763"/>
      <c r="AN20" s="1763"/>
      <c r="AO20" s="1763"/>
      <c r="AP20" s="1763"/>
      <c r="AQ20" s="1763"/>
      <c r="AR20" s="1763"/>
      <c r="AS20" s="1763"/>
      <c r="AT20" s="1763"/>
      <c r="AU20" s="1763"/>
      <c r="AV20" s="1763"/>
      <c r="AW20" s="1763"/>
      <c r="AX20" s="1763"/>
      <c r="AY20" s="1763"/>
      <c r="AZ20" s="1763"/>
      <c r="BA20" s="1763"/>
      <c r="BB20" s="1763"/>
      <c r="BC20" s="1755"/>
      <c r="BD20" s="1763"/>
      <c r="BE20" s="1763"/>
      <c r="BF20" s="1763"/>
      <c r="BG20" s="1763"/>
      <c r="BH20" s="1763"/>
      <c r="BI20" s="1763"/>
      <c r="BJ20" s="1763"/>
      <c r="BK20" s="1763"/>
      <c r="BL20" s="1763"/>
      <c r="BM20" s="1763"/>
      <c r="BN20" s="1763"/>
      <c r="BO20" s="1763"/>
      <c r="BP20" s="1763"/>
      <c r="BQ20" s="1763"/>
      <c r="BR20" s="1763"/>
      <c r="BS20" s="1763"/>
      <c r="BT20" s="1763"/>
      <c r="BU20" s="1755"/>
      <c r="BV20" s="1763"/>
      <c r="BW20" s="1763"/>
      <c r="BX20" s="1763"/>
      <c r="BY20" s="1763"/>
      <c r="BZ20" s="1748" t="str">
        <f t="shared" si="0"/>
        <v/>
      </c>
      <c r="CA20" s="1748" t="str">
        <f t="shared" si="1"/>
        <v/>
      </c>
      <c r="CB20" s="1748" t="str">
        <f t="shared" si="2"/>
        <v/>
      </c>
      <c r="CC20" s="1749" t="str">
        <f t="shared" si="3"/>
        <v/>
      </c>
      <c r="CD20" s="1683" t="str">
        <f t="shared" si="4"/>
        <v/>
      </c>
      <c r="CE20" s="1684" t="str">
        <f t="shared" si="5"/>
        <v/>
      </c>
      <c r="CF20" s="1685" t="str">
        <f t="shared" si="5"/>
        <v/>
      </c>
      <c r="CG20" s="1685" t="str">
        <f t="shared" si="5"/>
        <v/>
      </c>
      <c r="CH20" s="1685" t="str">
        <f t="shared" si="5"/>
        <v/>
      </c>
      <c r="CI20" s="1685" t="str">
        <f t="shared" si="5"/>
        <v/>
      </c>
      <c r="CJ20" s="1685" t="str">
        <f t="shared" si="5"/>
        <v/>
      </c>
      <c r="CK20" s="1686" t="str">
        <f t="shared" si="5"/>
        <v/>
      </c>
      <c r="CL20" s="1686" t="str">
        <f t="shared" si="5"/>
        <v/>
      </c>
      <c r="CM20" s="1686" t="str">
        <f t="shared" si="5"/>
        <v/>
      </c>
      <c r="CN20" s="1685" t="str">
        <f t="shared" si="5"/>
        <v/>
      </c>
      <c r="CO20" s="1685" t="str">
        <f t="shared" si="5"/>
        <v/>
      </c>
      <c r="CP20" s="1685" t="str">
        <f t="shared" si="5"/>
        <v/>
      </c>
      <c r="CQ20" s="1685" t="str">
        <f t="shared" si="5"/>
        <v/>
      </c>
      <c r="CR20" s="1685" t="str">
        <f t="shared" si="5"/>
        <v/>
      </c>
      <c r="CS20" s="1684" t="str">
        <f t="shared" si="5"/>
        <v/>
      </c>
      <c r="CT20" s="1687" t="str">
        <f t="shared" si="5"/>
        <v/>
      </c>
      <c r="CU20" s="1696" t="str">
        <f t="shared" si="6"/>
        <v/>
      </c>
      <c r="CV20" s="1697" t="str">
        <f t="shared" si="7"/>
        <v/>
      </c>
      <c r="CW20" s="1698" t="str">
        <f t="shared" si="8"/>
        <v/>
      </c>
      <c r="CX20" s="1698" t="str">
        <f t="shared" si="9"/>
        <v/>
      </c>
      <c r="CY20" s="1698" t="str">
        <f t="shared" si="10"/>
        <v/>
      </c>
      <c r="CZ20" s="1698" t="str">
        <f t="shared" si="11"/>
        <v/>
      </c>
      <c r="DA20" s="1698" t="str">
        <f t="shared" si="12"/>
        <v/>
      </c>
      <c r="DB20" s="1699" t="str">
        <f t="shared" si="13"/>
        <v/>
      </c>
      <c r="DC20" s="1699" t="str">
        <f t="shared" si="14"/>
        <v/>
      </c>
      <c r="DD20" s="1699" t="str">
        <f t="shared" si="15"/>
        <v/>
      </c>
      <c r="DE20" s="1698" t="str">
        <f t="shared" si="16"/>
        <v/>
      </c>
      <c r="DF20" s="1698" t="str">
        <f t="shared" si="17"/>
        <v/>
      </c>
      <c r="DG20" s="1698" t="str">
        <f t="shared" si="18"/>
        <v/>
      </c>
      <c r="DH20" s="1698" t="str">
        <f t="shared" si="19"/>
        <v/>
      </c>
      <c r="DI20" s="1698" t="str">
        <f t="shared" si="20"/>
        <v/>
      </c>
      <c r="DJ20" s="1697" t="str">
        <f t="shared" si="21"/>
        <v/>
      </c>
      <c r="DK20" s="1696" t="str">
        <f t="shared" si="22"/>
        <v/>
      </c>
      <c r="DL20" s="1750">
        <f t="shared" si="23"/>
        <v>0</v>
      </c>
      <c r="DM20" s="1386">
        <f t="shared" si="24"/>
        <v>0</v>
      </c>
      <c r="DN20" s="1386">
        <f t="shared" si="25"/>
        <v>0</v>
      </c>
      <c r="DO20" s="1386">
        <f t="shared" si="26"/>
        <v>0</v>
      </c>
      <c r="DP20" s="1756"/>
      <c r="DQ20" s="1427"/>
      <c r="DR20" s="1427"/>
      <c r="DS20" s="1757"/>
      <c r="DT20" s="1758"/>
      <c r="DU20" s="1707"/>
    </row>
    <row r="21" spans="1:125" ht="12.75" customHeight="1">
      <c r="A21" s="1762" t="s">
        <v>183</v>
      </c>
      <c r="B21" s="1355" t="str">
        <f t="shared" ref="B21:I21" si="35">IF(B19="","",B19*B20)</f>
        <v/>
      </c>
      <c r="C21" s="1355" t="str">
        <f t="shared" si="35"/>
        <v/>
      </c>
      <c r="D21" s="1355" t="str">
        <f t="shared" si="35"/>
        <v/>
      </c>
      <c r="E21" s="1355" t="str">
        <f t="shared" si="35"/>
        <v/>
      </c>
      <c r="F21" s="1355" t="str">
        <f t="shared" si="35"/>
        <v/>
      </c>
      <c r="G21" s="1355" t="str">
        <f t="shared" si="35"/>
        <v/>
      </c>
      <c r="H21" s="1355" t="str">
        <f t="shared" si="35"/>
        <v/>
      </c>
      <c r="I21" s="1355" t="str">
        <f t="shared" si="35"/>
        <v/>
      </c>
      <c r="J21" s="1355"/>
      <c r="K21" s="1355" t="str">
        <f t="shared" ref="K21:R21" si="36">IF(K19="","",K19*K20)</f>
        <v/>
      </c>
      <c r="L21" s="1355" t="str">
        <f t="shared" si="36"/>
        <v/>
      </c>
      <c r="M21" s="1355" t="str">
        <f t="shared" si="36"/>
        <v/>
      </c>
      <c r="N21" s="1355" t="str">
        <f t="shared" si="36"/>
        <v/>
      </c>
      <c r="O21" s="1355" t="str">
        <f t="shared" si="36"/>
        <v/>
      </c>
      <c r="P21" s="1355" t="str">
        <f t="shared" si="36"/>
        <v/>
      </c>
      <c r="Q21" s="1355" t="str">
        <f t="shared" si="36"/>
        <v/>
      </c>
      <c r="R21" s="1355" t="str">
        <f t="shared" si="36"/>
        <v/>
      </c>
      <c r="S21" s="1765"/>
      <c r="T21" s="1355" t="str">
        <f t="shared" ref="T21:AJ21" si="37">IF(T19="","",T19*T20)</f>
        <v/>
      </c>
      <c r="U21" s="1355" t="str">
        <f t="shared" si="37"/>
        <v/>
      </c>
      <c r="V21" s="1355" t="str">
        <f t="shared" si="37"/>
        <v/>
      </c>
      <c r="W21" s="1355" t="str">
        <f t="shared" si="37"/>
        <v/>
      </c>
      <c r="X21" s="1355" t="str">
        <f t="shared" si="37"/>
        <v/>
      </c>
      <c r="Y21" s="1355" t="str">
        <f t="shared" si="37"/>
        <v/>
      </c>
      <c r="Z21" s="1355" t="str">
        <f t="shared" si="37"/>
        <v/>
      </c>
      <c r="AA21" s="1355" t="str">
        <f t="shared" si="37"/>
        <v/>
      </c>
      <c r="AB21" s="1355" t="str">
        <f t="shared" si="37"/>
        <v/>
      </c>
      <c r="AC21" s="1355" t="str">
        <f t="shared" si="37"/>
        <v/>
      </c>
      <c r="AD21" s="1355" t="str">
        <f t="shared" si="37"/>
        <v/>
      </c>
      <c r="AE21" s="1355" t="str">
        <f t="shared" si="37"/>
        <v/>
      </c>
      <c r="AF21" s="1355" t="str">
        <f t="shared" si="37"/>
        <v/>
      </c>
      <c r="AG21" s="1355" t="str">
        <f t="shared" si="37"/>
        <v/>
      </c>
      <c r="AH21" s="1355" t="str">
        <f t="shared" si="37"/>
        <v/>
      </c>
      <c r="AI21" s="1355" t="str">
        <f t="shared" si="37"/>
        <v/>
      </c>
      <c r="AJ21" s="1355" t="str">
        <f t="shared" si="37"/>
        <v/>
      </c>
      <c r="AK21" s="1765"/>
      <c r="AL21" s="1355" t="str">
        <f t="shared" ref="AL21:BB21" si="38">IF(AL19="","",AL19*AL20)</f>
        <v/>
      </c>
      <c r="AM21" s="1355" t="str">
        <f t="shared" si="38"/>
        <v/>
      </c>
      <c r="AN21" s="1355" t="str">
        <f t="shared" si="38"/>
        <v/>
      </c>
      <c r="AO21" s="1355" t="str">
        <f t="shared" si="38"/>
        <v/>
      </c>
      <c r="AP21" s="1355" t="str">
        <f t="shared" si="38"/>
        <v/>
      </c>
      <c r="AQ21" s="1355" t="str">
        <f t="shared" si="38"/>
        <v/>
      </c>
      <c r="AR21" s="1355" t="str">
        <f t="shared" si="38"/>
        <v/>
      </c>
      <c r="AS21" s="1355" t="str">
        <f t="shared" si="38"/>
        <v/>
      </c>
      <c r="AT21" s="1355" t="str">
        <f t="shared" si="38"/>
        <v/>
      </c>
      <c r="AU21" s="1355" t="str">
        <f t="shared" si="38"/>
        <v/>
      </c>
      <c r="AV21" s="1355" t="str">
        <f t="shared" si="38"/>
        <v/>
      </c>
      <c r="AW21" s="1355" t="str">
        <f t="shared" si="38"/>
        <v/>
      </c>
      <c r="AX21" s="1355" t="str">
        <f t="shared" si="38"/>
        <v/>
      </c>
      <c r="AY21" s="1355" t="str">
        <f t="shared" si="38"/>
        <v/>
      </c>
      <c r="AZ21" s="1355" t="str">
        <f t="shared" si="38"/>
        <v/>
      </c>
      <c r="BA21" s="1355" t="str">
        <f t="shared" si="38"/>
        <v/>
      </c>
      <c r="BB21" s="1355" t="str">
        <f t="shared" si="38"/>
        <v/>
      </c>
      <c r="BC21" s="1765"/>
      <c r="BD21" s="1355" t="str">
        <f t="shared" ref="BD21:BT21" si="39">IF(BD19="","",BD19*BD20)</f>
        <v/>
      </c>
      <c r="BE21" s="1355" t="str">
        <f t="shared" si="39"/>
        <v/>
      </c>
      <c r="BF21" s="1355" t="str">
        <f t="shared" si="39"/>
        <v/>
      </c>
      <c r="BG21" s="1355" t="str">
        <f t="shared" si="39"/>
        <v/>
      </c>
      <c r="BH21" s="1355" t="str">
        <f t="shared" si="39"/>
        <v/>
      </c>
      <c r="BI21" s="1355" t="str">
        <f t="shared" si="39"/>
        <v/>
      </c>
      <c r="BJ21" s="1355" t="str">
        <f t="shared" si="39"/>
        <v/>
      </c>
      <c r="BK21" s="1355" t="str">
        <f t="shared" si="39"/>
        <v/>
      </c>
      <c r="BL21" s="1355" t="str">
        <f t="shared" si="39"/>
        <v/>
      </c>
      <c r="BM21" s="1355" t="str">
        <f t="shared" si="39"/>
        <v/>
      </c>
      <c r="BN21" s="1355" t="str">
        <f t="shared" si="39"/>
        <v/>
      </c>
      <c r="BO21" s="1355" t="str">
        <f t="shared" si="39"/>
        <v/>
      </c>
      <c r="BP21" s="1355" t="str">
        <f t="shared" si="39"/>
        <v/>
      </c>
      <c r="BQ21" s="1355" t="str">
        <f t="shared" si="39"/>
        <v/>
      </c>
      <c r="BR21" s="1355" t="str">
        <f t="shared" si="39"/>
        <v/>
      </c>
      <c r="BS21" s="1355" t="str">
        <f t="shared" si="39"/>
        <v/>
      </c>
      <c r="BT21" s="1355" t="str">
        <f t="shared" si="39"/>
        <v/>
      </c>
      <c r="BU21" s="1765"/>
      <c r="BV21" s="1355" t="str">
        <f>IF(BV19="","",BV19*BV20)</f>
        <v/>
      </c>
      <c r="BW21" s="1355" t="str">
        <f>IF(BW19="","",BW19*BW20)</f>
        <v/>
      </c>
      <c r="BX21" s="1355" t="str">
        <f>IF(BX19="","",BX19*BX20)</f>
        <v/>
      </c>
      <c r="BY21" s="1355" t="str">
        <f>IF(BY19="","",BY19*BY20)</f>
        <v/>
      </c>
      <c r="BZ21" s="1748" t="str">
        <f t="shared" si="0"/>
        <v/>
      </c>
      <c r="CA21" s="1748" t="str">
        <f t="shared" si="1"/>
        <v/>
      </c>
      <c r="CB21" s="1748" t="str">
        <f t="shared" si="2"/>
        <v/>
      </c>
      <c r="CC21" s="1749" t="str">
        <f t="shared" si="3"/>
        <v/>
      </c>
      <c r="CD21" s="1683" t="str">
        <f t="shared" si="4"/>
        <v/>
      </c>
      <c r="CE21" s="1684" t="str">
        <f t="shared" si="5"/>
        <v/>
      </c>
      <c r="CF21" s="1685" t="str">
        <f t="shared" si="5"/>
        <v/>
      </c>
      <c r="CG21" s="1685" t="str">
        <f t="shared" si="5"/>
        <v/>
      </c>
      <c r="CH21" s="1685" t="str">
        <f t="shared" si="5"/>
        <v/>
      </c>
      <c r="CI21" s="1685" t="str">
        <f t="shared" si="5"/>
        <v/>
      </c>
      <c r="CJ21" s="1685" t="str">
        <f t="shared" si="5"/>
        <v/>
      </c>
      <c r="CK21" s="1686" t="str">
        <f t="shared" si="5"/>
        <v/>
      </c>
      <c r="CL21" s="1686" t="str">
        <f t="shared" si="5"/>
        <v/>
      </c>
      <c r="CM21" s="1686" t="str">
        <f t="shared" si="5"/>
        <v/>
      </c>
      <c r="CN21" s="1685" t="str">
        <f t="shared" si="5"/>
        <v/>
      </c>
      <c r="CO21" s="1685" t="str">
        <f t="shared" si="5"/>
        <v/>
      </c>
      <c r="CP21" s="1685" t="str">
        <f t="shared" si="5"/>
        <v/>
      </c>
      <c r="CQ21" s="1685" t="str">
        <f t="shared" si="5"/>
        <v/>
      </c>
      <c r="CR21" s="1685" t="str">
        <f t="shared" si="5"/>
        <v/>
      </c>
      <c r="CS21" s="1684" t="str">
        <f t="shared" si="5"/>
        <v/>
      </c>
      <c r="CT21" s="1687" t="str">
        <f t="shared" si="5"/>
        <v/>
      </c>
      <c r="CU21" s="1696" t="str">
        <f t="shared" si="6"/>
        <v/>
      </c>
      <c r="CV21" s="1697" t="str">
        <f t="shared" si="7"/>
        <v/>
      </c>
      <c r="CW21" s="1698" t="str">
        <f t="shared" si="8"/>
        <v/>
      </c>
      <c r="CX21" s="1698" t="str">
        <f t="shared" si="9"/>
        <v/>
      </c>
      <c r="CY21" s="1698" t="str">
        <f t="shared" si="10"/>
        <v/>
      </c>
      <c r="CZ21" s="1698" t="str">
        <f t="shared" si="11"/>
        <v/>
      </c>
      <c r="DA21" s="1698" t="str">
        <f t="shared" si="12"/>
        <v/>
      </c>
      <c r="DB21" s="1699" t="str">
        <f t="shared" si="13"/>
        <v/>
      </c>
      <c r="DC21" s="1699" t="str">
        <f t="shared" si="14"/>
        <v/>
      </c>
      <c r="DD21" s="1699" t="str">
        <f t="shared" si="15"/>
        <v/>
      </c>
      <c r="DE21" s="1698" t="str">
        <f t="shared" si="16"/>
        <v/>
      </c>
      <c r="DF21" s="1698" t="str">
        <f t="shared" si="17"/>
        <v/>
      </c>
      <c r="DG21" s="1698" t="str">
        <f t="shared" si="18"/>
        <v/>
      </c>
      <c r="DH21" s="1698" t="str">
        <f t="shared" si="19"/>
        <v/>
      </c>
      <c r="DI21" s="1698" t="str">
        <f t="shared" si="20"/>
        <v/>
      </c>
      <c r="DJ21" s="1697" t="str">
        <f t="shared" si="21"/>
        <v/>
      </c>
      <c r="DK21" s="1696" t="str">
        <f t="shared" si="22"/>
        <v/>
      </c>
      <c r="DL21" s="1750">
        <f t="shared" si="23"/>
        <v>0</v>
      </c>
      <c r="DM21" s="1386">
        <f t="shared" si="24"/>
        <v>0</v>
      </c>
      <c r="DN21" s="1386">
        <f t="shared" si="25"/>
        <v>0</v>
      </c>
      <c r="DO21" s="1386">
        <f t="shared" si="26"/>
        <v>0</v>
      </c>
      <c r="DP21" s="1766" t="str">
        <f>IF(DP19="","",DP19*BV20)</f>
        <v/>
      </c>
      <c r="DQ21" s="1463" t="str">
        <f>IF(DQ19="","",DQ19*BW20)</f>
        <v/>
      </c>
      <c r="DR21" s="1463" t="str">
        <f>IF(DR19="","",DR19*BX20)</f>
        <v/>
      </c>
      <c r="DS21" s="1767" t="str">
        <f>IF(DS19="","",DS19*BY20)</f>
        <v/>
      </c>
      <c r="DT21" s="1758"/>
      <c r="DU21" s="1707"/>
    </row>
    <row r="22" spans="1:125" ht="12.75" customHeight="1">
      <c r="A22" s="1762" t="s">
        <v>258</v>
      </c>
      <c r="B22" s="1768"/>
      <c r="C22" s="1768"/>
      <c r="D22" s="1768"/>
      <c r="E22" s="1768"/>
      <c r="F22" s="1768"/>
      <c r="G22" s="1768"/>
      <c r="H22" s="1768"/>
      <c r="I22" s="1768"/>
      <c r="J22" s="1768"/>
      <c r="K22" s="1768"/>
      <c r="L22" s="1768"/>
      <c r="M22" s="1768"/>
      <c r="N22" s="1768"/>
      <c r="O22" s="1768"/>
      <c r="P22" s="1768"/>
      <c r="Q22" s="1768"/>
      <c r="R22" s="1768"/>
      <c r="S22" s="1747"/>
      <c r="T22" s="1768"/>
      <c r="U22" s="1768"/>
      <c r="V22" s="1768"/>
      <c r="W22" s="1768"/>
      <c r="X22" s="1768"/>
      <c r="Y22" s="1768"/>
      <c r="Z22" s="1768"/>
      <c r="AA22" s="1768"/>
      <c r="AB22" s="1768"/>
      <c r="AC22" s="1768"/>
      <c r="AD22" s="1768"/>
      <c r="AE22" s="1768"/>
      <c r="AF22" s="1768"/>
      <c r="AG22" s="1768"/>
      <c r="AH22" s="1768"/>
      <c r="AI22" s="1768"/>
      <c r="AJ22" s="1768"/>
      <c r="AK22" s="1747"/>
      <c r="AL22" s="1768"/>
      <c r="AM22" s="1768"/>
      <c r="AN22" s="1768"/>
      <c r="AO22" s="1768"/>
      <c r="AP22" s="1768"/>
      <c r="AQ22" s="1768"/>
      <c r="AR22" s="1768"/>
      <c r="AS22" s="1768"/>
      <c r="AT22" s="1768"/>
      <c r="AU22" s="1768"/>
      <c r="AV22" s="1768"/>
      <c r="AW22" s="1768"/>
      <c r="AX22" s="1768"/>
      <c r="AY22" s="1768"/>
      <c r="AZ22" s="1768"/>
      <c r="BA22" s="1768"/>
      <c r="BB22" s="1768"/>
      <c r="BC22" s="1747"/>
      <c r="BD22" s="1768"/>
      <c r="BE22" s="1768"/>
      <c r="BF22" s="1768"/>
      <c r="BG22" s="1768"/>
      <c r="BH22" s="1768"/>
      <c r="BI22" s="1768"/>
      <c r="BJ22" s="1768"/>
      <c r="BK22" s="1768"/>
      <c r="BL22" s="1768"/>
      <c r="BM22" s="1768"/>
      <c r="BN22" s="1768"/>
      <c r="BO22" s="1768"/>
      <c r="BP22" s="1768"/>
      <c r="BQ22" s="1768"/>
      <c r="BR22" s="1768"/>
      <c r="BS22" s="1768"/>
      <c r="BT22" s="1768"/>
      <c r="BU22" s="1747"/>
      <c r="BV22" s="1768"/>
      <c r="BW22" s="1768"/>
      <c r="BX22" s="1768"/>
      <c r="BY22" s="1768"/>
      <c r="BZ22" s="1748" t="str">
        <f t="shared" si="0"/>
        <v/>
      </c>
      <c r="CA22" s="1748" t="str">
        <f t="shared" si="1"/>
        <v/>
      </c>
      <c r="CB22" s="1748" t="str">
        <f t="shared" si="2"/>
        <v/>
      </c>
      <c r="CC22" s="1749" t="str">
        <f t="shared" si="3"/>
        <v/>
      </c>
      <c r="CD22" s="1683" t="str">
        <f t="shared" si="4"/>
        <v/>
      </c>
      <c r="CE22" s="1684" t="str">
        <f t="shared" si="5"/>
        <v/>
      </c>
      <c r="CF22" s="1685" t="str">
        <f t="shared" si="5"/>
        <v/>
      </c>
      <c r="CG22" s="1685" t="str">
        <f t="shared" si="5"/>
        <v/>
      </c>
      <c r="CH22" s="1685" t="str">
        <f t="shared" si="5"/>
        <v/>
      </c>
      <c r="CI22" s="1685" t="str">
        <f t="shared" si="5"/>
        <v/>
      </c>
      <c r="CJ22" s="1685" t="str">
        <f t="shared" si="5"/>
        <v/>
      </c>
      <c r="CK22" s="1686" t="str">
        <f t="shared" si="5"/>
        <v/>
      </c>
      <c r="CL22" s="1686" t="str">
        <f t="shared" si="5"/>
        <v/>
      </c>
      <c r="CM22" s="1686" t="str">
        <f t="shared" si="5"/>
        <v/>
      </c>
      <c r="CN22" s="1685" t="str">
        <f t="shared" si="5"/>
        <v/>
      </c>
      <c r="CO22" s="1685" t="str">
        <f t="shared" si="5"/>
        <v/>
      </c>
      <c r="CP22" s="1685" t="str">
        <f t="shared" si="5"/>
        <v/>
      </c>
      <c r="CQ22" s="1685" t="str">
        <f t="shared" si="5"/>
        <v/>
      </c>
      <c r="CR22" s="1685" t="str">
        <f t="shared" si="5"/>
        <v/>
      </c>
      <c r="CS22" s="1684" t="str">
        <f t="shared" si="5"/>
        <v/>
      </c>
      <c r="CT22" s="1687" t="str">
        <f t="shared" si="5"/>
        <v/>
      </c>
      <c r="CU22" s="1696" t="str">
        <f t="shared" si="6"/>
        <v/>
      </c>
      <c r="CV22" s="1697" t="str">
        <f t="shared" si="7"/>
        <v/>
      </c>
      <c r="CW22" s="1698" t="str">
        <f t="shared" si="8"/>
        <v/>
      </c>
      <c r="CX22" s="1698" t="str">
        <f t="shared" si="9"/>
        <v/>
      </c>
      <c r="CY22" s="1698" t="str">
        <f t="shared" si="10"/>
        <v/>
      </c>
      <c r="CZ22" s="1698" t="str">
        <f t="shared" si="11"/>
        <v/>
      </c>
      <c r="DA22" s="1698" t="str">
        <f t="shared" si="12"/>
        <v/>
      </c>
      <c r="DB22" s="1699" t="str">
        <f t="shared" si="13"/>
        <v/>
      </c>
      <c r="DC22" s="1699" t="str">
        <f t="shared" si="14"/>
        <v/>
      </c>
      <c r="DD22" s="1699" t="str">
        <f t="shared" si="15"/>
        <v/>
      </c>
      <c r="DE22" s="1698" t="str">
        <f t="shared" si="16"/>
        <v/>
      </c>
      <c r="DF22" s="1698" t="str">
        <f t="shared" si="17"/>
        <v/>
      </c>
      <c r="DG22" s="1698" t="str">
        <f t="shared" si="18"/>
        <v/>
      </c>
      <c r="DH22" s="1698" t="str">
        <f t="shared" si="19"/>
        <v/>
      </c>
      <c r="DI22" s="1698" t="str">
        <f t="shared" si="20"/>
        <v/>
      </c>
      <c r="DJ22" s="1697" t="str">
        <f t="shared" si="21"/>
        <v/>
      </c>
      <c r="DK22" s="1696" t="str">
        <f t="shared" si="22"/>
        <v/>
      </c>
      <c r="DL22" s="1750">
        <f t="shared" si="23"/>
        <v>0</v>
      </c>
      <c r="DM22" s="1386">
        <f t="shared" si="24"/>
        <v>0</v>
      </c>
      <c r="DN22" s="1386">
        <f t="shared" si="25"/>
        <v>0</v>
      </c>
      <c r="DO22" s="1386">
        <f t="shared" si="26"/>
        <v>0</v>
      </c>
      <c r="DP22" s="1769"/>
      <c r="DQ22" s="1492"/>
      <c r="DR22" s="1492"/>
      <c r="DS22" s="1770"/>
      <c r="DT22" s="1758"/>
      <c r="DU22" s="1707"/>
    </row>
    <row r="23" spans="1:125" ht="12.75" customHeight="1">
      <c r="A23" s="1771" t="s">
        <v>227</v>
      </c>
      <c r="B23" s="1354" t="str">
        <f t="shared" ref="B23:I23" si="40">IF(B17="","",(B17-B19-B22)*B18/B$7/365/$G$1)</f>
        <v/>
      </c>
      <c r="C23" s="1354" t="str">
        <f t="shared" si="40"/>
        <v/>
      </c>
      <c r="D23" s="1354" t="str">
        <f t="shared" si="40"/>
        <v/>
      </c>
      <c r="E23" s="1354" t="str">
        <f t="shared" si="40"/>
        <v/>
      </c>
      <c r="F23" s="1354" t="str">
        <f t="shared" si="40"/>
        <v/>
      </c>
      <c r="G23" s="1354" t="str">
        <f t="shared" si="40"/>
        <v/>
      </c>
      <c r="H23" s="1354" t="str">
        <f t="shared" si="40"/>
        <v/>
      </c>
      <c r="I23" s="1354" t="str">
        <f t="shared" si="40"/>
        <v/>
      </c>
      <c r="J23" s="1354"/>
      <c r="K23" s="1354" t="str">
        <f t="shared" ref="K23:R23" si="41">IF(K17="","",(K17-K19-K22)*K18/K$7/365/$G$1)</f>
        <v/>
      </c>
      <c r="L23" s="1354" t="str">
        <f t="shared" si="41"/>
        <v/>
      </c>
      <c r="M23" s="1354" t="str">
        <f t="shared" si="41"/>
        <v/>
      </c>
      <c r="N23" s="1354" t="str">
        <f t="shared" si="41"/>
        <v/>
      </c>
      <c r="O23" s="1354" t="str">
        <f t="shared" si="41"/>
        <v/>
      </c>
      <c r="P23" s="1354" t="str">
        <f t="shared" si="41"/>
        <v/>
      </c>
      <c r="Q23" s="1354" t="str">
        <f t="shared" si="41"/>
        <v/>
      </c>
      <c r="R23" s="1354" t="str">
        <f t="shared" si="41"/>
        <v/>
      </c>
      <c r="S23" s="1772"/>
      <c r="T23" s="1354" t="str">
        <f t="shared" ref="T23:AJ23" si="42">IF(T17="","",(T17-T19-T22)*T18/T$7/365/$G$1)</f>
        <v/>
      </c>
      <c r="U23" s="1354" t="str">
        <f t="shared" si="42"/>
        <v/>
      </c>
      <c r="V23" s="1354" t="str">
        <f t="shared" si="42"/>
        <v/>
      </c>
      <c r="W23" s="1354" t="str">
        <f t="shared" si="42"/>
        <v/>
      </c>
      <c r="X23" s="1354" t="str">
        <f t="shared" si="42"/>
        <v/>
      </c>
      <c r="Y23" s="1354" t="str">
        <f t="shared" si="42"/>
        <v/>
      </c>
      <c r="Z23" s="1354" t="str">
        <f t="shared" si="42"/>
        <v/>
      </c>
      <c r="AA23" s="1354" t="str">
        <f t="shared" si="42"/>
        <v/>
      </c>
      <c r="AB23" s="1354" t="str">
        <f t="shared" si="42"/>
        <v/>
      </c>
      <c r="AC23" s="1354" t="str">
        <f t="shared" si="42"/>
        <v/>
      </c>
      <c r="AD23" s="1354" t="str">
        <f t="shared" si="42"/>
        <v/>
      </c>
      <c r="AE23" s="1354" t="str">
        <f t="shared" si="42"/>
        <v/>
      </c>
      <c r="AF23" s="1354" t="str">
        <f t="shared" si="42"/>
        <v/>
      </c>
      <c r="AG23" s="1354" t="str">
        <f t="shared" si="42"/>
        <v/>
      </c>
      <c r="AH23" s="1354" t="str">
        <f t="shared" si="42"/>
        <v/>
      </c>
      <c r="AI23" s="1354" t="str">
        <f t="shared" si="42"/>
        <v/>
      </c>
      <c r="AJ23" s="1354" t="str">
        <f t="shared" si="42"/>
        <v/>
      </c>
      <c r="AK23" s="1772"/>
      <c r="AL23" s="1354" t="str">
        <f t="shared" ref="AL23:BB23" si="43">IF(AL17="","",(AL17-AL19-AL22)*AL18/AL$7/365/$G$1)</f>
        <v/>
      </c>
      <c r="AM23" s="1354" t="str">
        <f t="shared" si="43"/>
        <v/>
      </c>
      <c r="AN23" s="1354" t="str">
        <f t="shared" si="43"/>
        <v/>
      </c>
      <c r="AO23" s="1354" t="str">
        <f t="shared" si="43"/>
        <v/>
      </c>
      <c r="AP23" s="1354" t="str">
        <f t="shared" si="43"/>
        <v/>
      </c>
      <c r="AQ23" s="1354" t="str">
        <f t="shared" si="43"/>
        <v/>
      </c>
      <c r="AR23" s="1354" t="str">
        <f t="shared" si="43"/>
        <v/>
      </c>
      <c r="AS23" s="1354" t="str">
        <f t="shared" si="43"/>
        <v/>
      </c>
      <c r="AT23" s="1354" t="str">
        <f t="shared" si="43"/>
        <v/>
      </c>
      <c r="AU23" s="1354" t="str">
        <f t="shared" si="43"/>
        <v/>
      </c>
      <c r="AV23" s="1354" t="str">
        <f t="shared" si="43"/>
        <v/>
      </c>
      <c r="AW23" s="1354" t="str">
        <f t="shared" si="43"/>
        <v/>
      </c>
      <c r="AX23" s="1354" t="str">
        <f t="shared" si="43"/>
        <v/>
      </c>
      <c r="AY23" s="1354" t="str">
        <f t="shared" si="43"/>
        <v/>
      </c>
      <c r="AZ23" s="1354" t="str">
        <f t="shared" si="43"/>
        <v/>
      </c>
      <c r="BA23" s="1354" t="str">
        <f t="shared" si="43"/>
        <v/>
      </c>
      <c r="BB23" s="1354" t="str">
        <f t="shared" si="43"/>
        <v/>
      </c>
      <c r="BC23" s="1772"/>
      <c r="BD23" s="1354" t="str">
        <f t="shared" ref="BD23:BT23" si="44">IF(BD17="","",(BD17-BD19-BD22)*BD18/BD$7/365/$G$1)</f>
        <v/>
      </c>
      <c r="BE23" s="1354" t="str">
        <f t="shared" si="44"/>
        <v/>
      </c>
      <c r="BF23" s="1354" t="str">
        <f t="shared" si="44"/>
        <v/>
      </c>
      <c r="BG23" s="1354" t="str">
        <f t="shared" si="44"/>
        <v/>
      </c>
      <c r="BH23" s="1354" t="str">
        <f t="shared" si="44"/>
        <v/>
      </c>
      <c r="BI23" s="1354" t="str">
        <f t="shared" si="44"/>
        <v/>
      </c>
      <c r="BJ23" s="1354" t="str">
        <f t="shared" si="44"/>
        <v/>
      </c>
      <c r="BK23" s="1354" t="str">
        <f t="shared" si="44"/>
        <v/>
      </c>
      <c r="BL23" s="1354" t="str">
        <f t="shared" si="44"/>
        <v/>
      </c>
      <c r="BM23" s="1354" t="str">
        <f t="shared" si="44"/>
        <v/>
      </c>
      <c r="BN23" s="1354" t="str">
        <f t="shared" si="44"/>
        <v/>
      </c>
      <c r="BO23" s="1354" t="str">
        <f t="shared" si="44"/>
        <v/>
      </c>
      <c r="BP23" s="1354" t="str">
        <f t="shared" si="44"/>
        <v/>
      </c>
      <c r="BQ23" s="1354" t="str">
        <f t="shared" si="44"/>
        <v/>
      </c>
      <c r="BR23" s="1354" t="str">
        <f t="shared" si="44"/>
        <v/>
      </c>
      <c r="BS23" s="1354" t="str">
        <f t="shared" si="44"/>
        <v/>
      </c>
      <c r="BT23" s="1354" t="str">
        <f t="shared" si="44"/>
        <v/>
      </c>
      <c r="BU23" s="1772"/>
      <c r="BV23" s="1354" t="str">
        <f>IF(BV17="","",(BV17-BV19-BV22)*BV18/BV$7/365/$G$1)</f>
        <v/>
      </c>
      <c r="BW23" s="1354" t="str">
        <f>IF(BW17="","",(BW17-BW19-BW22)*BW18/BW$7/365/$G$1)</f>
        <v/>
      </c>
      <c r="BX23" s="1354" t="str">
        <f>IF(BX17="","",(BX17-BX19-BX22)*BX18/BX$7/365/$G$1)</f>
        <v/>
      </c>
      <c r="BY23" s="1354" t="str">
        <f>IF(BY17="","",(BY17-BY19-BY22)*BY18/BY$7/365/$G$1)</f>
        <v/>
      </c>
      <c r="BZ23" s="1773" t="str">
        <f t="shared" si="0"/>
        <v/>
      </c>
      <c r="CA23" s="1773" t="str">
        <f t="shared" si="1"/>
        <v/>
      </c>
      <c r="CB23" s="1773" t="str">
        <f t="shared" si="2"/>
        <v/>
      </c>
      <c r="CC23" s="1774" t="str">
        <f t="shared" si="3"/>
        <v/>
      </c>
      <c r="CD23" s="1700" t="str">
        <f t="shared" si="4"/>
        <v/>
      </c>
      <c r="CE23" s="1701" t="str">
        <f t="shared" si="5"/>
        <v/>
      </c>
      <c r="CF23" s="1702" t="str">
        <f t="shared" si="5"/>
        <v/>
      </c>
      <c r="CG23" s="1702" t="str">
        <f t="shared" si="5"/>
        <v/>
      </c>
      <c r="CH23" s="1702" t="str">
        <f t="shared" si="5"/>
        <v/>
      </c>
      <c r="CI23" s="1702" t="str">
        <f t="shared" si="5"/>
        <v/>
      </c>
      <c r="CJ23" s="1702" t="str">
        <f t="shared" si="5"/>
        <v/>
      </c>
      <c r="CK23" s="1703" t="str">
        <f t="shared" si="5"/>
        <v/>
      </c>
      <c r="CL23" s="1703" t="str">
        <f t="shared" si="5"/>
        <v/>
      </c>
      <c r="CM23" s="1703" t="str">
        <f t="shared" si="5"/>
        <v/>
      </c>
      <c r="CN23" s="1702" t="str">
        <f t="shared" si="5"/>
        <v/>
      </c>
      <c r="CO23" s="1702" t="str">
        <f t="shared" si="5"/>
        <v/>
      </c>
      <c r="CP23" s="1702" t="str">
        <f t="shared" si="5"/>
        <v/>
      </c>
      <c r="CQ23" s="1702" t="str">
        <f t="shared" si="5"/>
        <v/>
      </c>
      <c r="CR23" s="1702" t="str">
        <f t="shared" si="5"/>
        <v/>
      </c>
      <c r="CS23" s="1701" t="str">
        <f t="shared" si="5"/>
        <v/>
      </c>
      <c r="CT23" s="1704" t="str">
        <f t="shared" si="5"/>
        <v/>
      </c>
      <c r="CU23" s="1705" t="str">
        <f t="shared" si="6"/>
        <v/>
      </c>
      <c r="CV23" s="1701" t="str">
        <f t="shared" si="7"/>
        <v/>
      </c>
      <c r="CW23" s="1702" t="str">
        <f t="shared" si="8"/>
        <v/>
      </c>
      <c r="CX23" s="1702" t="str">
        <f t="shared" si="9"/>
        <v/>
      </c>
      <c r="CY23" s="1702" t="str">
        <f t="shared" si="10"/>
        <v/>
      </c>
      <c r="CZ23" s="1702" t="str">
        <f t="shared" si="11"/>
        <v/>
      </c>
      <c r="DA23" s="1702" t="str">
        <f t="shared" si="12"/>
        <v/>
      </c>
      <c r="DB23" s="1703" t="str">
        <f t="shared" si="13"/>
        <v/>
      </c>
      <c r="DC23" s="1703" t="str">
        <f t="shared" si="14"/>
        <v/>
      </c>
      <c r="DD23" s="1703" t="str">
        <f t="shared" si="15"/>
        <v/>
      </c>
      <c r="DE23" s="1702" t="str">
        <f t="shared" si="16"/>
        <v/>
      </c>
      <c r="DF23" s="1702" t="str">
        <f t="shared" si="17"/>
        <v/>
      </c>
      <c r="DG23" s="1702" t="str">
        <f t="shared" si="18"/>
        <v/>
      </c>
      <c r="DH23" s="1702" t="str">
        <f t="shared" si="19"/>
        <v/>
      </c>
      <c r="DI23" s="1702" t="str">
        <f t="shared" si="20"/>
        <v/>
      </c>
      <c r="DJ23" s="1701" t="str">
        <f t="shared" si="21"/>
        <v/>
      </c>
      <c r="DK23" s="1705" t="str">
        <f t="shared" si="22"/>
        <v/>
      </c>
      <c r="DL23" s="1750">
        <f t="shared" si="23"/>
        <v>0</v>
      </c>
      <c r="DM23" s="1386">
        <f t="shared" si="24"/>
        <v>0</v>
      </c>
      <c r="DN23" s="1386">
        <f t="shared" si="25"/>
        <v>0</v>
      </c>
      <c r="DO23" s="1386">
        <f t="shared" si="26"/>
        <v>0</v>
      </c>
      <c r="DP23" s="1775" t="str">
        <f>IF(DP17="","",(DP17+SUM(BV17)*(DP17="")-SUM(DP19)-DP22-SUM(BV22)*(DP22=""))*BV18/DP$7/365/$G$1)</f>
        <v/>
      </c>
      <c r="DQ23" s="1354" t="str">
        <f>IF(DQ17="","",(DQ17+SUM(BW17)*(DQ17="")-SUM(DQ19)-DQ22-SUM(BW22)*(DQ22=""))*BW18/DQ$7/365/$G$1)</f>
        <v/>
      </c>
      <c r="DR23" s="1354" t="str">
        <f>IF(DR17="","",(DR17+SUM(BX17)*(DR17="")-SUM(DR19)-DR22-SUM(BX22)*(DR22=""))*BX18/DR$7/365/$G$1)</f>
        <v/>
      </c>
      <c r="DS23" s="1776" t="str">
        <f>IF(DS17="","",(DS17+SUM(BY17)*(DS17="")-SUM(DS19)-DS22-SUM(BY22)*(DS22=""))*BY18/DS$7/365/$G$1)</f>
        <v/>
      </c>
      <c r="DT23" s="1758"/>
      <c r="DU23" s="1707"/>
    </row>
    <row r="24" spans="1:125" ht="12.75" customHeight="1">
      <c r="A24" s="1745" t="s">
        <v>489</v>
      </c>
      <c r="B24" s="1746"/>
      <c r="C24" s="1746"/>
      <c r="D24" s="1746"/>
      <c r="E24" s="1746"/>
      <c r="F24" s="1746"/>
      <c r="G24" s="1746"/>
      <c r="H24" s="1746"/>
      <c r="I24" s="1746"/>
      <c r="J24" s="1746"/>
      <c r="K24" s="1746"/>
      <c r="L24" s="1746"/>
      <c r="M24" s="1746"/>
      <c r="N24" s="1746"/>
      <c r="O24" s="1746"/>
      <c r="P24" s="1746"/>
      <c r="Q24" s="1746"/>
      <c r="R24" s="1746"/>
      <c r="S24" s="1747"/>
      <c r="T24" s="1746"/>
      <c r="U24" s="1746"/>
      <c r="V24" s="1746"/>
      <c r="W24" s="1746"/>
      <c r="X24" s="1746"/>
      <c r="Y24" s="1746"/>
      <c r="Z24" s="1746"/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7"/>
      <c r="AL24" s="1746"/>
      <c r="AM24" s="1746"/>
      <c r="AN24" s="1746"/>
      <c r="AO24" s="1746"/>
      <c r="AP24" s="1746"/>
      <c r="AQ24" s="1746"/>
      <c r="AR24" s="1746"/>
      <c r="AS24" s="1746"/>
      <c r="AT24" s="1746"/>
      <c r="AU24" s="1746"/>
      <c r="AV24" s="1746"/>
      <c r="AW24" s="1746"/>
      <c r="AX24" s="1746"/>
      <c r="AY24" s="1746"/>
      <c r="AZ24" s="1746"/>
      <c r="BA24" s="1746"/>
      <c r="BB24" s="1746"/>
      <c r="BC24" s="1747"/>
      <c r="BD24" s="1746"/>
      <c r="BE24" s="1746"/>
      <c r="BF24" s="1746"/>
      <c r="BG24" s="1746"/>
      <c r="BH24" s="1746"/>
      <c r="BI24" s="1746"/>
      <c r="BJ24" s="1746"/>
      <c r="BK24" s="1746"/>
      <c r="BL24" s="1746"/>
      <c r="BM24" s="1746"/>
      <c r="BN24" s="1746"/>
      <c r="BO24" s="1746"/>
      <c r="BP24" s="1746"/>
      <c r="BQ24" s="1746"/>
      <c r="BR24" s="1746"/>
      <c r="BS24" s="1746"/>
      <c r="BT24" s="1746"/>
      <c r="BU24" s="1747"/>
      <c r="BV24" s="1746"/>
      <c r="BW24" s="1746"/>
      <c r="BX24" s="1746"/>
      <c r="BY24" s="1746"/>
      <c r="BZ24" s="1748" t="str">
        <f t="shared" si="0"/>
        <v/>
      </c>
      <c r="CA24" s="1748" t="str">
        <f t="shared" si="1"/>
        <v/>
      </c>
      <c r="CB24" s="1748" t="str">
        <f t="shared" si="2"/>
        <v/>
      </c>
      <c r="CC24" s="1749" t="str">
        <f t="shared" si="3"/>
        <v/>
      </c>
      <c r="CD24" s="1683" t="str">
        <f t="shared" si="4"/>
        <v/>
      </c>
      <c r="CE24" s="1684" t="str">
        <f t="shared" si="5"/>
        <v/>
      </c>
      <c r="CF24" s="1685" t="str">
        <f t="shared" si="5"/>
        <v/>
      </c>
      <c r="CG24" s="1685" t="str">
        <f t="shared" si="5"/>
        <v/>
      </c>
      <c r="CH24" s="1685" t="str">
        <f t="shared" si="5"/>
        <v/>
      </c>
      <c r="CI24" s="1685" t="str">
        <f t="shared" si="5"/>
        <v/>
      </c>
      <c r="CJ24" s="1685" t="str">
        <f t="shared" si="5"/>
        <v/>
      </c>
      <c r="CK24" s="1686" t="str">
        <f t="shared" si="5"/>
        <v/>
      </c>
      <c r="CL24" s="1686" t="str">
        <f t="shared" si="5"/>
        <v/>
      </c>
      <c r="CM24" s="1686" t="str">
        <f t="shared" si="5"/>
        <v/>
      </c>
      <c r="CN24" s="1685" t="str">
        <f t="shared" si="5"/>
        <v/>
      </c>
      <c r="CO24" s="1685" t="str">
        <f t="shared" si="5"/>
        <v/>
      </c>
      <c r="CP24" s="1685" t="str">
        <f t="shared" si="5"/>
        <v/>
      </c>
      <c r="CQ24" s="1685" t="str">
        <f t="shared" si="5"/>
        <v/>
      </c>
      <c r="CR24" s="1685" t="str">
        <f t="shared" si="5"/>
        <v/>
      </c>
      <c r="CS24" s="1684" t="str">
        <f t="shared" si="5"/>
        <v/>
      </c>
      <c r="CT24" s="1687" t="str">
        <f t="shared" si="5"/>
        <v/>
      </c>
      <c r="CU24" s="1696" t="str">
        <f t="shared" si="6"/>
        <v/>
      </c>
      <c r="CV24" s="1697" t="str">
        <f t="shared" si="7"/>
        <v/>
      </c>
      <c r="CW24" s="1698" t="str">
        <f t="shared" si="8"/>
        <v/>
      </c>
      <c r="CX24" s="1698" t="str">
        <f t="shared" si="9"/>
        <v/>
      </c>
      <c r="CY24" s="1698" t="str">
        <f t="shared" si="10"/>
        <v/>
      </c>
      <c r="CZ24" s="1698" t="str">
        <f t="shared" si="11"/>
        <v/>
      </c>
      <c r="DA24" s="1698" t="str">
        <f t="shared" si="12"/>
        <v/>
      </c>
      <c r="DB24" s="1699" t="str">
        <f t="shared" si="13"/>
        <v/>
      </c>
      <c r="DC24" s="1699" t="str">
        <f t="shared" si="14"/>
        <v/>
      </c>
      <c r="DD24" s="1699" t="str">
        <f t="shared" si="15"/>
        <v/>
      </c>
      <c r="DE24" s="1698" t="str">
        <f t="shared" si="16"/>
        <v/>
      </c>
      <c r="DF24" s="1698" t="str">
        <f t="shared" si="17"/>
        <v/>
      </c>
      <c r="DG24" s="1698" t="str">
        <f t="shared" si="18"/>
        <v/>
      </c>
      <c r="DH24" s="1698" t="str">
        <f t="shared" si="19"/>
        <v/>
      </c>
      <c r="DI24" s="1698" t="str">
        <f t="shared" si="20"/>
        <v/>
      </c>
      <c r="DJ24" s="1697" t="str">
        <f t="shared" si="21"/>
        <v/>
      </c>
      <c r="DK24" s="1696" t="str">
        <f t="shared" si="22"/>
        <v/>
      </c>
      <c r="DL24" s="1750">
        <f t="shared" si="23"/>
        <v>0</v>
      </c>
      <c r="DM24" s="1386">
        <f t="shared" si="24"/>
        <v>0</v>
      </c>
      <c r="DN24" s="1386">
        <f t="shared" si="25"/>
        <v>0</v>
      </c>
      <c r="DO24" s="1386">
        <f t="shared" si="26"/>
        <v>0</v>
      </c>
      <c r="DP24" s="1777" t="str">
        <f>IF(SUM(BV24)&gt;0,BV24*'Exp factors'!C$21,"")</f>
        <v/>
      </c>
      <c r="DQ24" s="1452" t="str">
        <f>IF(SUM(BW24)&gt;0,BW24*'Exp factors'!D$21,"")</f>
        <v/>
      </c>
      <c r="DR24" s="1452" t="str">
        <f>IF(SUM(BX24)&gt;0,BX24*'Exp factors'!E$21,"")</f>
        <v/>
      </c>
      <c r="DS24" s="1778" t="str">
        <f>IF(SUM(BY24)&gt;0,BY24*'Exp factors'!F$21,"")</f>
        <v/>
      </c>
      <c r="DT24" s="1758"/>
      <c r="DU24" s="1707"/>
    </row>
    <row r="25" spans="1:125" ht="12.75" customHeight="1">
      <c r="A25" s="1344" t="s">
        <v>260</v>
      </c>
      <c r="B25" s="1754"/>
      <c r="C25" s="1754"/>
      <c r="D25" s="1754"/>
      <c r="E25" s="1754"/>
      <c r="F25" s="1754"/>
      <c r="G25" s="1759"/>
      <c r="H25" s="1754"/>
      <c r="I25" s="1754"/>
      <c r="J25" s="1754"/>
      <c r="K25" s="1754"/>
      <c r="L25" s="1754"/>
      <c r="M25" s="1754"/>
      <c r="N25" s="1754"/>
      <c r="O25" s="1754"/>
      <c r="P25" s="1754"/>
      <c r="Q25" s="1754"/>
      <c r="R25" s="1754"/>
      <c r="S25" s="1755"/>
      <c r="T25" s="1754"/>
      <c r="U25" s="1754"/>
      <c r="V25" s="1754"/>
      <c r="W25" s="1754"/>
      <c r="X25" s="1754"/>
      <c r="Y25" s="1754"/>
      <c r="Z25" s="1754"/>
      <c r="AA25" s="1754"/>
      <c r="AB25" s="1754"/>
      <c r="AC25" s="1754"/>
      <c r="AD25" s="1754"/>
      <c r="AE25" s="1754"/>
      <c r="AF25" s="1754"/>
      <c r="AG25" s="1754"/>
      <c r="AH25" s="1754"/>
      <c r="AI25" s="1754"/>
      <c r="AJ25" s="1754"/>
      <c r="AK25" s="1755"/>
      <c r="AL25" s="1754"/>
      <c r="AM25" s="1754"/>
      <c r="AN25" s="1754"/>
      <c r="AO25" s="1754"/>
      <c r="AP25" s="1754"/>
      <c r="AQ25" s="1754"/>
      <c r="AR25" s="1754"/>
      <c r="AS25" s="1754"/>
      <c r="AT25" s="1754"/>
      <c r="AU25" s="1754"/>
      <c r="AV25" s="1754"/>
      <c r="AW25" s="1754"/>
      <c r="AX25" s="1754"/>
      <c r="AY25" s="1754"/>
      <c r="AZ25" s="1754"/>
      <c r="BA25" s="1754"/>
      <c r="BB25" s="1754"/>
      <c r="BC25" s="1755"/>
      <c r="BD25" s="1754"/>
      <c r="BE25" s="1754"/>
      <c r="BF25" s="1754"/>
      <c r="BG25" s="1754"/>
      <c r="BH25" s="1754"/>
      <c r="BI25" s="1754"/>
      <c r="BJ25" s="1754"/>
      <c r="BK25" s="1754"/>
      <c r="BL25" s="1754"/>
      <c r="BM25" s="1754"/>
      <c r="BN25" s="1754"/>
      <c r="BO25" s="1754"/>
      <c r="BP25" s="1754"/>
      <c r="BQ25" s="1754"/>
      <c r="BR25" s="1754"/>
      <c r="BS25" s="1754"/>
      <c r="BT25" s="1754"/>
      <c r="BU25" s="1755"/>
      <c r="BV25" s="1754"/>
      <c r="BW25" s="1754"/>
      <c r="BX25" s="1754"/>
      <c r="BY25" s="1754"/>
      <c r="BZ25" s="1748" t="str">
        <f t="shared" si="0"/>
        <v/>
      </c>
      <c r="CA25" s="1748" t="str">
        <f t="shared" si="1"/>
        <v/>
      </c>
      <c r="CB25" s="1748" t="str">
        <f t="shared" si="2"/>
        <v/>
      </c>
      <c r="CC25" s="1749" t="str">
        <f t="shared" si="3"/>
        <v/>
      </c>
      <c r="CD25" s="1683" t="str">
        <f t="shared" si="4"/>
        <v/>
      </c>
      <c r="CE25" s="1684" t="str">
        <f t="shared" si="5"/>
        <v/>
      </c>
      <c r="CF25" s="1685" t="str">
        <f t="shared" si="5"/>
        <v/>
      </c>
      <c r="CG25" s="1685" t="str">
        <f t="shared" si="5"/>
        <v/>
      </c>
      <c r="CH25" s="1685" t="str">
        <f t="shared" si="5"/>
        <v/>
      </c>
      <c r="CI25" s="1685" t="str">
        <f t="shared" si="5"/>
        <v/>
      </c>
      <c r="CJ25" s="1685" t="str">
        <f t="shared" si="5"/>
        <v/>
      </c>
      <c r="CK25" s="1686" t="str">
        <f t="shared" si="5"/>
        <v/>
      </c>
      <c r="CL25" s="1686" t="str">
        <f t="shared" si="5"/>
        <v/>
      </c>
      <c r="CM25" s="1686" t="str">
        <f t="shared" si="5"/>
        <v/>
      </c>
      <c r="CN25" s="1685" t="str">
        <f t="shared" si="5"/>
        <v/>
      </c>
      <c r="CO25" s="1685" t="str">
        <f t="shared" si="5"/>
        <v/>
      </c>
      <c r="CP25" s="1685" t="str">
        <f t="shared" si="5"/>
        <v/>
      </c>
      <c r="CQ25" s="1685" t="str">
        <f t="shared" si="5"/>
        <v/>
      </c>
      <c r="CR25" s="1685" t="str">
        <f t="shared" si="5"/>
        <v/>
      </c>
      <c r="CS25" s="1684" t="str">
        <f t="shared" si="5"/>
        <v/>
      </c>
      <c r="CT25" s="168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96" t="str">
        <f t="shared" si="6"/>
        <v/>
      </c>
      <c r="CV25" s="1697" t="str">
        <f t="shared" si="7"/>
        <v/>
      </c>
      <c r="CW25" s="1698" t="str">
        <f t="shared" si="8"/>
        <v/>
      </c>
      <c r="CX25" s="1698" t="str">
        <f t="shared" si="9"/>
        <v/>
      </c>
      <c r="CY25" s="1698" t="str">
        <f t="shared" si="10"/>
        <v/>
      </c>
      <c r="CZ25" s="1698" t="str">
        <f t="shared" si="11"/>
        <v/>
      </c>
      <c r="DA25" s="1698" t="str">
        <f t="shared" si="12"/>
        <v/>
      </c>
      <c r="DB25" s="1699" t="str">
        <f t="shared" si="13"/>
        <v/>
      </c>
      <c r="DC25" s="1699" t="str">
        <f t="shared" si="14"/>
        <v/>
      </c>
      <c r="DD25" s="1699" t="str">
        <f t="shared" si="15"/>
        <v/>
      </c>
      <c r="DE25" s="1698" t="str">
        <f t="shared" si="16"/>
        <v/>
      </c>
      <c r="DF25" s="1698" t="str">
        <f t="shared" si="17"/>
        <v/>
      </c>
      <c r="DG25" s="1698" t="str">
        <f t="shared" si="18"/>
        <v/>
      </c>
      <c r="DH25" s="1698" t="str">
        <f t="shared" si="19"/>
        <v/>
      </c>
      <c r="DI25" s="1698" t="str">
        <f t="shared" si="20"/>
        <v/>
      </c>
      <c r="DJ25" s="1697" t="str">
        <f t="shared" si="21"/>
        <v/>
      </c>
      <c r="DK25" s="1696" t="str">
        <f t="shared" si="22"/>
        <v/>
      </c>
      <c r="DL25" s="1750">
        <f t="shared" si="23"/>
        <v>0</v>
      </c>
      <c r="DM25" s="1386">
        <f t="shared" si="24"/>
        <v>0</v>
      </c>
      <c r="DN25" s="1386">
        <f t="shared" si="25"/>
        <v>0</v>
      </c>
      <c r="DO25" s="1386">
        <f t="shared" si="26"/>
        <v>0</v>
      </c>
      <c r="DP25" s="1756"/>
      <c r="DQ25" s="1427"/>
      <c r="DR25" s="1427"/>
      <c r="DS25" s="1757"/>
      <c r="DT25" s="1758"/>
      <c r="DU25" s="1707"/>
    </row>
    <row r="26" spans="1:125" ht="12.75" customHeight="1">
      <c r="A26" s="1732" t="s">
        <v>257</v>
      </c>
      <c r="B26" s="1759"/>
      <c r="C26" s="1759"/>
      <c r="D26" s="1759"/>
      <c r="E26" s="1759"/>
      <c r="F26" s="1759"/>
      <c r="G26" s="1759"/>
      <c r="H26" s="1759"/>
      <c r="I26" s="1759"/>
      <c r="J26" s="1759"/>
      <c r="K26" s="1759"/>
      <c r="L26" s="1759"/>
      <c r="M26" s="1759"/>
      <c r="N26" s="1759"/>
      <c r="O26" s="1759"/>
      <c r="P26" s="1759"/>
      <c r="Q26" s="1759"/>
      <c r="R26" s="1759"/>
      <c r="S26" s="1755"/>
      <c r="T26" s="1759"/>
      <c r="U26" s="1759"/>
      <c r="V26" s="1759"/>
      <c r="W26" s="1759"/>
      <c r="X26" s="1759"/>
      <c r="Y26" s="1759"/>
      <c r="Z26" s="1759"/>
      <c r="AA26" s="1759"/>
      <c r="AB26" s="1759"/>
      <c r="AC26" s="1759"/>
      <c r="AD26" s="1759"/>
      <c r="AE26" s="1759"/>
      <c r="AF26" s="1759"/>
      <c r="AG26" s="1759"/>
      <c r="AH26" s="1759"/>
      <c r="AI26" s="1759"/>
      <c r="AJ26" s="1759"/>
      <c r="AK26" s="1755"/>
      <c r="AL26" s="1759"/>
      <c r="AM26" s="1759"/>
      <c r="AN26" s="1759"/>
      <c r="AO26" s="1759"/>
      <c r="AP26" s="1759"/>
      <c r="AQ26" s="1759"/>
      <c r="AR26" s="1759"/>
      <c r="AS26" s="1759"/>
      <c r="AT26" s="1759"/>
      <c r="AU26" s="1759"/>
      <c r="AV26" s="1759"/>
      <c r="AW26" s="1759"/>
      <c r="AX26" s="1759"/>
      <c r="AY26" s="1759"/>
      <c r="AZ26" s="1759"/>
      <c r="BA26" s="1759"/>
      <c r="BB26" s="1759"/>
      <c r="BC26" s="1755"/>
      <c r="BD26" s="1759"/>
      <c r="BE26" s="1759"/>
      <c r="BF26" s="1759"/>
      <c r="BG26" s="1759"/>
      <c r="BH26" s="1759"/>
      <c r="BI26" s="1759"/>
      <c r="BJ26" s="1759"/>
      <c r="BK26" s="1759"/>
      <c r="BL26" s="1759"/>
      <c r="BM26" s="1759"/>
      <c r="BN26" s="1759"/>
      <c r="BO26" s="1759"/>
      <c r="BP26" s="1759"/>
      <c r="BQ26" s="1759"/>
      <c r="BR26" s="1759"/>
      <c r="BS26" s="1759"/>
      <c r="BT26" s="1759"/>
      <c r="BU26" s="1755"/>
      <c r="BV26" s="1759"/>
      <c r="BW26" s="1759"/>
      <c r="BX26" s="1759"/>
      <c r="BY26" s="1759"/>
      <c r="BZ26" s="1748" t="str">
        <f t="shared" si="0"/>
        <v/>
      </c>
      <c r="CA26" s="1748" t="str">
        <f t="shared" si="1"/>
        <v/>
      </c>
      <c r="CB26" s="1748" t="str">
        <f t="shared" si="2"/>
        <v/>
      </c>
      <c r="CC26" s="1749" t="str">
        <f t="shared" si="3"/>
        <v/>
      </c>
      <c r="CD26" s="1683" t="str">
        <f t="shared" si="4"/>
        <v/>
      </c>
      <c r="CE26" s="1684" t="str">
        <f t="shared" si="45"/>
        <v/>
      </c>
      <c r="CF26" s="1685" t="str">
        <f t="shared" si="45"/>
        <v/>
      </c>
      <c r="CG26" s="1685" t="str">
        <f t="shared" si="45"/>
        <v/>
      </c>
      <c r="CH26" s="1685" t="str">
        <f t="shared" si="45"/>
        <v/>
      </c>
      <c r="CI26" s="1685" t="str">
        <f t="shared" si="45"/>
        <v/>
      </c>
      <c r="CJ26" s="1685" t="str">
        <f t="shared" si="45"/>
        <v/>
      </c>
      <c r="CK26" s="1686" t="str">
        <f t="shared" si="45"/>
        <v/>
      </c>
      <c r="CL26" s="1686" t="str">
        <f t="shared" si="45"/>
        <v/>
      </c>
      <c r="CM26" s="1686" t="str">
        <f t="shared" si="45"/>
        <v/>
      </c>
      <c r="CN26" s="1685" t="str">
        <f t="shared" si="45"/>
        <v/>
      </c>
      <c r="CO26" s="1685" t="str">
        <f t="shared" si="45"/>
        <v/>
      </c>
      <c r="CP26" s="1685" t="str">
        <f t="shared" si="45"/>
        <v/>
      </c>
      <c r="CQ26" s="1685" t="str">
        <f t="shared" si="45"/>
        <v/>
      </c>
      <c r="CR26" s="1685" t="str">
        <f t="shared" si="45"/>
        <v/>
      </c>
      <c r="CS26" s="1684" t="str">
        <f t="shared" si="45"/>
        <v/>
      </c>
      <c r="CT26" s="1687" t="str">
        <f t="shared" si="45"/>
        <v/>
      </c>
      <c r="CU26" s="1696" t="str">
        <f t="shared" si="6"/>
        <v/>
      </c>
      <c r="CV26" s="1697" t="str">
        <f t="shared" si="7"/>
        <v/>
      </c>
      <c r="CW26" s="1698" t="str">
        <f t="shared" si="8"/>
        <v/>
      </c>
      <c r="CX26" s="1698" t="str">
        <f t="shared" si="9"/>
        <v/>
      </c>
      <c r="CY26" s="1698" t="str">
        <f t="shared" si="10"/>
        <v/>
      </c>
      <c r="CZ26" s="1698" t="str">
        <f t="shared" si="11"/>
        <v/>
      </c>
      <c r="DA26" s="1698" t="str">
        <f t="shared" si="12"/>
        <v/>
      </c>
      <c r="DB26" s="1699" t="str">
        <f t="shared" si="13"/>
        <v/>
      </c>
      <c r="DC26" s="1699" t="str">
        <f t="shared" si="14"/>
        <v/>
      </c>
      <c r="DD26" s="1699" t="str">
        <f t="shared" si="15"/>
        <v/>
      </c>
      <c r="DE26" s="1698" t="str">
        <f t="shared" si="16"/>
        <v/>
      </c>
      <c r="DF26" s="1698" t="str">
        <f t="shared" si="17"/>
        <v/>
      </c>
      <c r="DG26" s="1698" t="str">
        <f t="shared" si="18"/>
        <v/>
      </c>
      <c r="DH26" s="1698" t="str">
        <f t="shared" si="19"/>
        <v/>
      </c>
      <c r="DI26" s="1698" t="str">
        <f t="shared" si="20"/>
        <v/>
      </c>
      <c r="DJ26" s="1697" t="str">
        <f t="shared" si="21"/>
        <v/>
      </c>
      <c r="DK26" s="1696" t="str">
        <f t="shared" si="22"/>
        <v/>
      </c>
      <c r="DL26" s="1750">
        <f t="shared" si="23"/>
        <v>0</v>
      </c>
      <c r="DM26" s="1386">
        <f t="shared" si="24"/>
        <v>0</v>
      </c>
      <c r="DN26" s="1386">
        <f t="shared" si="25"/>
        <v>0</v>
      </c>
      <c r="DO26" s="1386">
        <f t="shared" si="26"/>
        <v>0</v>
      </c>
      <c r="DP26" s="1760" t="str">
        <f>IF(SUM(BV26)&gt;0,(BV24-DP29-SUM(BV29)*(DP29=""))*'Exp factors'!C$21,"")</f>
        <v/>
      </c>
      <c r="DQ26" s="1497" t="str">
        <f>IF(SUM(BW26)&gt;0,(BW24-DQ29-SUM(BW29)*(DQ29=""))*'Exp factors'!D$21,"")</f>
        <v/>
      </c>
      <c r="DR26" s="1497" t="str">
        <f>IF(SUM(BX26)&gt;0,(BX24-DR29-SUM(BX29)*(DR29=""))*'Exp factors'!E$21,"")</f>
        <v/>
      </c>
      <c r="DS26" s="1761" t="str">
        <f>IF(SUM(BY26)&gt;0,(BY24-DS29-SUM(BY29)*(DS29=""))*'Exp factors'!F$21,"")</f>
        <v/>
      </c>
      <c r="DT26" s="1758"/>
      <c r="DU26" s="1707"/>
    </row>
    <row r="27" spans="1:125" ht="12.75" customHeight="1">
      <c r="A27" s="1762" t="s">
        <v>181</v>
      </c>
      <c r="B27" s="1763"/>
      <c r="C27" s="1763"/>
      <c r="D27" s="1763"/>
      <c r="E27" s="1763"/>
      <c r="F27" s="1763"/>
      <c r="G27" s="1763"/>
      <c r="H27" s="1763"/>
      <c r="I27" s="1763"/>
      <c r="J27" s="1763"/>
      <c r="K27" s="1763"/>
      <c r="L27" s="1763"/>
      <c r="M27" s="1763"/>
      <c r="N27" s="1763"/>
      <c r="O27" s="1763"/>
      <c r="P27" s="1763"/>
      <c r="Q27" s="1763"/>
      <c r="R27" s="1763"/>
      <c r="S27" s="1755"/>
      <c r="T27" s="1763"/>
      <c r="U27" s="1763"/>
      <c r="V27" s="1763"/>
      <c r="W27" s="1763"/>
      <c r="X27" s="1763"/>
      <c r="Y27" s="1763"/>
      <c r="Z27" s="1763"/>
      <c r="AA27" s="1763"/>
      <c r="AB27" s="1763"/>
      <c r="AC27" s="1763"/>
      <c r="AD27" s="1763"/>
      <c r="AE27" s="1763"/>
      <c r="AF27" s="1763"/>
      <c r="AG27" s="1763"/>
      <c r="AH27" s="1763"/>
      <c r="AI27" s="1763"/>
      <c r="AJ27" s="1763"/>
      <c r="AK27" s="1755"/>
      <c r="AL27" s="1763"/>
      <c r="AM27" s="1763"/>
      <c r="AN27" s="1763"/>
      <c r="AO27" s="1763"/>
      <c r="AP27" s="1763"/>
      <c r="AQ27" s="1763"/>
      <c r="AR27" s="1763"/>
      <c r="AS27" s="1763"/>
      <c r="AT27" s="1763"/>
      <c r="AU27" s="1763"/>
      <c r="AV27" s="1763"/>
      <c r="AW27" s="1763"/>
      <c r="AX27" s="1763"/>
      <c r="AY27" s="1763"/>
      <c r="AZ27" s="1763"/>
      <c r="BA27" s="1763"/>
      <c r="BB27" s="1763"/>
      <c r="BC27" s="1755"/>
      <c r="BD27" s="1763"/>
      <c r="BE27" s="1763"/>
      <c r="BF27" s="1763"/>
      <c r="BG27" s="1763"/>
      <c r="BH27" s="1763"/>
      <c r="BI27" s="1763"/>
      <c r="BJ27" s="1763"/>
      <c r="BK27" s="1763"/>
      <c r="BL27" s="1763"/>
      <c r="BM27" s="1763"/>
      <c r="BN27" s="1763"/>
      <c r="BO27" s="1763"/>
      <c r="BP27" s="1763"/>
      <c r="BQ27" s="1763"/>
      <c r="BR27" s="1763"/>
      <c r="BS27" s="1763"/>
      <c r="BT27" s="1763"/>
      <c r="BU27" s="1755"/>
      <c r="BV27" s="1763"/>
      <c r="BW27" s="1763"/>
      <c r="BX27" s="1763"/>
      <c r="BY27" s="1763"/>
      <c r="BZ27" s="1748" t="str">
        <f t="shared" si="0"/>
        <v/>
      </c>
      <c r="CA27" s="1748" t="str">
        <f t="shared" si="1"/>
        <v/>
      </c>
      <c r="CB27" s="1748" t="str">
        <f t="shared" si="2"/>
        <v/>
      </c>
      <c r="CC27" s="1749" t="str">
        <f t="shared" si="3"/>
        <v/>
      </c>
      <c r="CD27" s="1683" t="str">
        <f t="shared" si="4"/>
        <v/>
      </c>
      <c r="CE27" s="1684" t="str">
        <f t="shared" si="45"/>
        <v/>
      </c>
      <c r="CF27" s="1685" t="str">
        <f t="shared" si="45"/>
        <v/>
      </c>
      <c r="CG27" s="1685" t="str">
        <f t="shared" si="45"/>
        <v/>
      </c>
      <c r="CH27" s="1685" t="str">
        <f t="shared" si="45"/>
        <v/>
      </c>
      <c r="CI27" s="1685" t="str">
        <f t="shared" si="45"/>
        <v/>
      </c>
      <c r="CJ27" s="1685" t="str">
        <f t="shared" si="45"/>
        <v/>
      </c>
      <c r="CK27" s="1686" t="str">
        <f t="shared" si="45"/>
        <v/>
      </c>
      <c r="CL27" s="1686" t="str">
        <f t="shared" si="45"/>
        <v/>
      </c>
      <c r="CM27" s="1686" t="str">
        <f t="shared" si="45"/>
        <v/>
      </c>
      <c r="CN27" s="1685" t="str">
        <f t="shared" si="45"/>
        <v/>
      </c>
      <c r="CO27" s="1685" t="str">
        <f t="shared" si="45"/>
        <v/>
      </c>
      <c r="CP27" s="1685" t="str">
        <f t="shared" si="45"/>
        <v/>
      </c>
      <c r="CQ27" s="1685" t="str">
        <f t="shared" si="45"/>
        <v/>
      </c>
      <c r="CR27" s="1685" t="str">
        <f t="shared" si="45"/>
        <v/>
      </c>
      <c r="CS27" s="1684" t="str">
        <f t="shared" si="45"/>
        <v/>
      </c>
      <c r="CT27" s="1687" t="str">
        <f t="shared" si="45"/>
        <v/>
      </c>
      <c r="CU27" s="1696" t="str">
        <f t="shared" si="6"/>
        <v/>
      </c>
      <c r="CV27" s="1697" t="str">
        <f t="shared" si="7"/>
        <v/>
      </c>
      <c r="CW27" s="1698" t="str">
        <f t="shared" si="8"/>
        <v/>
      </c>
      <c r="CX27" s="1698" t="str">
        <f t="shared" si="9"/>
        <v/>
      </c>
      <c r="CY27" s="1698" t="str">
        <f t="shared" si="10"/>
        <v/>
      </c>
      <c r="CZ27" s="1698" t="str">
        <f t="shared" si="11"/>
        <v/>
      </c>
      <c r="DA27" s="1698" t="str">
        <f t="shared" si="12"/>
        <v/>
      </c>
      <c r="DB27" s="1699" t="str">
        <f t="shared" si="13"/>
        <v/>
      </c>
      <c r="DC27" s="1699" t="str">
        <f t="shared" si="14"/>
        <v/>
      </c>
      <c r="DD27" s="1699" t="str">
        <f t="shared" si="15"/>
        <v/>
      </c>
      <c r="DE27" s="1698" t="str">
        <f t="shared" si="16"/>
        <v/>
      </c>
      <c r="DF27" s="1698" t="str">
        <f t="shared" si="17"/>
        <v/>
      </c>
      <c r="DG27" s="1698" t="str">
        <f t="shared" si="18"/>
        <v/>
      </c>
      <c r="DH27" s="1698" t="str">
        <f t="shared" si="19"/>
        <v/>
      </c>
      <c r="DI27" s="1698" t="str">
        <f t="shared" si="20"/>
        <v/>
      </c>
      <c r="DJ27" s="1697" t="str">
        <f t="shared" si="21"/>
        <v/>
      </c>
      <c r="DK27" s="1696" t="str">
        <f t="shared" si="22"/>
        <v/>
      </c>
      <c r="DL27" s="1750">
        <f t="shared" si="23"/>
        <v>0</v>
      </c>
      <c r="DM27" s="1386">
        <f t="shared" si="24"/>
        <v>0</v>
      </c>
      <c r="DN27" s="1386">
        <f t="shared" si="25"/>
        <v>0</v>
      </c>
      <c r="DO27" s="1386">
        <f t="shared" si="26"/>
        <v>0</v>
      </c>
      <c r="DP27" s="1756"/>
      <c r="DQ27" s="1427"/>
      <c r="DR27" s="1427"/>
      <c r="DS27" s="1757"/>
      <c r="DT27" s="1758"/>
      <c r="DU27" s="1707"/>
    </row>
    <row r="28" spans="1:125" ht="12.75" customHeight="1">
      <c r="A28" s="1762" t="s">
        <v>183</v>
      </c>
      <c r="B28" s="1355" t="str">
        <f t="shared" ref="B28:R28" si="46">IF(B26="","",B26*B27)</f>
        <v/>
      </c>
      <c r="C28" s="1355" t="str">
        <f t="shared" si="46"/>
        <v/>
      </c>
      <c r="D28" s="1355" t="str">
        <f t="shared" si="46"/>
        <v/>
      </c>
      <c r="E28" s="1355" t="str">
        <f t="shared" si="46"/>
        <v/>
      </c>
      <c r="F28" s="1355" t="str">
        <f t="shared" si="46"/>
        <v/>
      </c>
      <c r="G28" s="1355" t="str">
        <f t="shared" si="46"/>
        <v/>
      </c>
      <c r="H28" s="1355" t="str">
        <f t="shared" si="46"/>
        <v/>
      </c>
      <c r="I28" s="1355" t="str">
        <f t="shared" si="46"/>
        <v/>
      </c>
      <c r="J28" s="1355" t="str">
        <f t="shared" si="46"/>
        <v/>
      </c>
      <c r="K28" s="1355" t="str">
        <f t="shared" si="46"/>
        <v/>
      </c>
      <c r="L28" s="1355" t="str">
        <f t="shared" si="46"/>
        <v/>
      </c>
      <c r="M28" s="1355" t="str">
        <f t="shared" si="46"/>
        <v/>
      </c>
      <c r="N28" s="1355" t="str">
        <f t="shared" si="46"/>
        <v/>
      </c>
      <c r="O28" s="1355" t="str">
        <f t="shared" si="46"/>
        <v/>
      </c>
      <c r="P28" s="1355" t="str">
        <f t="shared" si="46"/>
        <v/>
      </c>
      <c r="Q28" s="1355" t="str">
        <f t="shared" si="46"/>
        <v/>
      </c>
      <c r="R28" s="1355" t="str">
        <f t="shared" si="46"/>
        <v/>
      </c>
      <c r="S28" s="1765"/>
      <c r="T28" s="1355" t="str">
        <f t="shared" ref="T28:AJ28" si="47">IF(T26="","",T26*T27)</f>
        <v/>
      </c>
      <c r="U28" s="1355" t="str">
        <f t="shared" si="47"/>
        <v/>
      </c>
      <c r="V28" s="1355" t="str">
        <f t="shared" si="47"/>
        <v/>
      </c>
      <c r="W28" s="1355" t="str">
        <f t="shared" si="47"/>
        <v/>
      </c>
      <c r="X28" s="1355" t="str">
        <f t="shared" si="47"/>
        <v/>
      </c>
      <c r="Y28" s="1355" t="str">
        <f t="shared" si="47"/>
        <v/>
      </c>
      <c r="Z28" s="1355" t="str">
        <f t="shared" si="47"/>
        <v/>
      </c>
      <c r="AA28" s="1355" t="str">
        <f t="shared" si="47"/>
        <v/>
      </c>
      <c r="AB28" s="1355" t="str">
        <f t="shared" si="47"/>
        <v/>
      </c>
      <c r="AC28" s="1355" t="str">
        <f t="shared" si="47"/>
        <v/>
      </c>
      <c r="AD28" s="1355" t="str">
        <f t="shared" si="47"/>
        <v/>
      </c>
      <c r="AE28" s="1355" t="str">
        <f t="shared" si="47"/>
        <v/>
      </c>
      <c r="AF28" s="1355" t="str">
        <f t="shared" si="47"/>
        <v/>
      </c>
      <c r="AG28" s="1355" t="str">
        <f t="shared" si="47"/>
        <v/>
      </c>
      <c r="AH28" s="1355" t="str">
        <f t="shared" si="47"/>
        <v/>
      </c>
      <c r="AI28" s="1355" t="str">
        <f t="shared" si="47"/>
        <v/>
      </c>
      <c r="AJ28" s="1355" t="str">
        <f t="shared" si="47"/>
        <v/>
      </c>
      <c r="AK28" s="1765"/>
      <c r="AL28" s="1355" t="str">
        <f t="shared" ref="AL28:BB28" si="48">IF(AL26="","",AL26*AL27)</f>
        <v/>
      </c>
      <c r="AM28" s="1355" t="str">
        <f t="shared" si="48"/>
        <v/>
      </c>
      <c r="AN28" s="1355" t="str">
        <f t="shared" si="48"/>
        <v/>
      </c>
      <c r="AO28" s="1355" t="str">
        <f t="shared" si="48"/>
        <v/>
      </c>
      <c r="AP28" s="1355" t="str">
        <f t="shared" si="48"/>
        <v/>
      </c>
      <c r="AQ28" s="1355" t="str">
        <f t="shared" si="48"/>
        <v/>
      </c>
      <c r="AR28" s="1355" t="str">
        <f t="shared" si="48"/>
        <v/>
      </c>
      <c r="AS28" s="1355" t="str">
        <f t="shared" si="48"/>
        <v/>
      </c>
      <c r="AT28" s="1355" t="str">
        <f t="shared" si="48"/>
        <v/>
      </c>
      <c r="AU28" s="1355" t="str">
        <f t="shared" si="48"/>
        <v/>
      </c>
      <c r="AV28" s="1355" t="str">
        <f t="shared" si="48"/>
        <v/>
      </c>
      <c r="AW28" s="1355" t="str">
        <f t="shared" si="48"/>
        <v/>
      </c>
      <c r="AX28" s="1355" t="str">
        <f t="shared" si="48"/>
        <v/>
      </c>
      <c r="AY28" s="1355" t="str">
        <f t="shared" si="48"/>
        <v/>
      </c>
      <c r="AZ28" s="1355" t="str">
        <f t="shared" si="48"/>
        <v/>
      </c>
      <c r="BA28" s="1355" t="str">
        <f t="shared" si="48"/>
        <v/>
      </c>
      <c r="BB28" s="1355" t="str">
        <f t="shared" si="48"/>
        <v/>
      </c>
      <c r="BC28" s="1765"/>
      <c r="BD28" s="1355" t="str">
        <f t="shared" ref="BD28:BT28" si="49">IF(BD26="","",BD26*BD27)</f>
        <v/>
      </c>
      <c r="BE28" s="1355" t="str">
        <f t="shared" si="49"/>
        <v/>
      </c>
      <c r="BF28" s="1355" t="str">
        <f t="shared" si="49"/>
        <v/>
      </c>
      <c r="BG28" s="1355" t="str">
        <f t="shared" si="49"/>
        <v/>
      </c>
      <c r="BH28" s="1355" t="str">
        <f t="shared" si="49"/>
        <v/>
      </c>
      <c r="BI28" s="1355" t="str">
        <f t="shared" si="49"/>
        <v/>
      </c>
      <c r="BJ28" s="1355" t="str">
        <f t="shared" si="49"/>
        <v/>
      </c>
      <c r="BK28" s="1355" t="str">
        <f t="shared" si="49"/>
        <v/>
      </c>
      <c r="BL28" s="1355" t="str">
        <f t="shared" si="49"/>
        <v/>
      </c>
      <c r="BM28" s="1355" t="str">
        <f t="shared" si="49"/>
        <v/>
      </c>
      <c r="BN28" s="1355" t="str">
        <f t="shared" si="49"/>
        <v/>
      </c>
      <c r="BO28" s="1355" t="str">
        <f t="shared" si="49"/>
        <v/>
      </c>
      <c r="BP28" s="1355" t="str">
        <f t="shared" si="49"/>
        <v/>
      </c>
      <c r="BQ28" s="1355" t="str">
        <f t="shared" si="49"/>
        <v/>
      </c>
      <c r="BR28" s="1355" t="str">
        <f t="shared" si="49"/>
        <v/>
      </c>
      <c r="BS28" s="1355" t="str">
        <f t="shared" si="49"/>
        <v/>
      </c>
      <c r="BT28" s="1355" t="str">
        <f t="shared" si="49"/>
        <v/>
      </c>
      <c r="BU28" s="1765"/>
      <c r="BV28" s="1355" t="str">
        <f>IF(BV26="","",BV26*BV27)</f>
        <v/>
      </c>
      <c r="BW28" s="1355" t="str">
        <f>IF(BW26="","",BW26*BW27)</f>
        <v/>
      </c>
      <c r="BX28" s="1355" t="str">
        <f>IF(BX26="","",BX26*BX27)</f>
        <v/>
      </c>
      <c r="BY28" s="1355" t="str">
        <f>IF(BY26="","",BY26*BY27)</f>
        <v/>
      </c>
      <c r="BZ28" s="1748" t="str">
        <f t="shared" si="0"/>
        <v/>
      </c>
      <c r="CA28" s="1748" t="str">
        <f t="shared" si="1"/>
        <v/>
      </c>
      <c r="CB28" s="1748" t="str">
        <f t="shared" si="2"/>
        <v/>
      </c>
      <c r="CC28" s="1749" t="str">
        <f t="shared" si="3"/>
        <v/>
      </c>
      <c r="CD28" s="1683" t="str">
        <f t="shared" si="4"/>
        <v/>
      </c>
      <c r="CE28" s="1684" t="str">
        <f t="shared" si="45"/>
        <v/>
      </c>
      <c r="CF28" s="1685" t="str">
        <f t="shared" si="45"/>
        <v/>
      </c>
      <c r="CG28" s="1685" t="str">
        <f t="shared" si="45"/>
        <v/>
      </c>
      <c r="CH28" s="1685" t="str">
        <f t="shared" si="45"/>
        <v/>
      </c>
      <c r="CI28" s="1685" t="str">
        <f t="shared" si="45"/>
        <v/>
      </c>
      <c r="CJ28" s="1685" t="str">
        <f t="shared" si="45"/>
        <v/>
      </c>
      <c r="CK28" s="1686" t="str">
        <f t="shared" si="45"/>
        <v/>
      </c>
      <c r="CL28" s="1686" t="str">
        <f t="shared" si="45"/>
        <v/>
      </c>
      <c r="CM28" s="1686" t="str">
        <f t="shared" si="45"/>
        <v/>
      </c>
      <c r="CN28" s="1685" t="str">
        <f t="shared" si="45"/>
        <v/>
      </c>
      <c r="CO28" s="1685" t="str">
        <f t="shared" si="45"/>
        <v/>
      </c>
      <c r="CP28" s="1685" t="str">
        <f t="shared" si="45"/>
        <v/>
      </c>
      <c r="CQ28" s="1685" t="str">
        <f t="shared" si="45"/>
        <v/>
      </c>
      <c r="CR28" s="1685" t="str">
        <f t="shared" si="45"/>
        <v/>
      </c>
      <c r="CS28" s="1684" t="str">
        <f t="shared" si="45"/>
        <v/>
      </c>
      <c r="CT28" s="1687" t="str">
        <f t="shared" si="45"/>
        <v/>
      </c>
      <c r="CU28" s="1696" t="str">
        <f t="shared" si="6"/>
        <v/>
      </c>
      <c r="CV28" s="1697" t="str">
        <f t="shared" si="7"/>
        <v/>
      </c>
      <c r="CW28" s="1698" t="str">
        <f t="shared" si="8"/>
        <v/>
      </c>
      <c r="CX28" s="1698" t="str">
        <f t="shared" si="9"/>
        <v/>
      </c>
      <c r="CY28" s="1698" t="str">
        <f t="shared" si="10"/>
        <v/>
      </c>
      <c r="CZ28" s="1698" t="str">
        <f t="shared" si="11"/>
        <v/>
      </c>
      <c r="DA28" s="1698" t="str">
        <f t="shared" si="12"/>
        <v/>
      </c>
      <c r="DB28" s="1699" t="str">
        <f t="shared" si="13"/>
        <v/>
      </c>
      <c r="DC28" s="1699" t="str">
        <f t="shared" si="14"/>
        <v/>
      </c>
      <c r="DD28" s="1699" t="str">
        <f t="shared" si="15"/>
        <v/>
      </c>
      <c r="DE28" s="1698" t="str">
        <f t="shared" si="16"/>
        <v/>
      </c>
      <c r="DF28" s="1698" t="str">
        <f t="shared" si="17"/>
        <v/>
      </c>
      <c r="DG28" s="1698" t="str">
        <f t="shared" si="18"/>
        <v/>
      </c>
      <c r="DH28" s="1698" t="str">
        <f t="shared" si="19"/>
        <v/>
      </c>
      <c r="DI28" s="1698" t="str">
        <f t="shared" si="20"/>
        <v/>
      </c>
      <c r="DJ28" s="1697" t="str">
        <f t="shared" si="21"/>
        <v/>
      </c>
      <c r="DK28" s="1696" t="str">
        <f t="shared" si="22"/>
        <v/>
      </c>
      <c r="DL28" s="1750">
        <f t="shared" si="23"/>
        <v>0</v>
      </c>
      <c r="DM28" s="1386">
        <f t="shared" si="24"/>
        <v>0</v>
      </c>
      <c r="DN28" s="1386">
        <f t="shared" si="25"/>
        <v>0</v>
      </c>
      <c r="DO28" s="1386">
        <f t="shared" si="26"/>
        <v>0</v>
      </c>
      <c r="DP28" s="1766" t="str">
        <f>IF(DP26="","",DP26*BV27)</f>
        <v/>
      </c>
      <c r="DQ28" s="1463" t="str">
        <f>IF(DQ26="","",DQ26*BW27)</f>
        <v/>
      </c>
      <c r="DR28" s="1463" t="str">
        <f>IF(DR26="","",DR26*BX27)</f>
        <v/>
      </c>
      <c r="DS28" s="1767" t="str">
        <f>IF(DS26="","",DS26*BY27)</f>
        <v/>
      </c>
      <c r="DT28" s="1758"/>
      <c r="DU28" s="1707"/>
    </row>
    <row r="29" spans="1:125" ht="12.75" customHeight="1">
      <c r="A29" s="1762" t="s">
        <v>258</v>
      </c>
      <c r="B29" s="1768"/>
      <c r="C29" s="1768"/>
      <c r="D29" s="1768"/>
      <c r="E29" s="1768"/>
      <c r="F29" s="1768"/>
      <c r="G29" s="1768"/>
      <c r="H29" s="1768"/>
      <c r="I29" s="1768"/>
      <c r="J29" s="1768"/>
      <c r="K29" s="1768"/>
      <c r="L29" s="1768"/>
      <c r="M29" s="1768"/>
      <c r="N29" s="1768"/>
      <c r="O29" s="1768"/>
      <c r="P29" s="1768"/>
      <c r="Q29" s="1768"/>
      <c r="R29" s="1768"/>
      <c r="S29" s="1747"/>
      <c r="T29" s="1768"/>
      <c r="U29" s="1768"/>
      <c r="V29" s="1768"/>
      <c r="W29" s="1768"/>
      <c r="X29" s="1768"/>
      <c r="Y29" s="1768"/>
      <c r="Z29" s="1768"/>
      <c r="AA29" s="1768"/>
      <c r="AB29" s="1768"/>
      <c r="AC29" s="1768"/>
      <c r="AD29" s="1768"/>
      <c r="AE29" s="1768"/>
      <c r="AF29" s="1768"/>
      <c r="AG29" s="1768"/>
      <c r="AH29" s="1768"/>
      <c r="AI29" s="1768"/>
      <c r="AJ29" s="1768"/>
      <c r="AK29" s="1747"/>
      <c r="AL29" s="1768"/>
      <c r="AM29" s="1768"/>
      <c r="AN29" s="1768"/>
      <c r="AO29" s="1768"/>
      <c r="AP29" s="1768"/>
      <c r="AQ29" s="1768"/>
      <c r="AR29" s="1768"/>
      <c r="AS29" s="1768"/>
      <c r="AT29" s="1768"/>
      <c r="AU29" s="1768"/>
      <c r="AV29" s="1768"/>
      <c r="AW29" s="1768"/>
      <c r="AX29" s="1768"/>
      <c r="AY29" s="1768"/>
      <c r="AZ29" s="1768"/>
      <c r="BA29" s="1768"/>
      <c r="BB29" s="1768"/>
      <c r="BC29" s="1747"/>
      <c r="BD29" s="1768"/>
      <c r="BE29" s="1768"/>
      <c r="BF29" s="1768"/>
      <c r="BG29" s="1768"/>
      <c r="BH29" s="1768"/>
      <c r="BI29" s="1768"/>
      <c r="BJ29" s="1768"/>
      <c r="BK29" s="1768"/>
      <c r="BL29" s="1768"/>
      <c r="BM29" s="1768"/>
      <c r="BN29" s="1768"/>
      <c r="BO29" s="1768"/>
      <c r="BP29" s="1768"/>
      <c r="BQ29" s="1768"/>
      <c r="BR29" s="1768"/>
      <c r="BS29" s="1768"/>
      <c r="BT29" s="1768"/>
      <c r="BU29" s="1747"/>
      <c r="BV29" s="1768"/>
      <c r="BW29" s="1768"/>
      <c r="BX29" s="1768"/>
      <c r="BY29" s="1768"/>
      <c r="BZ29" s="1748" t="str">
        <f t="shared" si="0"/>
        <v/>
      </c>
      <c r="CA29" s="1748" t="str">
        <f t="shared" si="1"/>
        <v/>
      </c>
      <c r="CB29" s="1748" t="str">
        <f t="shared" si="2"/>
        <v/>
      </c>
      <c r="CC29" s="1749" t="str">
        <f t="shared" si="3"/>
        <v/>
      </c>
      <c r="CD29" s="1683" t="str">
        <f t="shared" si="4"/>
        <v/>
      </c>
      <c r="CE29" s="1684" t="str">
        <f t="shared" si="45"/>
        <v/>
      </c>
      <c r="CF29" s="1685" t="str">
        <f t="shared" si="45"/>
        <v/>
      </c>
      <c r="CG29" s="1685" t="str">
        <f t="shared" si="45"/>
        <v/>
      </c>
      <c r="CH29" s="1685" t="str">
        <f t="shared" si="45"/>
        <v/>
      </c>
      <c r="CI29" s="1685" t="str">
        <f t="shared" si="45"/>
        <v/>
      </c>
      <c r="CJ29" s="1685" t="str">
        <f t="shared" si="45"/>
        <v/>
      </c>
      <c r="CK29" s="1686" t="str">
        <f t="shared" si="45"/>
        <v/>
      </c>
      <c r="CL29" s="1686" t="str">
        <f t="shared" si="45"/>
        <v/>
      </c>
      <c r="CM29" s="1686" t="str">
        <f t="shared" si="45"/>
        <v/>
      </c>
      <c r="CN29" s="1685" t="str">
        <f t="shared" si="45"/>
        <v/>
      </c>
      <c r="CO29" s="1685" t="str">
        <f t="shared" si="45"/>
        <v/>
      </c>
      <c r="CP29" s="1685" t="str">
        <f t="shared" si="45"/>
        <v/>
      </c>
      <c r="CQ29" s="1685" t="str">
        <f t="shared" si="45"/>
        <v/>
      </c>
      <c r="CR29" s="1685" t="str">
        <f t="shared" si="45"/>
        <v/>
      </c>
      <c r="CS29" s="1684" t="str">
        <f t="shared" si="45"/>
        <v/>
      </c>
      <c r="CT29" s="1687" t="str">
        <f t="shared" si="45"/>
        <v/>
      </c>
      <c r="CU29" s="1696" t="str">
        <f t="shared" si="6"/>
        <v/>
      </c>
      <c r="CV29" s="1697" t="str">
        <f t="shared" si="7"/>
        <v/>
      </c>
      <c r="CW29" s="1698" t="str">
        <f t="shared" si="8"/>
        <v/>
      </c>
      <c r="CX29" s="1698" t="str">
        <f t="shared" si="9"/>
        <v/>
      </c>
      <c r="CY29" s="1698" t="str">
        <f t="shared" si="10"/>
        <v/>
      </c>
      <c r="CZ29" s="1698" t="str">
        <f t="shared" si="11"/>
        <v/>
      </c>
      <c r="DA29" s="1698" t="str">
        <f t="shared" si="12"/>
        <v/>
      </c>
      <c r="DB29" s="1699" t="str">
        <f t="shared" si="13"/>
        <v/>
      </c>
      <c r="DC29" s="1699" t="str">
        <f t="shared" si="14"/>
        <v/>
      </c>
      <c r="DD29" s="1699" t="str">
        <f t="shared" si="15"/>
        <v/>
      </c>
      <c r="DE29" s="1698" t="str">
        <f t="shared" si="16"/>
        <v/>
      </c>
      <c r="DF29" s="1698" t="str">
        <f t="shared" si="17"/>
        <v/>
      </c>
      <c r="DG29" s="1698" t="str">
        <f t="shared" si="18"/>
        <v/>
      </c>
      <c r="DH29" s="1698" t="str">
        <f t="shared" si="19"/>
        <v/>
      </c>
      <c r="DI29" s="1698" t="str">
        <f t="shared" si="20"/>
        <v/>
      </c>
      <c r="DJ29" s="1697" t="str">
        <f t="shared" si="21"/>
        <v/>
      </c>
      <c r="DK29" s="1696" t="str">
        <f t="shared" si="22"/>
        <v/>
      </c>
      <c r="DL29" s="1750">
        <f t="shared" si="23"/>
        <v>0</v>
      </c>
      <c r="DM29" s="1386">
        <f t="shared" si="24"/>
        <v>0</v>
      </c>
      <c r="DN29" s="1386">
        <f t="shared" si="25"/>
        <v>0</v>
      </c>
      <c r="DO29" s="1386">
        <f t="shared" si="26"/>
        <v>0</v>
      </c>
      <c r="DP29" s="1769"/>
      <c r="DQ29" s="1492"/>
      <c r="DR29" s="1492"/>
      <c r="DS29" s="1770"/>
      <c r="DT29" s="1758"/>
      <c r="DU29" s="1707"/>
    </row>
    <row r="30" spans="1:125" ht="12.75" customHeight="1">
      <c r="A30" s="1771" t="s">
        <v>227</v>
      </c>
      <c r="B30" s="1354" t="str">
        <f t="shared" ref="B30:R30" si="50">IF(B24="","",(B24-B26-B29)*B25/B$7/365/$G$1)</f>
        <v/>
      </c>
      <c r="C30" s="1354" t="str">
        <f t="shared" si="50"/>
        <v/>
      </c>
      <c r="D30" s="1354" t="str">
        <f t="shared" si="50"/>
        <v/>
      </c>
      <c r="E30" s="1354" t="str">
        <f t="shared" si="50"/>
        <v/>
      </c>
      <c r="F30" s="1354" t="str">
        <f t="shared" si="50"/>
        <v/>
      </c>
      <c r="G30" s="1354" t="str">
        <f t="shared" si="50"/>
        <v/>
      </c>
      <c r="H30" s="1354" t="str">
        <f t="shared" si="50"/>
        <v/>
      </c>
      <c r="I30" s="1354" t="str">
        <f t="shared" si="50"/>
        <v/>
      </c>
      <c r="J30" s="1354" t="str">
        <f t="shared" si="50"/>
        <v/>
      </c>
      <c r="K30" s="1354" t="str">
        <f t="shared" si="50"/>
        <v/>
      </c>
      <c r="L30" s="1354" t="str">
        <f t="shared" si="50"/>
        <v/>
      </c>
      <c r="M30" s="1354" t="str">
        <f t="shared" si="50"/>
        <v/>
      </c>
      <c r="N30" s="1354" t="str">
        <f t="shared" si="50"/>
        <v/>
      </c>
      <c r="O30" s="1354" t="str">
        <f t="shared" si="50"/>
        <v/>
      </c>
      <c r="P30" s="1354" t="str">
        <f t="shared" si="50"/>
        <v/>
      </c>
      <c r="Q30" s="1354" t="str">
        <f t="shared" si="50"/>
        <v/>
      </c>
      <c r="R30" s="1354" t="str">
        <f t="shared" si="50"/>
        <v/>
      </c>
      <c r="S30" s="1772"/>
      <c r="T30" s="1354" t="str">
        <f t="shared" ref="T30:AJ30" si="51">IF(T24="","",(T24-T26-T29)*T25/T$7/365/$G$1)</f>
        <v/>
      </c>
      <c r="U30" s="1354" t="str">
        <f t="shared" si="51"/>
        <v/>
      </c>
      <c r="V30" s="1354" t="str">
        <f t="shared" si="51"/>
        <v/>
      </c>
      <c r="W30" s="1354" t="str">
        <f t="shared" si="51"/>
        <v/>
      </c>
      <c r="X30" s="1354" t="str">
        <f t="shared" si="51"/>
        <v/>
      </c>
      <c r="Y30" s="1354" t="str">
        <f t="shared" si="51"/>
        <v/>
      </c>
      <c r="Z30" s="1354" t="str">
        <f t="shared" si="51"/>
        <v/>
      </c>
      <c r="AA30" s="1354" t="str">
        <f t="shared" si="51"/>
        <v/>
      </c>
      <c r="AB30" s="1354" t="str">
        <f t="shared" si="51"/>
        <v/>
      </c>
      <c r="AC30" s="1354" t="str">
        <f t="shared" si="51"/>
        <v/>
      </c>
      <c r="AD30" s="1354" t="str">
        <f t="shared" si="51"/>
        <v/>
      </c>
      <c r="AE30" s="1354" t="str">
        <f t="shared" si="51"/>
        <v/>
      </c>
      <c r="AF30" s="1354" t="str">
        <f t="shared" si="51"/>
        <v/>
      </c>
      <c r="AG30" s="1354" t="str">
        <f t="shared" si="51"/>
        <v/>
      </c>
      <c r="AH30" s="1354" t="str">
        <f t="shared" si="51"/>
        <v/>
      </c>
      <c r="AI30" s="1354" t="str">
        <f t="shared" si="51"/>
        <v/>
      </c>
      <c r="AJ30" s="1354" t="str">
        <f t="shared" si="51"/>
        <v/>
      </c>
      <c r="AK30" s="1772"/>
      <c r="AL30" s="1354" t="str">
        <f t="shared" ref="AL30:BB30" si="52">IF(AL24="","",(AL24-AL26-AL29)*AL25/AL$7/365/$G$1)</f>
        <v/>
      </c>
      <c r="AM30" s="1354" t="str">
        <f t="shared" si="52"/>
        <v/>
      </c>
      <c r="AN30" s="1354" t="str">
        <f t="shared" si="52"/>
        <v/>
      </c>
      <c r="AO30" s="1354" t="str">
        <f t="shared" si="52"/>
        <v/>
      </c>
      <c r="AP30" s="1354" t="str">
        <f t="shared" si="52"/>
        <v/>
      </c>
      <c r="AQ30" s="1354" t="str">
        <f t="shared" si="52"/>
        <v/>
      </c>
      <c r="AR30" s="1354" t="str">
        <f t="shared" si="52"/>
        <v/>
      </c>
      <c r="AS30" s="1354" t="str">
        <f t="shared" si="52"/>
        <v/>
      </c>
      <c r="AT30" s="1354" t="str">
        <f t="shared" si="52"/>
        <v/>
      </c>
      <c r="AU30" s="1354" t="str">
        <f t="shared" si="52"/>
        <v/>
      </c>
      <c r="AV30" s="1354" t="str">
        <f t="shared" si="52"/>
        <v/>
      </c>
      <c r="AW30" s="1354" t="str">
        <f t="shared" si="52"/>
        <v/>
      </c>
      <c r="AX30" s="1354" t="str">
        <f t="shared" si="52"/>
        <v/>
      </c>
      <c r="AY30" s="1354" t="str">
        <f t="shared" si="52"/>
        <v/>
      </c>
      <c r="AZ30" s="1354" t="str">
        <f t="shared" si="52"/>
        <v/>
      </c>
      <c r="BA30" s="1354" t="str">
        <f t="shared" si="52"/>
        <v/>
      </c>
      <c r="BB30" s="1354" t="str">
        <f t="shared" si="52"/>
        <v/>
      </c>
      <c r="BC30" s="1772"/>
      <c r="BD30" s="1354" t="str">
        <f t="shared" ref="BD30:BT30" si="53">IF(BD24="","",(BD24-BD26-BD29)*BD25/BD$7/365/$G$1)</f>
        <v/>
      </c>
      <c r="BE30" s="1354" t="str">
        <f t="shared" si="53"/>
        <v/>
      </c>
      <c r="BF30" s="1354" t="str">
        <f t="shared" si="53"/>
        <v/>
      </c>
      <c r="BG30" s="1354" t="str">
        <f t="shared" si="53"/>
        <v/>
      </c>
      <c r="BH30" s="1354" t="str">
        <f t="shared" si="53"/>
        <v/>
      </c>
      <c r="BI30" s="1354" t="str">
        <f t="shared" si="53"/>
        <v/>
      </c>
      <c r="BJ30" s="1354" t="str">
        <f t="shared" si="53"/>
        <v/>
      </c>
      <c r="BK30" s="1354" t="str">
        <f t="shared" si="53"/>
        <v/>
      </c>
      <c r="BL30" s="1354" t="str">
        <f t="shared" si="53"/>
        <v/>
      </c>
      <c r="BM30" s="1354" t="str">
        <f t="shared" si="53"/>
        <v/>
      </c>
      <c r="BN30" s="1354" t="str">
        <f t="shared" si="53"/>
        <v/>
      </c>
      <c r="BO30" s="1354" t="str">
        <f t="shared" si="53"/>
        <v/>
      </c>
      <c r="BP30" s="1354" t="str">
        <f t="shared" si="53"/>
        <v/>
      </c>
      <c r="BQ30" s="1354" t="str">
        <f t="shared" si="53"/>
        <v/>
      </c>
      <c r="BR30" s="1354" t="str">
        <f t="shared" si="53"/>
        <v/>
      </c>
      <c r="BS30" s="1354" t="str">
        <f t="shared" si="53"/>
        <v/>
      </c>
      <c r="BT30" s="1354" t="str">
        <f t="shared" si="53"/>
        <v/>
      </c>
      <c r="BU30" s="1772"/>
      <c r="BV30" s="1354" t="str">
        <f>IF(BV24="","",(BV24-BV26-BV29)*BV25/BV$7/365/$G$1)</f>
        <v/>
      </c>
      <c r="BW30" s="1354" t="str">
        <f>IF(BW24="","",(BW24-BW26-BW29)*BW25/BW$7/365/$G$1)</f>
        <v/>
      </c>
      <c r="BX30" s="1354" t="str">
        <f>IF(BX24="","",(BX24-BX26-BX29)*BX25/BX$7/365/$G$1)</f>
        <v/>
      </c>
      <c r="BY30" s="1354" t="str">
        <f>IF(BY24="","",(BY24-BY26-BY29)*BY25/BY$7/365/$G$1)</f>
        <v/>
      </c>
      <c r="BZ30" s="1773" t="str">
        <f t="shared" si="0"/>
        <v/>
      </c>
      <c r="CA30" s="1773" t="str">
        <f t="shared" si="1"/>
        <v/>
      </c>
      <c r="CB30" s="1773" t="str">
        <f t="shared" si="2"/>
        <v/>
      </c>
      <c r="CC30" s="1774" t="str">
        <f t="shared" si="3"/>
        <v/>
      </c>
      <c r="CD30" s="1700" t="str">
        <f t="shared" si="4"/>
        <v/>
      </c>
      <c r="CE30" s="1701" t="str">
        <f t="shared" si="45"/>
        <v/>
      </c>
      <c r="CF30" s="1702" t="str">
        <f t="shared" si="45"/>
        <v/>
      </c>
      <c r="CG30" s="1702" t="str">
        <f t="shared" si="45"/>
        <v/>
      </c>
      <c r="CH30" s="1702" t="str">
        <f t="shared" si="45"/>
        <v/>
      </c>
      <c r="CI30" s="1702" t="str">
        <f t="shared" si="45"/>
        <v/>
      </c>
      <c r="CJ30" s="1702" t="str">
        <f t="shared" si="45"/>
        <v/>
      </c>
      <c r="CK30" s="1703" t="str">
        <f t="shared" si="45"/>
        <v/>
      </c>
      <c r="CL30" s="1703" t="str">
        <f t="shared" si="45"/>
        <v/>
      </c>
      <c r="CM30" s="1703" t="str">
        <f t="shared" si="45"/>
        <v/>
      </c>
      <c r="CN30" s="1702" t="str">
        <f t="shared" si="45"/>
        <v/>
      </c>
      <c r="CO30" s="1702" t="str">
        <f t="shared" si="45"/>
        <v/>
      </c>
      <c r="CP30" s="1702" t="str">
        <f t="shared" si="45"/>
        <v/>
      </c>
      <c r="CQ30" s="1702" t="str">
        <f t="shared" si="45"/>
        <v/>
      </c>
      <c r="CR30" s="1702" t="str">
        <f t="shared" si="45"/>
        <v/>
      </c>
      <c r="CS30" s="1701" t="str">
        <f t="shared" si="45"/>
        <v/>
      </c>
      <c r="CT30" s="1704" t="str">
        <f t="shared" si="45"/>
        <v/>
      </c>
      <c r="CU30" s="1705" t="str">
        <f t="shared" si="6"/>
        <v/>
      </c>
      <c r="CV30" s="1701" t="str">
        <f t="shared" si="7"/>
        <v/>
      </c>
      <c r="CW30" s="1702" t="str">
        <f t="shared" si="8"/>
        <v/>
      </c>
      <c r="CX30" s="1702" t="str">
        <f t="shared" si="9"/>
        <v/>
      </c>
      <c r="CY30" s="1702" t="str">
        <f t="shared" si="10"/>
        <v/>
      </c>
      <c r="CZ30" s="1702" t="str">
        <f t="shared" si="11"/>
        <v/>
      </c>
      <c r="DA30" s="1702" t="str">
        <f t="shared" si="12"/>
        <v/>
      </c>
      <c r="DB30" s="1703" t="str">
        <f t="shared" si="13"/>
        <v/>
      </c>
      <c r="DC30" s="1703" t="str">
        <f t="shared" si="14"/>
        <v/>
      </c>
      <c r="DD30" s="1703" t="str">
        <f t="shared" si="15"/>
        <v/>
      </c>
      <c r="DE30" s="1702" t="str">
        <f t="shared" si="16"/>
        <v/>
      </c>
      <c r="DF30" s="1702" t="str">
        <f t="shared" si="17"/>
        <v/>
      </c>
      <c r="DG30" s="1702" t="str">
        <f t="shared" si="18"/>
        <v/>
      </c>
      <c r="DH30" s="1702" t="str">
        <f t="shared" si="19"/>
        <v/>
      </c>
      <c r="DI30" s="1702" t="str">
        <f t="shared" si="20"/>
        <v/>
      </c>
      <c r="DJ30" s="1701" t="str">
        <f t="shared" si="21"/>
        <v/>
      </c>
      <c r="DK30" s="1705" t="str">
        <f t="shared" si="22"/>
        <v/>
      </c>
      <c r="DL30" s="1750">
        <f t="shared" si="23"/>
        <v>0</v>
      </c>
      <c r="DM30" s="1386">
        <f t="shared" si="24"/>
        <v>0</v>
      </c>
      <c r="DN30" s="1386">
        <f t="shared" si="25"/>
        <v>0</v>
      </c>
      <c r="DO30" s="1386">
        <f t="shared" si="26"/>
        <v>0</v>
      </c>
      <c r="DP30" s="1775" t="str">
        <f>IF(DP24="","",(DP24+SUM(BV24)*(DP24="")-SUM(DP26)-DP29-SUM(BV29)*(DP29=""))*BV25/DP$7/365/$G$1)</f>
        <v/>
      </c>
      <c r="DQ30" s="1354" t="str">
        <f>IF(DQ24="","",(DQ24+SUM(BW24)*(DQ24="")-SUM(DQ26)-DQ29-SUM(BW29)*(DQ29=""))*BW25/DQ$7/365/$G$1)</f>
        <v/>
      </c>
      <c r="DR30" s="1354" t="str">
        <f>IF(DR24="","",(DR24+SUM(BX24)*(DR24="")-SUM(DR26)-DR29-SUM(BX29)*(DR29=""))*BX25/DR$7/365/$G$1)</f>
        <v/>
      </c>
      <c r="DS30" s="1776" t="str">
        <f>IF(DS24="","",(DS24+SUM(BY24)*(DS24="")-SUM(DS26)-DS29-SUM(BY29)*(DS29=""))*BY25/DS$7/365/$G$1)</f>
        <v/>
      </c>
      <c r="DT30" s="1758"/>
      <c r="DU30" s="1707"/>
    </row>
    <row r="31" spans="1:125" ht="12.75" customHeight="1">
      <c r="A31" s="1745" t="s">
        <v>490</v>
      </c>
      <c r="B31" s="1746"/>
      <c r="C31" s="1746"/>
      <c r="D31" s="1746"/>
      <c r="E31" s="1746"/>
      <c r="F31" s="1746"/>
      <c r="G31" s="1746"/>
      <c r="H31" s="1746"/>
      <c r="I31" s="1746"/>
      <c r="J31" s="1746"/>
      <c r="K31" s="1746"/>
      <c r="L31" s="1746"/>
      <c r="M31" s="1746"/>
      <c r="N31" s="1746"/>
      <c r="O31" s="1746"/>
      <c r="P31" s="1746"/>
      <c r="Q31" s="1746"/>
      <c r="R31" s="1746"/>
      <c r="S31" s="1747"/>
      <c r="T31" s="1746"/>
      <c r="U31" s="1746"/>
      <c r="V31" s="1746"/>
      <c r="W31" s="1746"/>
      <c r="X31" s="1746"/>
      <c r="Y31" s="1746"/>
      <c r="Z31" s="1746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7"/>
      <c r="AL31" s="1746"/>
      <c r="AM31" s="1746"/>
      <c r="AN31" s="1746"/>
      <c r="AO31" s="1746"/>
      <c r="AP31" s="1746"/>
      <c r="AQ31" s="1746"/>
      <c r="AR31" s="1746"/>
      <c r="AS31" s="1746"/>
      <c r="AT31" s="1746"/>
      <c r="AU31" s="1746"/>
      <c r="AV31" s="1746"/>
      <c r="AW31" s="1746"/>
      <c r="AX31" s="1746"/>
      <c r="AY31" s="1746"/>
      <c r="AZ31" s="1746"/>
      <c r="BA31" s="1746"/>
      <c r="BB31" s="1746"/>
      <c r="BC31" s="1747"/>
      <c r="BD31" s="1746"/>
      <c r="BE31" s="1746"/>
      <c r="BF31" s="1746"/>
      <c r="BG31" s="1746"/>
      <c r="BH31" s="1746"/>
      <c r="BI31" s="1746"/>
      <c r="BJ31" s="1746"/>
      <c r="BK31" s="1746"/>
      <c r="BL31" s="1746"/>
      <c r="BM31" s="1746"/>
      <c r="BN31" s="1746"/>
      <c r="BO31" s="1746"/>
      <c r="BP31" s="1746"/>
      <c r="BQ31" s="1746"/>
      <c r="BR31" s="1746"/>
      <c r="BS31" s="1746"/>
      <c r="BT31" s="1746"/>
      <c r="BU31" s="1747"/>
      <c r="BV31" s="1746"/>
      <c r="BW31" s="1746"/>
      <c r="BX31" s="1746"/>
      <c r="BY31" s="1746"/>
      <c r="BZ31" s="1748" t="str">
        <f t="shared" si="0"/>
        <v/>
      </c>
      <c r="CA31" s="1748" t="str">
        <f t="shared" si="1"/>
        <v/>
      </c>
      <c r="CB31" s="1748" t="str">
        <f t="shared" si="2"/>
        <v/>
      </c>
      <c r="CC31" s="1749" t="str">
        <f t="shared" si="3"/>
        <v/>
      </c>
      <c r="CD31" s="1683" t="str">
        <f t="shared" si="4"/>
        <v/>
      </c>
      <c r="CE31" s="1684" t="str">
        <f t="shared" si="45"/>
        <v/>
      </c>
      <c r="CF31" s="1685" t="str">
        <f t="shared" si="45"/>
        <v/>
      </c>
      <c r="CG31" s="1685" t="str">
        <f t="shared" si="45"/>
        <v/>
      </c>
      <c r="CH31" s="1685" t="str">
        <f t="shared" si="45"/>
        <v/>
      </c>
      <c r="CI31" s="1685" t="str">
        <f t="shared" si="45"/>
        <v/>
      </c>
      <c r="CJ31" s="1685" t="str">
        <f t="shared" si="45"/>
        <v/>
      </c>
      <c r="CK31" s="1686" t="str">
        <f t="shared" si="45"/>
        <v/>
      </c>
      <c r="CL31" s="1686" t="str">
        <f t="shared" si="45"/>
        <v/>
      </c>
      <c r="CM31" s="1686" t="str">
        <f t="shared" si="45"/>
        <v/>
      </c>
      <c r="CN31" s="1685" t="str">
        <f t="shared" si="45"/>
        <v/>
      </c>
      <c r="CO31" s="1685" t="str">
        <f t="shared" si="45"/>
        <v/>
      </c>
      <c r="CP31" s="1685" t="str">
        <f t="shared" si="45"/>
        <v/>
      </c>
      <c r="CQ31" s="1685" t="str">
        <f t="shared" si="45"/>
        <v/>
      </c>
      <c r="CR31" s="1685" t="str">
        <f t="shared" si="45"/>
        <v/>
      </c>
      <c r="CS31" s="1684" t="str">
        <f t="shared" si="45"/>
        <v/>
      </c>
      <c r="CT31" s="1687" t="str">
        <f t="shared" si="45"/>
        <v/>
      </c>
      <c r="CU31" s="1696" t="str">
        <f t="shared" si="6"/>
        <v/>
      </c>
      <c r="CV31" s="1697" t="str">
        <f t="shared" si="7"/>
        <v/>
      </c>
      <c r="CW31" s="1698" t="str">
        <f t="shared" si="8"/>
        <v/>
      </c>
      <c r="CX31" s="1698" t="str">
        <f t="shared" si="9"/>
        <v/>
      </c>
      <c r="CY31" s="1698" t="str">
        <f t="shared" si="10"/>
        <v/>
      </c>
      <c r="CZ31" s="1698" t="str">
        <f t="shared" si="11"/>
        <v/>
      </c>
      <c r="DA31" s="1698" t="str">
        <f t="shared" si="12"/>
        <v/>
      </c>
      <c r="DB31" s="1699" t="str">
        <f t="shared" si="13"/>
        <v/>
      </c>
      <c r="DC31" s="1699" t="str">
        <f t="shared" si="14"/>
        <v/>
      </c>
      <c r="DD31" s="1699" t="str">
        <f t="shared" si="15"/>
        <v/>
      </c>
      <c r="DE31" s="1698" t="str">
        <f t="shared" si="16"/>
        <v/>
      </c>
      <c r="DF31" s="1698" t="str">
        <f t="shared" si="17"/>
        <v/>
      </c>
      <c r="DG31" s="1698" t="str">
        <f t="shared" si="18"/>
        <v/>
      </c>
      <c r="DH31" s="1698" t="str">
        <f t="shared" si="19"/>
        <v/>
      </c>
      <c r="DI31" s="1698" t="str">
        <f t="shared" si="20"/>
        <v/>
      </c>
      <c r="DJ31" s="1697" t="str">
        <f t="shared" si="21"/>
        <v/>
      </c>
      <c r="DK31" s="1696" t="str">
        <f t="shared" si="22"/>
        <v/>
      </c>
      <c r="DL31" s="1750">
        <f t="shared" si="23"/>
        <v>0</v>
      </c>
      <c r="DM31" s="1386">
        <f t="shared" si="24"/>
        <v>0</v>
      </c>
      <c r="DN31" s="1386">
        <f t="shared" si="25"/>
        <v>0</v>
      </c>
      <c r="DO31" s="1386">
        <f t="shared" si="26"/>
        <v>0</v>
      </c>
      <c r="DP31" s="1777" t="str">
        <f>IF(SUM(BV31)&gt;0,BV31*'Exp factors'!C$21,"")</f>
        <v/>
      </c>
      <c r="DQ31" s="1452" t="str">
        <f>IF(SUM(BW31)&gt;0,BW31*'Exp factors'!D$21,"")</f>
        <v/>
      </c>
      <c r="DR31" s="1452" t="str">
        <f>IF(SUM(BX31)&gt;0,BX31*'Exp factors'!E$21,"")</f>
        <v/>
      </c>
      <c r="DS31" s="1778" t="str">
        <f>IF(SUM(BY31)&gt;0,BY31*'Exp factors'!F$21,"")</f>
        <v/>
      </c>
      <c r="DT31" s="1758"/>
      <c r="DU31" s="1707"/>
    </row>
    <row r="32" spans="1:125" ht="12.75" customHeight="1">
      <c r="A32" s="1344" t="s">
        <v>260</v>
      </c>
      <c r="B32" s="1754"/>
      <c r="C32" s="1754"/>
      <c r="D32" s="1754"/>
      <c r="E32" s="1754"/>
      <c r="F32" s="1754"/>
      <c r="G32" s="1759"/>
      <c r="H32" s="1754"/>
      <c r="I32" s="1754"/>
      <c r="J32" s="1754"/>
      <c r="K32" s="1754"/>
      <c r="L32" s="1754"/>
      <c r="M32" s="1754"/>
      <c r="N32" s="1754"/>
      <c r="O32" s="1754"/>
      <c r="P32" s="1754"/>
      <c r="Q32" s="1754"/>
      <c r="R32" s="1754"/>
      <c r="S32" s="1755"/>
      <c r="T32" s="1754"/>
      <c r="U32" s="1754"/>
      <c r="V32" s="1754"/>
      <c r="W32" s="1754"/>
      <c r="X32" s="1754"/>
      <c r="Y32" s="1754"/>
      <c r="Z32" s="1754"/>
      <c r="AA32" s="1754"/>
      <c r="AB32" s="1754"/>
      <c r="AC32" s="1754"/>
      <c r="AD32" s="1754"/>
      <c r="AE32" s="1754"/>
      <c r="AF32" s="1754"/>
      <c r="AG32" s="1754"/>
      <c r="AH32" s="1754"/>
      <c r="AI32" s="1754"/>
      <c r="AJ32" s="1754"/>
      <c r="AK32" s="1755"/>
      <c r="AL32" s="1754"/>
      <c r="AM32" s="1754"/>
      <c r="AN32" s="1754"/>
      <c r="AO32" s="1754"/>
      <c r="AP32" s="1754"/>
      <c r="AQ32" s="1754"/>
      <c r="AR32" s="1754"/>
      <c r="AS32" s="1754"/>
      <c r="AT32" s="1754"/>
      <c r="AU32" s="1754"/>
      <c r="AV32" s="1754"/>
      <c r="AW32" s="1754"/>
      <c r="AX32" s="1754"/>
      <c r="AY32" s="1754"/>
      <c r="AZ32" s="1754"/>
      <c r="BA32" s="1754"/>
      <c r="BB32" s="1754"/>
      <c r="BC32" s="1755"/>
      <c r="BD32" s="1754"/>
      <c r="BE32" s="1754"/>
      <c r="BF32" s="1754"/>
      <c r="BG32" s="1754"/>
      <c r="BH32" s="1754"/>
      <c r="BI32" s="1754"/>
      <c r="BJ32" s="1754"/>
      <c r="BK32" s="1754"/>
      <c r="BL32" s="1754"/>
      <c r="BM32" s="1754"/>
      <c r="BN32" s="1754"/>
      <c r="BO32" s="1754"/>
      <c r="BP32" s="1754"/>
      <c r="BQ32" s="1754"/>
      <c r="BR32" s="1754"/>
      <c r="BS32" s="1754"/>
      <c r="BT32" s="1754"/>
      <c r="BU32" s="1755"/>
      <c r="BV32" s="1754"/>
      <c r="BW32" s="1754"/>
      <c r="BX32" s="1754"/>
      <c r="BY32" s="1754"/>
      <c r="BZ32" s="1748" t="str">
        <f t="shared" si="0"/>
        <v/>
      </c>
      <c r="CA32" s="1748" t="str">
        <f t="shared" si="1"/>
        <v/>
      </c>
      <c r="CB32" s="1748" t="str">
        <f t="shared" si="2"/>
        <v/>
      </c>
      <c r="CC32" s="1749" t="str">
        <f t="shared" si="3"/>
        <v/>
      </c>
      <c r="CD32" s="1683" t="str">
        <f t="shared" si="4"/>
        <v/>
      </c>
      <c r="CE32" s="1684" t="str">
        <f t="shared" si="45"/>
        <v/>
      </c>
      <c r="CF32" s="1685" t="str">
        <f t="shared" si="45"/>
        <v/>
      </c>
      <c r="CG32" s="1685" t="str">
        <f t="shared" si="45"/>
        <v/>
      </c>
      <c r="CH32" s="1685" t="str">
        <f t="shared" si="45"/>
        <v/>
      </c>
      <c r="CI32" s="1685" t="str">
        <f t="shared" si="45"/>
        <v/>
      </c>
      <c r="CJ32" s="1685" t="str">
        <f t="shared" si="45"/>
        <v/>
      </c>
      <c r="CK32" s="1686" t="str">
        <f t="shared" si="45"/>
        <v/>
      </c>
      <c r="CL32" s="1686" t="str">
        <f t="shared" si="45"/>
        <v/>
      </c>
      <c r="CM32" s="1686" t="str">
        <f t="shared" si="45"/>
        <v/>
      </c>
      <c r="CN32" s="1685" t="str">
        <f t="shared" si="45"/>
        <v/>
      </c>
      <c r="CO32" s="1685" t="str">
        <f t="shared" si="45"/>
        <v/>
      </c>
      <c r="CP32" s="1685" t="str">
        <f t="shared" si="45"/>
        <v/>
      </c>
      <c r="CQ32" s="1685" t="str">
        <f t="shared" si="45"/>
        <v/>
      </c>
      <c r="CR32" s="1685" t="str">
        <f t="shared" si="45"/>
        <v/>
      </c>
      <c r="CS32" s="1684" t="str">
        <f t="shared" si="45"/>
        <v/>
      </c>
      <c r="CT32" s="1687" t="str">
        <f t="shared" si="45"/>
        <v/>
      </c>
      <c r="CU32" s="1696" t="str">
        <f t="shared" si="6"/>
        <v/>
      </c>
      <c r="CV32" s="1697" t="str">
        <f t="shared" si="7"/>
        <v/>
      </c>
      <c r="CW32" s="1698" t="str">
        <f t="shared" si="8"/>
        <v/>
      </c>
      <c r="CX32" s="1698" t="str">
        <f t="shared" si="9"/>
        <v/>
      </c>
      <c r="CY32" s="1698" t="str">
        <f t="shared" si="10"/>
        <v/>
      </c>
      <c r="CZ32" s="1698" t="str">
        <f t="shared" si="11"/>
        <v/>
      </c>
      <c r="DA32" s="1698" t="str">
        <f t="shared" si="12"/>
        <v/>
      </c>
      <c r="DB32" s="1699" t="str">
        <f t="shared" si="13"/>
        <v/>
      </c>
      <c r="DC32" s="1699" t="str">
        <f t="shared" si="14"/>
        <v/>
      </c>
      <c r="DD32" s="1699" t="str">
        <f t="shared" si="15"/>
        <v/>
      </c>
      <c r="DE32" s="1698" t="str">
        <f t="shared" si="16"/>
        <v/>
      </c>
      <c r="DF32" s="1698" t="str">
        <f t="shared" si="17"/>
        <v/>
      </c>
      <c r="DG32" s="1698" t="str">
        <f t="shared" si="18"/>
        <v/>
      </c>
      <c r="DH32" s="1698" t="str">
        <f t="shared" si="19"/>
        <v/>
      </c>
      <c r="DI32" s="1698" t="str">
        <f t="shared" si="20"/>
        <v/>
      </c>
      <c r="DJ32" s="1697" t="str">
        <f t="shared" si="21"/>
        <v/>
      </c>
      <c r="DK32" s="1696" t="str">
        <f t="shared" si="22"/>
        <v/>
      </c>
      <c r="DL32" s="1750">
        <f t="shared" si="23"/>
        <v>0</v>
      </c>
      <c r="DM32" s="1386">
        <f t="shared" si="24"/>
        <v>0</v>
      </c>
      <c r="DN32" s="1386">
        <f t="shared" si="25"/>
        <v>0</v>
      </c>
      <c r="DO32" s="1386">
        <f t="shared" si="26"/>
        <v>0</v>
      </c>
      <c r="DP32" s="1756"/>
      <c r="DQ32" s="1427"/>
      <c r="DR32" s="1427"/>
      <c r="DS32" s="1757"/>
      <c r="DT32" s="1758"/>
      <c r="DU32" s="1707"/>
    </row>
    <row r="33" spans="1:125" ht="12.75" customHeight="1">
      <c r="A33" s="1732" t="s">
        <v>257</v>
      </c>
      <c r="B33" s="1759"/>
      <c r="C33" s="1759"/>
      <c r="D33" s="1759"/>
      <c r="E33" s="1759"/>
      <c r="F33" s="1759"/>
      <c r="G33" s="1759"/>
      <c r="H33" s="1759"/>
      <c r="I33" s="1759"/>
      <c r="J33" s="1759"/>
      <c r="K33" s="1759"/>
      <c r="L33" s="1759"/>
      <c r="M33" s="1759"/>
      <c r="N33" s="1759"/>
      <c r="O33" s="1759"/>
      <c r="P33" s="1759"/>
      <c r="Q33" s="1759"/>
      <c r="R33" s="1759"/>
      <c r="S33" s="1755"/>
      <c r="T33" s="1759"/>
      <c r="U33" s="1759"/>
      <c r="V33" s="1759"/>
      <c r="W33" s="1759"/>
      <c r="X33" s="1759"/>
      <c r="Y33" s="1759"/>
      <c r="Z33" s="1759"/>
      <c r="AA33" s="1759"/>
      <c r="AB33" s="1759"/>
      <c r="AC33" s="1759"/>
      <c r="AD33" s="1759"/>
      <c r="AE33" s="1759"/>
      <c r="AF33" s="1759"/>
      <c r="AG33" s="1759"/>
      <c r="AH33" s="1759"/>
      <c r="AI33" s="1759"/>
      <c r="AJ33" s="1759"/>
      <c r="AK33" s="1755"/>
      <c r="AL33" s="1759"/>
      <c r="AM33" s="1759"/>
      <c r="AN33" s="1759"/>
      <c r="AO33" s="1759"/>
      <c r="AP33" s="1759"/>
      <c r="AQ33" s="1759"/>
      <c r="AR33" s="1759"/>
      <c r="AS33" s="1759"/>
      <c r="AT33" s="1759"/>
      <c r="AU33" s="1759"/>
      <c r="AV33" s="1759"/>
      <c r="AW33" s="1759"/>
      <c r="AX33" s="1759"/>
      <c r="AY33" s="1759"/>
      <c r="AZ33" s="1759"/>
      <c r="BA33" s="1759"/>
      <c r="BB33" s="1759"/>
      <c r="BC33" s="1755"/>
      <c r="BD33" s="1759"/>
      <c r="BE33" s="1759"/>
      <c r="BF33" s="1759"/>
      <c r="BG33" s="1759"/>
      <c r="BH33" s="1759"/>
      <c r="BI33" s="1759"/>
      <c r="BJ33" s="1759"/>
      <c r="BK33" s="1759"/>
      <c r="BL33" s="1759"/>
      <c r="BM33" s="1759"/>
      <c r="BN33" s="1759"/>
      <c r="BO33" s="1759"/>
      <c r="BP33" s="1759"/>
      <c r="BQ33" s="1759"/>
      <c r="BR33" s="1759"/>
      <c r="BS33" s="1759"/>
      <c r="BT33" s="1759"/>
      <c r="BU33" s="1755"/>
      <c r="BV33" s="1759"/>
      <c r="BW33" s="1759"/>
      <c r="BX33" s="1759"/>
      <c r="BY33" s="1759"/>
      <c r="BZ33" s="1748" t="str">
        <f t="shared" si="0"/>
        <v/>
      </c>
      <c r="CA33" s="1748" t="str">
        <f t="shared" si="1"/>
        <v/>
      </c>
      <c r="CB33" s="1748" t="str">
        <f t="shared" si="2"/>
        <v/>
      </c>
      <c r="CC33" s="1749" t="str">
        <f t="shared" si="3"/>
        <v/>
      </c>
      <c r="CD33" s="1683" t="str">
        <f t="shared" si="4"/>
        <v/>
      </c>
      <c r="CE33" s="1684" t="str">
        <f t="shared" si="45"/>
        <v/>
      </c>
      <c r="CF33" s="1685" t="str">
        <f t="shared" si="45"/>
        <v/>
      </c>
      <c r="CG33" s="1685" t="str">
        <f t="shared" si="45"/>
        <v/>
      </c>
      <c r="CH33" s="1685" t="str">
        <f t="shared" si="45"/>
        <v/>
      </c>
      <c r="CI33" s="1685" t="str">
        <f t="shared" si="45"/>
        <v/>
      </c>
      <c r="CJ33" s="1685" t="str">
        <f t="shared" si="45"/>
        <v/>
      </c>
      <c r="CK33" s="1686" t="str">
        <f t="shared" si="45"/>
        <v/>
      </c>
      <c r="CL33" s="1686" t="str">
        <f t="shared" si="45"/>
        <v/>
      </c>
      <c r="CM33" s="1686" t="str">
        <f t="shared" si="45"/>
        <v/>
      </c>
      <c r="CN33" s="1685" t="str">
        <f t="shared" si="45"/>
        <v/>
      </c>
      <c r="CO33" s="1685" t="str">
        <f t="shared" si="45"/>
        <v/>
      </c>
      <c r="CP33" s="1685" t="str">
        <f t="shared" si="45"/>
        <v/>
      </c>
      <c r="CQ33" s="1685" t="str">
        <f t="shared" si="45"/>
        <v/>
      </c>
      <c r="CR33" s="1685" t="str">
        <f t="shared" si="45"/>
        <v/>
      </c>
      <c r="CS33" s="1684" t="str">
        <f t="shared" si="45"/>
        <v/>
      </c>
      <c r="CT33" s="1687" t="str">
        <f t="shared" si="45"/>
        <v/>
      </c>
      <c r="CU33" s="1696" t="str">
        <f t="shared" si="6"/>
        <v/>
      </c>
      <c r="CV33" s="1697" t="str">
        <f t="shared" si="7"/>
        <v/>
      </c>
      <c r="CW33" s="1698" t="str">
        <f t="shared" si="8"/>
        <v/>
      </c>
      <c r="CX33" s="1698" t="str">
        <f t="shared" si="9"/>
        <v/>
      </c>
      <c r="CY33" s="1698" t="str">
        <f t="shared" si="10"/>
        <v/>
      </c>
      <c r="CZ33" s="1698" t="str">
        <f t="shared" si="11"/>
        <v/>
      </c>
      <c r="DA33" s="1698" t="str">
        <f t="shared" si="12"/>
        <v/>
      </c>
      <c r="DB33" s="1699" t="str">
        <f t="shared" si="13"/>
        <v/>
      </c>
      <c r="DC33" s="1699" t="str">
        <f t="shared" si="14"/>
        <v/>
      </c>
      <c r="DD33" s="1699" t="str">
        <f t="shared" si="15"/>
        <v/>
      </c>
      <c r="DE33" s="1698" t="str">
        <f t="shared" si="16"/>
        <v/>
      </c>
      <c r="DF33" s="1698" t="str">
        <f t="shared" si="17"/>
        <v/>
      </c>
      <c r="DG33" s="1698" t="str">
        <f t="shared" si="18"/>
        <v/>
      </c>
      <c r="DH33" s="1698" t="str">
        <f t="shared" si="19"/>
        <v/>
      </c>
      <c r="DI33" s="1698" t="str">
        <f t="shared" si="20"/>
        <v/>
      </c>
      <c r="DJ33" s="1697" t="str">
        <f t="shared" si="21"/>
        <v/>
      </c>
      <c r="DK33" s="1696" t="str">
        <f t="shared" si="22"/>
        <v/>
      </c>
      <c r="DL33" s="1750">
        <f t="shared" si="23"/>
        <v>0</v>
      </c>
      <c r="DM33" s="1386">
        <f t="shared" si="24"/>
        <v>0</v>
      </c>
      <c r="DN33" s="1386">
        <f t="shared" si="25"/>
        <v>0</v>
      </c>
      <c r="DO33" s="1386">
        <f t="shared" si="26"/>
        <v>0</v>
      </c>
      <c r="DP33" s="1760" t="str">
        <f>IF(SUM(BV33)&gt;0,(BV31-DP36-SUM(BV36)*(DP36=""))*'Exp factors'!C$21,"")</f>
        <v/>
      </c>
      <c r="DQ33" s="1497" t="str">
        <f>IF(SUM(BW33)&gt;0,(BW31-DQ36-SUM(BW36)*(DQ36=""))*'Exp factors'!D$21,"")</f>
        <v/>
      </c>
      <c r="DR33" s="1497" t="str">
        <f>IF(SUM(BX33)&gt;0,(BX31-DR36-SUM(BX36)*(DR36=""))*'Exp factors'!E$21,"")</f>
        <v/>
      </c>
      <c r="DS33" s="1761" t="str">
        <f>IF(SUM(BY33)&gt;0,(BY31-DS36-SUM(BY36)*(DS36=""))*'Exp factors'!F$21,"")</f>
        <v/>
      </c>
      <c r="DT33" s="1758"/>
      <c r="DU33" s="1707"/>
    </row>
    <row r="34" spans="1:125" ht="12.75" customHeight="1">
      <c r="A34" s="1762" t="s">
        <v>181</v>
      </c>
      <c r="B34" s="1763"/>
      <c r="C34" s="1763"/>
      <c r="D34" s="1763"/>
      <c r="E34" s="1763"/>
      <c r="F34" s="1763"/>
      <c r="G34" s="1763"/>
      <c r="H34" s="1763"/>
      <c r="I34" s="1763"/>
      <c r="J34" s="1763"/>
      <c r="K34" s="1763"/>
      <c r="L34" s="1763"/>
      <c r="M34" s="1763"/>
      <c r="N34" s="1763"/>
      <c r="O34" s="1763"/>
      <c r="P34" s="1763"/>
      <c r="Q34" s="1763"/>
      <c r="R34" s="1763"/>
      <c r="S34" s="1755"/>
      <c r="T34" s="1763"/>
      <c r="U34" s="1763"/>
      <c r="V34" s="1763"/>
      <c r="W34" s="1763"/>
      <c r="X34" s="1763"/>
      <c r="Y34" s="1763"/>
      <c r="Z34" s="1763"/>
      <c r="AA34" s="1763"/>
      <c r="AB34" s="1763"/>
      <c r="AC34" s="1763"/>
      <c r="AD34" s="1763"/>
      <c r="AE34" s="1763"/>
      <c r="AF34" s="1763"/>
      <c r="AG34" s="1763"/>
      <c r="AH34" s="1763"/>
      <c r="AI34" s="1763"/>
      <c r="AJ34" s="1763"/>
      <c r="AK34" s="1755"/>
      <c r="AL34" s="1763"/>
      <c r="AM34" s="1763"/>
      <c r="AN34" s="1763"/>
      <c r="AO34" s="1763"/>
      <c r="AP34" s="1763"/>
      <c r="AQ34" s="1763"/>
      <c r="AR34" s="1763"/>
      <c r="AS34" s="1763"/>
      <c r="AT34" s="1763"/>
      <c r="AU34" s="1763"/>
      <c r="AV34" s="1763"/>
      <c r="AW34" s="1763"/>
      <c r="AX34" s="1763"/>
      <c r="AY34" s="1763"/>
      <c r="AZ34" s="1763"/>
      <c r="BA34" s="1763"/>
      <c r="BB34" s="1763"/>
      <c r="BC34" s="1755"/>
      <c r="BD34" s="1763"/>
      <c r="BE34" s="1763"/>
      <c r="BF34" s="1763"/>
      <c r="BG34" s="1763"/>
      <c r="BH34" s="1763"/>
      <c r="BI34" s="1763"/>
      <c r="BJ34" s="1763"/>
      <c r="BK34" s="1763"/>
      <c r="BL34" s="1763"/>
      <c r="BM34" s="1763"/>
      <c r="BN34" s="1763"/>
      <c r="BO34" s="1763"/>
      <c r="BP34" s="1763"/>
      <c r="BQ34" s="1763"/>
      <c r="BR34" s="1763"/>
      <c r="BS34" s="1763"/>
      <c r="BT34" s="1763"/>
      <c r="BU34" s="1755"/>
      <c r="BV34" s="1763"/>
      <c r="BW34" s="1763"/>
      <c r="BX34" s="1763"/>
      <c r="BY34" s="1763"/>
      <c r="BZ34" s="1748" t="str">
        <f t="shared" si="0"/>
        <v/>
      </c>
      <c r="CA34" s="1748" t="str">
        <f t="shared" si="1"/>
        <v/>
      </c>
      <c r="CB34" s="1748" t="str">
        <f t="shared" si="2"/>
        <v/>
      </c>
      <c r="CC34" s="1749" t="str">
        <f t="shared" si="3"/>
        <v/>
      </c>
      <c r="CD34" s="1683" t="str">
        <f t="shared" si="4"/>
        <v/>
      </c>
      <c r="CE34" s="1684" t="str">
        <f t="shared" si="45"/>
        <v/>
      </c>
      <c r="CF34" s="1685" t="str">
        <f t="shared" si="45"/>
        <v/>
      </c>
      <c r="CG34" s="1685" t="str">
        <f t="shared" si="45"/>
        <v/>
      </c>
      <c r="CH34" s="1685" t="str">
        <f t="shared" si="45"/>
        <v/>
      </c>
      <c r="CI34" s="1685" t="str">
        <f t="shared" si="45"/>
        <v/>
      </c>
      <c r="CJ34" s="1685" t="str">
        <f t="shared" si="45"/>
        <v/>
      </c>
      <c r="CK34" s="1686" t="str">
        <f t="shared" si="45"/>
        <v/>
      </c>
      <c r="CL34" s="1686" t="str">
        <f t="shared" si="45"/>
        <v/>
      </c>
      <c r="CM34" s="1686" t="str">
        <f t="shared" si="45"/>
        <v/>
      </c>
      <c r="CN34" s="1685" t="str">
        <f t="shared" si="45"/>
        <v/>
      </c>
      <c r="CO34" s="1685" t="str">
        <f t="shared" si="45"/>
        <v/>
      </c>
      <c r="CP34" s="1685" t="str">
        <f t="shared" si="45"/>
        <v/>
      </c>
      <c r="CQ34" s="1685" t="str">
        <f t="shared" si="45"/>
        <v/>
      </c>
      <c r="CR34" s="1685" t="str">
        <f t="shared" si="45"/>
        <v/>
      </c>
      <c r="CS34" s="1684" t="str">
        <f t="shared" si="45"/>
        <v/>
      </c>
      <c r="CT34" s="1687" t="str">
        <f t="shared" si="45"/>
        <v/>
      </c>
      <c r="CU34" s="1696" t="str">
        <f t="shared" si="6"/>
        <v/>
      </c>
      <c r="CV34" s="1697" t="str">
        <f t="shared" si="7"/>
        <v/>
      </c>
      <c r="CW34" s="1698" t="str">
        <f t="shared" si="8"/>
        <v/>
      </c>
      <c r="CX34" s="1698" t="str">
        <f t="shared" si="9"/>
        <v/>
      </c>
      <c r="CY34" s="1698" t="str">
        <f t="shared" si="10"/>
        <v/>
      </c>
      <c r="CZ34" s="1698" t="str">
        <f t="shared" si="11"/>
        <v/>
      </c>
      <c r="DA34" s="1698" t="str">
        <f t="shared" si="12"/>
        <v/>
      </c>
      <c r="DB34" s="1699" t="str">
        <f t="shared" si="13"/>
        <v/>
      </c>
      <c r="DC34" s="1699" t="str">
        <f t="shared" si="14"/>
        <v/>
      </c>
      <c r="DD34" s="1699" t="str">
        <f t="shared" si="15"/>
        <v/>
      </c>
      <c r="DE34" s="1698" t="str">
        <f t="shared" si="16"/>
        <v/>
      </c>
      <c r="DF34" s="1698" t="str">
        <f t="shared" si="17"/>
        <v/>
      </c>
      <c r="DG34" s="1698" t="str">
        <f t="shared" si="18"/>
        <v/>
      </c>
      <c r="DH34" s="1698" t="str">
        <f t="shared" si="19"/>
        <v/>
      </c>
      <c r="DI34" s="1698" t="str">
        <f t="shared" si="20"/>
        <v/>
      </c>
      <c r="DJ34" s="1697" t="str">
        <f t="shared" si="21"/>
        <v/>
      </c>
      <c r="DK34" s="1696" t="str">
        <f t="shared" si="22"/>
        <v/>
      </c>
      <c r="DL34" s="1750">
        <f t="shared" si="23"/>
        <v>0</v>
      </c>
      <c r="DM34" s="1386">
        <f t="shared" si="24"/>
        <v>0</v>
      </c>
      <c r="DN34" s="1386">
        <f t="shared" si="25"/>
        <v>0</v>
      </c>
      <c r="DO34" s="1386">
        <f t="shared" si="26"/>
        <v>0</v>
      </c>
      <c r="DP34" s="1756"/>
      <c r="DQ34" s="1427"/>
      <c r="DR34" s="1427"/>
      <c r="DS34" s="1757"/>
      <c r="DT34" s="1758"/>
      <c r="DU34" s="1707"/>
    </row>
    <row r="35" spans="1:125" ht="12.75" customHeight="1">
      <c r="A35" s="1762" t="s">
        <v>183</v>
      </c>
      <c r="B35" s="1355" t="str">
        <f t="shared" ref="B35:R35" si="54">IF(B33="","",B33*B34)</f>
        <v/>
      </c>
      <c r="C35" s="1355" t="str">
        <f t="shared" si="54"/>
        <v/>
      </c>
      <c r="D35" s="1355" t="str">
        <f t="shared" si="54"/>
        <v/>
      </c>
      <c r="E35" s="1355" t="str">
        <f t="shared" si="54"/>
        <v/>
      </c>
      <c r="F35" s="1355" t="str">
        <f t="shared" si="54"/>
        <v/>
      </c>
      <c r="G35" s="1355" t="str">
        <f t="shared" si="54"/>
        <v/>
      </c>
      <c r="H35" s="1355" t="str">
        <f t="shared" si="54"/>
        <v/>
      </c>
      <c r="I35" s="1355" t="str">
        <f t="shared" si="54"/>
        <v/>
      </c>
      <c r="J35" s="1355" t="str">
        <f t="shared" si="54"/>
        <v/>
      </c>
      <c r="K35" s="1355" t="str">
        <f t="shared" si="54"/>
        <v/>
      </c>
      <c r="L35" s="1355" t="str">
        <f t="shared" si="54"/>
        <v/>
      </c>
      <c r="M35" s="1355" t="str">
        <f t="shared" si="54"/>
        <v/>
      </c>
      <c r="N35" s="1355" t="str">
        <f t="shared" si="54"/>
        <v/>
      </c>
      <c r="O35" s="1355" t="str">
        <f t="shared" si="54"/>
        <v/>
      </c>
      <c r="P35" s="1355" t="str">
        <f t="shared" si="54"/>
        <v/>
      </c>
      <c r="Q35" s="1355" t="str">
        <f t="shared" si="54"/>
        <v/>
      </c>
      <c r="R35" s="1355" t="str">
        <f t="shared" si="54"/>
        <v/>
      </c>
      <c r="S35" s="1765"/>
      <c r="T35" s="1355" t="str">
        <f t="shared" ref="T35:AJ35" si="55">IF(T33="","",T33*T34)</f>
        <v/>
      </c>
      <c r="U35" s="1355" t="str">
        <f t="shared" si="55"/>
        <v/>
      </c>
      <c r="V35" s="1355" t="str">
        <f t="shared" si="55"/>
        <v/>
      </c>
      <c r="W35" s="1355" t="str">
        <f t="shared" si="55"/>
        <v/>
      </c>
      <c r="X35" s="1355" t="str">
        <f t="shared" si="55"/>
        <v/>
      </c>
      <c r="Y35" s="1355" t="str">
        <f t="shared" si="55"/>
        <v/>
      </c>
      <c r="Z35" s="1355" t="str">
        <f t="shared" si="55"/>
        <v/>
      </c>
      <c r="AA35" s="1355" t="str">
        <f t="shared" si="55"/>
        <v/>
      </c>
      <c r="AB35" s="1355" t="str">
        <f t="shared" si="55"/>
        <v/>
      </c>
      <c r="AC35" s="1355" t="str">
        <f t="shared" si="55"/>
        <v/>
      </c>
      <c r="AD35" s="1355" t="str">
        <f t="shared" si="55"/>
        <v/>
      </c>
      <c r="AE35" s="1355" t="str">
        <f t="shared" si="55"/>
        <v/>
      </c>
      <c r="AF35" s="1355" t="str">
        <f t="shared" si="55"/>
        <v/>
      </c>
      <c r="AG35" s="1355" t="str">
        <f t="shared" si="55"/>
        <v/>
      </c>
      <c r="AH35" s="1355" t="str">
        <f t="shared" si="55"/>
        <v/>
      </c>
      <c r="AI35" s="1355" t="str">
        <f t="shared" si="55"/>
        <v/>
      </c>
      <c r="AJ35" s="1355" t="str">
        <f t="shared" si="55"/>
        <v/>
      </c>
      <c r="AK35" s="1765"/>
      <c r="AL35" s="1355" t="str">
        <f t="shared" ref="AL35:BB35" si="56">IF(AL33="","",AL33*AL34)</f>
        <v/>
      </c>
      <c r="AM35" s="1355" t="str">
        <f t="shared" si="56"/>
        <v/>
      </c>
      <c r="AN35" s="1355" t="str">
        <f t="shared" si="56"/>
        <v/>
      </c>
      <c r="AO35" s="1355" t="str">
        <f t="shared" si="56"/>
        <v/>
      </c>
      <c r="AP35" s="1355" t="str">
        <f t="shared" si="56"/>
        <v/>
      </c>
      <c r="AQ35" s="1355" t="str">
        <f t="shared" si="56"/>
        <v/>
      </c>
      <c r="AR35" s="1355" t="str">
        <f t="shared" si="56"/>
        <v/>
      </c>
      <c r="AS35" s="1355" t="str">
        <f t="shared" si="56"/>
        <v/>
      </c>
      <c r="AT35" s="1355" t="str">
        <f t="shared" si="56"/>
        <v/>
      </c>
      <c r="AU35" s="1355" t="str">
        <f t="shared" si="56"/>
        <v/>
      </c>
      <c r="AV35" s="1355" t="str">
        <f t="shared" si="56"/>
        <v/>
      </c>
      <c r="AW35" s="1355" t="str">
        <f t="shared" si="56"/>
        <v/>
      </c>
      <c r="AX35" s="1355" t="str">
        <f t="shared" si="56"/>
        <v/>
      </c>
      <c r="AY35" s="1355" t="str">
        <f t="shared" si="56"/>
        <v/>
      </c>
      <c r="AZ35" s="1355" t="str">
        <f t="shared" si="56"/>
        <v/>
      </c>
      <c r="BA35" s="1355" t="str">
        <f t="shared" si="56"/>
        <v/>
      </c>
      <c r="BB35" s="1355" t="str">
        <f t="shared" si="56"/>
        <v/>
      </c>
      <c r="BC35" s="1765"/>
      <c r="BD35" s="1355" t="str">
        <f t="shared" ref="BD35:BT35" si="57">IF(BD33="","",BD33*BD34)</f>
        <v/>
      </c>
      <c r="BE35" s="1355" t="str">
        <f t="shared" si="57"/>
        <v/>
      </c>
      <c r="BF35" s="1355" t="str">
        <f t="shared" si="57"/>
        <v/>
      </c>
      <c r="BG35" s="1355" t="str">
        <f t="shared" si="57"/>
        <v/>
      </c>
      <c r="BH35" s="1355" t="str">
        <f t="shared" si="57"/>
        <v/>
      </c>
      <c r="BI35" s="1355" t="str">
        <f t="shared" si="57"/>
        <v/>
      </c>
      <c r="BJ35" s="1355" t="str">
        <f t="shared" si="57"/>
        <v/>
      </c>
      <c r="BK35" s="1355" t="str">
        <f t="shared" si="57"/>
        <v/>
      </c>
      <c r="BL35" s="1355" t="str">
        <f t="shared" si="57"/>
        <v/>
      </c>
      <c r="BM35" s="1355" t="str">
        <f t="shared" si="57"/>
        <v/>
      </c>
      <c r="BN35" s="1355" t="str">
        <f t="shared" si="57"/>
        <v/>
      </c>
      <c r="BO35" s="1355" t="str">
        <f t="shared" si="57"/>
        <v/>
      </c>
      <c r="BP35" s="1355" t="str">
        <f t="shared" si="57"/>
        <v/>
      </c>
      <c r="BQ35" s="1355" t="str">
        <f t="shared" si="57"/>
        <v/>
      </c>
      <c r="BR35" s="1355" t="str">
        <f t="shared" si="57"/>
        <v/>
      </c>
      <c r="BS35" s="1355" t="str">
        <f t="shared" si="57"/>
        <v/>
      </c>
      <c r="BT35" s="1355" t="str">
        <f t="shared" si="57"/>
        <v/>
      </c>
      <c r="BU35" s="1765"/>
      <c r="BV35" s="1355" t="str">
        <f>IF(BV33="","",BV33*BV34)</f>
        <v/>
      </c>
      <c r="BW35" s="1355" t="str">
        <f>IF(BW33="","",BW33*BW34)</f>
        <v/>
      </c>
      <c r="BX35" s="1355" t="str">
        <f>IF(BX33="","",BX33*BX34)</f>
        <v/>
      </c>
      <c r="BY35" s="1355" t="str">
        <f>IF(BY33="","",BY33*BY34)</f>
        <v/>
      </c>
      <c r="BZ35" s="1748" t="str">
        <f t="shared" si="0"/>
        <v/>
      </c>
      <c r="CA35" s="1748" t="str">
        <f t="shared" si="1"/>
        <v/>
      </c>
      <c r="CB35" s="1748" t="str">
        <f t="shared" si="2"/>
        <v/>
      </c>
      <c r="CC35" s="1749" t="str">
        <f t="shared" si="3"/>
        <v/>
      </c>
      <c r="CD35" s="1683" t="str">
        <f t="shared" si="4"/>
        <v/>
      </c>
      <c r="CE35" s="1684" t="str">
        <f t="shared" si="45"/>
        <v/>
      </c>
      <c r="CF35" s="1685" t="str">
        <f t="shared" si="45"/>
        <v/>
      </c>
      <c r="CG35" s="1685" t="str">
        <f t="shared" si="45"/>
        <v/>
      </c>
      <c r="CH35" s="1685" t="str">
        <f t="shared" si="45"/>
        <v/>
      </c>
      <c r="CI35" s="1685" t="str">
        <f t="shared" si="45"/>
        <v/>
      </c>
      <c r="CJ35" s="1685" t="str">
        <f t="shared" si="45"/>
        <v/>
      </c>
      <c r="CK35" s="1686" t="str">
        <f t="shared" si="45"/>
        <v/>
      </c>
      <c r="CL35" s="1686" t="str">
        <f t="shared" si="45"/>
        <v/>
      </c>
      <c r="CM35" s="1686" t="str">
        <f t="shared" si="45"/>
        <v/>
      </c>
      <c r="CN35" s="1685" t="str">
        <f t="shared" si="45"/>
        <v/>
      </c>
      <c r="CO35" s="1685" t="str">
        <f t="shared" si="45"/>
        <v/>
      </c>
      <c r="CP35" s="1685" t="str">
        <f t="shared" si="45"/>
        <v/>
      </c>
      <c r="CQ35" s="1685" t="str">
        <f t="shared" si="45"/>
        <v/>
      </c>
      <c r="CR35" s="1685" t="str">
        <f t="shared" si="45"/>
        <v/>
      </c>
      <c r="CS35" s="1684" t="str">
        <f t="shared" si="45"/>
        <v/>
      </c>
      <c r="CT35" s="1687" t="str">
        <f t="shared" si="45"/>
        <v/>
      </c>
      <c r="CU35" s="1696" t="str">
        <f t="shared" si="6"/>
        <v/>
      </c>
      <c r="CV35" s="1697" t="str">
        <f t="shared" si="7"/>
        <v/>
      </c>
      <c r="CW35" s="1698" t="str">
        <f t="shared" si="8"/>
        <v/>
      </c>
      <c r="CX35" s="1698" t="str">
        <f t="shared" si="9"/>
        <v/>
      </c>
      <c r="CY35" s="1698" t="str">
        <f t="shared" si="10"/>
        <v/>
      </c>
      <c r="CZ35" s="1698" t="str">
        <f t="shared" si="11"/>
        <v/>
      </c>
      <c r="DA35" s="1698" t="str">
        <f t="shared" si="12"/>
        <v/>
      </c>
      <c r="DB35" s="1699" t="str">
        <f t="shared" si="13"/>
        <v/>
      </c>
      <c r="DC35" s="1699" t="str">
        <f t="shared" si="14"/>
        <v/>
      </c>
      <c r="DD35" s="1699" t="str">
        <f t="shared" si="15"/>
        <v/>
      </c>
      <c r="DE35" s="1698" t="str">
        <f t="shared" si="16"/>
        <v/>
      </c>
      <c r="DF35" s="1698" t="str">
        <f t="shared" si="17"/>
        <v/>
      </c>
      <c r="DG35" s="1698" t="str">
        <f t="shared" si="18"/>
        <v/>
      </c>
      <c r="DH35" s="1698" t="str">
        <f t="shared" si="19"/>
        <v/>
      </c>
      <c r="DI35" s="1698" t="str">
        <f t="shared" si="20"/>
        <v/>
      </c>
      <c r="DJ35" s="1697" t="str">
        <f t="shared" si="21"/>
        <v/>
      </c>
      <c r="DK35" s="1696" t="str">
        <f t="shared" si="22"/>
        <v/>
      </c>
      <c r="DL35" s="1750">
        <f t="shared" si="23"/>
        <v>0</v>
      </c>
      <c r="DM35" s="1386">
        <f t="shared" si="24"/>
        <v>0</v>
      </c>
      <c r="DN35" s="1386">
        <f t="shared" si="25"/>
        <v>0</v>
      </c>
      <c r="DO35" s="1386">
        <f t="shared" si="26"/>
        <v>0</v>
      </c>
      <c r="DP35" s="1766" t="str">
        <f>IF(DP33="","",DP33*BV34)</f>
        <v/>
      </c>
      <c r="DQ35" s="1463" t="str">
        <f>IF(DQ33="","",DQ33*BW34)</f>
        <v/>
      </c>
      <c r="DR35" s="1463" t="str">
        <f>IF(DR33="","",DR33*BX34)</f>
        <v/>
      </c>
      <c r="DS35" s="1767" t="str">
        <f>IF(DS33="","",DS33*BY34)</f>
        <v/>
      </c>
      <c r="DT35" s="1758"/>
      <c r="DU35" s="1707"/>
    </row>
    <row r="36" spans="1:125" ht="12.75" customHeight="1">
      <c r="A36" s="1762" t="s">
        <v>258</v>
      </c>
      <c r="B36" s="1768"/>
      <c r="C36" s="1768"/>
      <c r="D36" s="1768"/>
      <c r="E36" s="1768"/>
      <c r="F36" s="1768"/>
      <c r="G36" s="1768"/>
      <c r="H36" s="1768"/>
      <c r="I36" s="1768"/>
      <c r="J36" s="1768"/>
      <c r="K36" s="1768"/>
      <c r="L36" s="1768"/>
      <c r="M36" s="1768"/>
      <c r="N36" s="1768"/>
      <c r="O36" s="1768"/>
      <c r="P36" s="1768"/>
      <c r="Q36" s="1768"/>
      <c r="R36" s="1768"/>
      <c r="S36" s="1747"/>
      <c r="T36" s="1768"/>
      <c r="U36" s="1768"/>
      <c r="V36" s="1768"/>
      <c r="W36" s="1768"/>
      <c r="X36" s="1768"/>
      <c r="Y36" s="1768"/>
      <c r="Z36" s="1768"/>
      <c r="AA36" s="1768"/>
      <c r="AB36" s="1768"/>
      <c r="AC36" s="1768"/>
      <c r="AD36" s="1768"/>
      <c r="AE36" s="1768"/>
      <c r="AF36" s="1768"/>
      <c r="AG36" s="1768"/>
      <c r="AH36" s="1768"/>
      <c r="AI36" s="1768"/>
      <c r="AJ36" s="1768"/>
      <c r="AK36" s="1747"/>
      <c r="AL36" s="1768"/>
      <c r="AM36" s="1768"/>
      <c r="AN36" s="1768"/>
      <c r="AO36" s="1768"/>
      <c r="AP36" s="1768"/>
      <c r="AQ36" s="1768"/>
      <c r="AR36" s="1768"/>
      <c r="AS36" s="1768"/>
      <c r="AT36" s="1768"/>
      <c r="AU36" s="1768"/>
      <c r="AV36" s="1768"/>
      <c r="AW36" s="1768"/>
      <c r="AX36" s="1768"/>
      <c r="AY36" s="1768"/>
      <c r="AZ36" s="1768"/>
      <c r="BA36" s="1768"/>
      <c r="BB36" s="1768"/>
      <c r="BC36" s="1747"/>
      <c r="BD36" s="1768"/>
      <c r="BE36" s="1768"/>
      <c r="BF36" s="1768"/>
      <c r="BG36" s="1768"/>
      <c r="BH36" s="1768"/>
      <c r="BI36" s="1768"/>
      <c r="BJ36" s="1768"/>
      <c r="BK36" s="1768"/>
      <c r="BL36" s="1768"/>
      <c r="BM36" s="1768"/>
      <c r="BN36" s="1768"/>
      <c r="BO36" s="1768"/>
      <c r="BP36" s="1768"/>
      <c r="BQ36" s="1768"/>
      <c r="BR36" s="1768"/>
      <c r="BS36" s="1768"/>
      <c r="BT36" s="1768"/>
      <c r="BU36" s="1747"/>
      <c r="BV36" s="1768"/>
      <c r="BW36" s="1768"/>
      <c r="BX36" s="1768"/>
      <c r="BY36" s="1768"/>
      <c r="BZ36" s="1748" t="str">
        <f t="shared" si="0"/>
        <v/>
      </c>
      <c r="CA36" s="1748" t="str">
        <f t="shared" si="1"/>
        <v/>
      </c>
      <c r="CB36" s="1748" t="str">
        <f t="shared" si="2"/>
        <v/>
      </c>
      <c r="CC36" s="1749" t="str">
        <f t="shared" si="3"/>
        <v/>
      </c>
      <c r="CD36" s="1683" t="str">
        <f t="shared" si="4"/>
        <v/>
      </c>
      <c r="CE36" s="1684" t="str">
        <f t="shared" si="45"/>
        <v/>
      </c>
      <c r="CF36" s="1685" t="str">
        <f t="shared" si="45"/>
        <v/>
      </c>
      <c r="CG36" s="1685" t="str">
        <f t="shared" si="45"/>
        <v/>
      </c>
      <c r="CH36" s="1685" t="str">
        <f t="shared" si="45"/>
        <v/>
      </c>
      <c r="CI36" s="1685" t="str">
        <f t="shared" si="45"/>
        <v/>
      </c>
      <c r="CJ36" s="1685" t="str">
        <f t="shared" si="45"/>
        <v/>
      </c>
      <c r="CK36" s="1686" t="str">
        <f t="shared" si="45"/>
        <v/>
      </c>
      <c r="CL36" s="1686" t="str">
        <f t="shared" si="45"/>
        <v/>
      </c>
      <c r="CM36" s="1686" t="str">
        <f t="shared" si="45"/>
        <v/>
      </c>
      <c r="CN36" s="1685" t="str">
        <f t="shared" si="45"/>
        <v/>
      </c>
      <c r="CO36" s="1685" t="str">
        <f t="shared" si="45"/>
        <v/>
      </c>
      <c r="CP36" s="1685" t="str">
        <f t="shared" si="45"/>
        <v/>
      </c>
      <c r="CQ36" s="1685" t="str">
        <f t="shared" si="45"/>
        <v/>
      </c>
      <c r="CR36" s="1685" t="str">
        <f t="shared" si="45"/>
        <v/>
      </c>
      <c r="CS36" s="1684" t="str">
        <f t="shared" si="45"/>
        <v/>
      </c>
      <c r="CT36" s="1687" t="str">
        <f t="shared" si="45"/>
        <v/>
      </c>
      <c r="CU36" s="1696" t="str">
        <f t="shared" si="6"/>
        <v/>
      </c>
      <c r="CV36" s="1697" t="str">
        <f t="shared" si="7"/>
        <v/>
      </c>
      <c r="CW36" s="1698" t="str">
        <f t="shared" si="8"/>
        <v/>
      </c>
      <c r="CX36" s="1698" t="str">
        <f t="shared" si="9"/>
        <v/>
      </c>
      <c r="CY36" s="1698" t="str">
        <f t="shared" si="10"/>
        <v/>
      </c>
      <c r="CZ36" s="1698" t="str">
        <f t="shared" si="11"/>
        <v/>
      </c>
      <c r="DA36" s="1698" t="str">
        <f t="shared" si="12"/>
        <v/>
      </c>
      <c r="DB36" s="1699" t="str">
        <f t="shared" si="13"/>
        <v/>
      </c>
      <c r="DC36" s="1699" t="str">
        <f t="shared" si="14"/>
        <v/>
      </c>
      <c r="DD36" s="1699" t="str">
        <f t="shared" si="15"/>
        <v/>
      </c>
      <c r="DE36" s="1698" t="str">
        <f t="shared" si="16"/>
        <v/>
      </c>
      <c r="DF36" s="1698" t="str">
        <f t="shared" si="17"/>
        <v/>
      </c>
      <c r="DG36" s="1698" t="str">
        <f t="shared" si="18"/>
        <v/>
      </c>
      <c r="DH36" s="1698" t="str">
        <f t="shared" si="19"/>
        <v/>
      </c>
      <c r="DI36" s="1698" t="str">
        <f t="shared" si="20"/>
        <v/>
      </c>
      <c r="DJ36" s="1697" t="str">
        <f t="shared" si="21"/>
        <v/>
      </c>
      <c r="DK36" s="1696" t="str">
        <f t="shared" si="22"/>
        <v/>
      </c>
      <c r="DL36" s="1750">
        <f t="shared" si="23"/>
        <v>0</v>
      </c>
      <c r="DM36" s="1386">
        <f t="shared" si="24"/>
        <v>0</v>
      </c>
      <c r="DN36" s="1386">
        <f t="shared" si="25"/>
        <v>0</v>
      </c>
      <c r="DO36" s="1386">
        <f t="shared" si="26"/>
        <v>0</v>
      </c>
      <c r="DP36" s="1769"/>
      <c r="DQ36" s="1492"/>
      <c r="DR36" s="1492"/>
      <c r="DS36" s="1770"/>
      <c r="DT36" s="1758"/>
      <c r="DU36" s="1707"/>
    </row>
    <row r="37" spans="1:125" ht="12.75" customHeight="1">
      <c r="A37" s="1771" t="s">
        <v>227</v>
      </c>
      <c r="B37" s="1354" t="str">
        <f t="shared" ref="B37:R37" si="58">IF(B31="","",(B31-B33-B36)*B32/B$7/365/$G$1)</f>
        <v/>
      </c>
      <c r="C37" s="1354" t="str">
        <f t="shared" si="58"/>
        <v/>
      </c>
      <c r="D37" s="1354" t="str">
        <f t="shared" si="58"/>
        <v/>
      </c>
      <c r="E37" s="1354" t="str">
        <f t="shared" si="58"/>
        <v/>
      </c>
      <c r="F37" s="1354" t="str">
        <f t="shared" si="58"/>
        <v/>
      </c>
      <c r="G37" s="1354" t="str">
        <f t="shared" si="58"/>
        <v/>
      </c>
      <c r="H37" s="1354" t="str">
        <f t="shared" si="58"/>
        <v/>
      </c>
      <c r="I37" s="1354" t="str">
        <f t="shared" si="58"/>
        <v/>
      </c>
      <c r="J37" s="1354" t="str">
        <f t="shared" si="58"/>
        <v/>
      </c>
      <c r="K37" s="1354" t="str">
        <f t="shared" si="58"/>
        <v/>
      </c>
      <c r="L37" s="1354" t="str">
        <f t="shared" si="58"/>
        <v/>
      </c>
      <c r="M37" s="1354" t="str">
        <f t="shared" si="58"/>
        <v/>
      </c>
      <c r="N37" s="1354" t="str">
        <f t="shared" si="58"/>
        <v/>
      </c>
      <c r="O37" s="1354" t="str">
        <f t="shared" si="58"/>
        <v/>
      </c>
      <c r="P37" s="1354" t="str">
        <f t="shared" si="58"/>
        <v/>
      </c>
      <c r="Q37" s="1354" t="str">
        <f t="shared" si="58"/>
        <v/>
      </c>
      <c r="R37" s="1354" t="str">
        <f t="shared" si="58"/>
        <v/>
      </c>
      <c r="S37" s="1772"/>
      <c r="T37" s="1354" t="str">
        <f t="shared" ref="T37:AJ37" si="59">IF(T31="","",(T31-T33-T36)*T32/T$7/365/$G$1)</f>
        <v/>
      </c>
      <c r="U37" s="1354" t="str">
        <f t="shared" si="59"/>
        <v/>
      </c>
      <c r="V37" s="1354" t="str">
        <f t="shared" si="59"/>
        <v/>
      </c>
      <c r="W37" s="1354" t="str">
        <f t="shared" si="59"/>
        <v/>
      </c>
      <c r="X37" s="1354" t="str">
        <f t="shared" si="59"/>
        <v/>
      </c>
      <c r="Y37" s="1354" t="str">
        <f t="shared" si="59"/>
        <v/>
      </c>
      <c r="Z37" s="1354" t="str">
        <f t="shared" si="59"/>
        <v/>
      </c>
      <c r="AA37" s="1354" t="str">
        <f t="shared" si="59"/>
        <v/>
      </c>
      <c r="AB37" s="1354" t="str">
        <f t="shared" si="59"/>
        <v/>
      </c>
      <c r="AC37" s="1354" t="str">
        <f t="shared" si="59"/>
        <v/>
      </c>
      <c r="AD37" s="1354" t="str">
        <f t="shared" si="59"/>
        <v/>
      </c>
      <c r="AE37" s="1354" t="str">
        <f t="shared" si="59"/>
        <v/>
      </c>
      <c r="AF37" s="1354" t="str">
        <f t="shared" si="59"/>
        <v/>
      </c>
      <c r="AG37" s="1354" t="str">
        <f t="shared" si="59"/>
        <v/>
      </c>
      <c r="AH37" s="1354" t="str">
        <f t="shared" si="59"/>
        <v/>
      </c>
      <c r="AI37" s="1354" t="str">
        <f t="shared" si="59"/>
        <v/>
      </c>
      <c r="AJ37" s="1354" t="str">
        <f t="shared" si="59"/>
        <v/>
      </c>
      <c r="AK37" s="1772"/>
      <c r="AL37" s="1354" t="str">
        <f t="shared" ref="AL37:BB37" si="60">IF(AL31="","",(AL31-AL33-AL36)*AL32/AL$7/365/$G$1)</f>
        <v/>
      </c>
      <c r="AM37" s="1354" t="str">
        <f t="shared" si="60"/>
        <v/>
      </c>
      <c r="AN37" s="1354" t="str">
        <f t="shared" si="60"/>
        <v/>
      </c>
      <c r="AO37" s="1354" t="str">
        <f t="shared" si="60"/>
        <v/>
      </c>
      <c r="AP37" s="1354" t="str">
        <f t="shared" si="60"/>
        <v/>
      </c>
      <c r="AQ37" s="1354" t="str">
        <f t="shared" si="60"/>
        <v/>
      </c>
      <c r="AR37" s="1354" t="str">
        <f t="shared" si="60"/>
        <v/>
      </c>
      <c r="AS37" s="1354" t="str">
        <f t="shared" si="60"/>
        <v/>
      </c>
      <c r="AT37" s="1354" t="str">
        <f t="shared" si="60"/>
        <v/>
      </c>
      <c r="AU37" s="1354" t="str">
        <f t="shared" si="60"/>
        <v/>
      </c>
      <c r="AV37" s="1354" t="str">
        <f t="shared" si="60"/>
        <v/>
      </c>
      <c r="AW37" s="1354" t="str">
        <f t="shared" si="60"/>
        <v/>
      </c>
      <c r="AX37" s="1354" t="str">
        <f t="shared" si="60"/>
        <v/>
      </c>
      <c r="AY37" s="1354" t="str">
        <f t="shared" si="60"/>
        <v/>
      </c>
      <c r="AZ37" s="1354" t="str">
        <f t="shared" si="60"/>
        <v/>
      </c>
      <c r="BA37" s="1354" t="str">
        <f t="shared" si="60"/>
        <v/>
      </c>
      <c r="BB37" s="1354" t="str">
        <f t="shared" si="60"/>
        <v/>
      </c>
      <c r="BC37" s="1772"/>
      <c r="BD37" s="1354" t="str">
        <f t="shared" ref="BD37:BT37" si="61">IF(BD31="","",(BD31-BD33-BD36)*BD32/BD$7/365/$G$1)</f>
        <v/>
      </c>
      <c r="BE37" s="1354" t="str">
        <f t="shared" si="61"/>
        <v/>
      </c>
      <c r="BF37" s="1354" t="str">
        <f t="shared" si="61"/>
        <v/>
      </c>
      <c r="BG37" s="1354" t="str">
        <f t="shared" si="61"/>
        <v/>
      </c>
      <c r="BH37" s="1354" t="str">
        <f t="shared" si="61"/>
        <v/>
      </c>
      <c r="BI37" s="1354" t="str">
        <f t="shared" si="61"/>
        <v/>
      </c>
      <c r="BJ37" s="1354" t="str">
        <f t="shared" si="61"/>
        <v/>
      </c>
      <c r="BK37" s="1354" t="str">
        <f t="shared" si="61"/>
        <v/>
      </c>
      <c r="BL37" s="1354" t="str">
        <f t="shared" si="61"/>
        <v/>
      </c>
      <c r="BM37" s="1354" t="str">
        <f t="shared" si="61"/>
        <v/>
      </c>
      <c r="BN37" s="1354" t="str">
        <f t="shared" si="61"/>
        <v/>
      </c>
      <c r="BO37" s="1354" t="str">
        <f t="shared" si="61"/>
        <v/>
      </c>
      <c r="BP37" s="1354" t="str">
        <f t="shared" si="61"/>
        <v/>
      </c>
      <c r="BQ37" s="1354" t="str">
        <f t="shared" si="61"/>
        <v/>
      </c>
      <c r="BR37" s="1354" t="str">
        <f t="shared" si="61"/>
        <v/>
      </c>
      <c r="BS37" s="1354" t="str">
        <f t="shared" si="61"/>
        <v/>
      </c>
      <c r="BT37" s="1354" t="str">
        <f t="shared" si="61"/>
        <v/>
      </c>
      <c r="BU37" s="1772"/>
      <c r="BV37" s="1354" t="str">
        <f>IF(BV31="","",(BV31-BV33-BV36)*BV32/BV$7/365/$G$1)</f>
        <v/>
      </c>
      <c r="BW37" s="1354" t="str">
        <f>IF(BW31="","",(BW31-BW33-BW36)*BW32/BW$7/365/$G$1)</f>
        <v/>
      </c>
      <c r="BX37" s="1354" t="str">
        <f>IF(BX31="","",(BX31-BX33-BX36)*BX32/BX$7/365/$G$1)</f>
        <v/>
      </c>
      <c r="BY37" s="1354" t="str">
        <f>IF(BY31="","",(BY31-BY33-BY36)*BY32/BY$7/365/$G$1)</f>
        <v/>
      </c>
      <c r="BZ37" s="1773" t="str">
        <f t="shared" si="0"/>
        <v/>
      </c>
      <c r="CA37" s="1773" t="str">
        <f t="shared" si="1"/>
        <v/>
      </c>
      <c r="CB37" s="1773" t="str">
        <f t="shared" si="2"/>
        <v/>
      </c>
      <c r="CC37" s="1774" t="str">
        <f t="shared" si="3"/>
        <v/>
      </c>
      <c r="CD37" s="1700" t="str">
        <f t="shared" si="4"/>
        <v/>
      </c>
      <c r="CE37" s="1701" t="str">
        <f t="shared" si="45"/>
        <v/>
      </c>
      <c r="CF37" s="1702" t="str">
        <f t="shared" si="45"/>
        <v/>
      </c>
      <c r="CG37" s="1702" t="str">
        <f t="shared" si="45"/>
        <v/>
      </c>
      <c r="CH37" s="1702" t="str">
        <f t="shared" si="45"/>
        <v/>
      </c>
      <c r="CI37" s="1702" t="str">
        <f t="shared" si="45"/>
        <v/>
      </c>
      <c r="CJ37" s="1702" t="str">
        <f t="shared" si="45"/>
        <v/>
      </c>
      <c r="CK37" s="1703" t="str">
        <f t="shared" si="45"/>
        <v/>
      </c>
      <c r="CL37" s="1703" t="str">
        <f t="shared" si="45"/>
        <v/>
      </c>
      <c r="CM37" s="1703" t="str">
        <f t="shared" si="45"/>
        <v/>
      </c>
      <c r="CN37" s="1702" t="str">
        <f t="shared" si="45"/>
        <v/>
      </c>
      <c r="CO37" s="1702" t="str">
        <f t="shared" si="45"/>
        <v/>
      </c>
      <c r="CP37" s="1702" t="str">
        <f t="shared" si="45"/>
        <v/>
      </c>
      <c r="CQ37" s="1702" t="str">
        <f t="shared" si="45"/>
        <v/>
      </c>
      <c r="CR37" s="1702" t="str">
        <f t="shared" si="45"/>
        <v/>
      </c>
      <c r="CS37" s="1701" t="str">
        <f t="shared" si="45"/>
        <v/>
      </c>
      <c r="CT37" s="1704" t="str">
        <f t="shared" si="45"/>
        <v/>
      </c>
      <c r="CU37" s="1705" t="str">
        <f t="shared" si="6"/>
        <v/>
      </c>
      <c r="CV37" s="1701" t="str">
        <f t="shared" si="7"/>
        <v/>
      </c>
      <c r="CW37" s="1702" t="str">
        <f t="shared" si="8"/>
        <v/>
      </c>
      <c r="CX37" s="1702" t="str">
        <f t="shared" si="9"/>
        <v/>
      </c>
      <c r="CY37" s="1702" t="str">
        <f t="shared" si="10"/>
        <v/>
      </c>
      <c r="CZ37" s="1702" t="str">
        <f t="shared" si="11"/>
        <v/>
      </c>
      <c r="DA37" s="1702" t="str">
        <f t="shared" si="12"/>
        <v/>
      </c>
      <c r="DB37" s="1703" t="str">
        <f t="shared" si="13"/>
        <v/>
      </c>
      <c r="DC37" s="1703" t="str">
        <f t="shared" si="14"/>
        <v/>
      </c>
      <c r="DD37" s="1703" t="str">
        <f t="shared" si="15"/>
        <v/>
      </c>
      <c r="DE37" s="1702" t="str">
        <f t="shared" si="16"/>
        <v/>
      </c>
      <c r="DF37" s="1702" t="str">
        <f t="shared" si="17"/>
        <v/>
      </c>
      <c r="DG37" s="1702" t="str">
        <f t="shared" si="18"/>
        <v/>
      </c>
      <c r="DH37" s="1702" t="str">
        <f t="shared" si="19"/>
        <v/>
      </c>
      <c r="DI37" s="1702" t="str">
        <f t="shared" si="20"/>
        <v/>
      </c>
      <c r="DJ37" s="1701" t="str">
        <f t="shared" si="21"/>
        <v/>
      </c>
      <c r="DK37" s="1705" t="str">
        <f t="shared" si="22"/>
        <v/>
      </c>
      <c r="DL37" s="1750">
        <f t="shared" si="23"/>
        <v>0</v>
      </c>
      <c r="DM37" s="1386">
        <f t="shared" si="24"/>
        <v>0</v>
      </c>
      <c r="DN37" s="1386">
        <f t="shared" si="25"/>
        <v>0</v>
      </c>
      <c r="DO37" s="1386">
        <f t="shared" si="26"/>
        <v>0</v>
      </c>
      <c r="DP37" s="1775" t="str">
        <f>IF(DP31="","",(DP31+SUM(BV31)*(DP31="")-SUM(DP33)-DP36-SUM(BV36)*(DP36=""))*BV32/DP$7/365/$G$1)</f>
        <v/>
      </c>
      <c r="DQ37" s="1354" t="str">
        <f>IF(DQ31="","",(DQ31+SUM(BW31)*(DQ31="")-SUM(DQ33)-DQ36-SUM(BW36)*(DQ36=""))*BW32/DQ$7/365/$G$1)</f>
        <v/>
      </c>
      <c r="DR37" s="1354" t="str">
        <f>IF(DR31="","",(DR31+SUM(BX31)*(DR31="")-SUM(DR33)-DR36-SUM(BX36)*(DR36=""))*BX32/DR$7/365/$G$1)</f>
        <v/>
      </c>
      <c r="DS37" s="1776" t="str">
        <f>IF(DS31="","",(DS31+SUM(BY31)*(DS31="")-SUM(DS33)-DS36-SUM(BY36)*(DS36=""))*BY32/DS$7/365/$G$1)</f>
        <v/>
      </c>
      <c r="DT37" s="1758"/>
      <c r="DU37" s="1707"/>
    </row>
    <row r="38" spans="1:125" ht="12.75" customHeight="1">
      <c r="A38" s="1745" t="s">
        <v>491</v>
      </c>
      <c r="B38" s="1746"/>
      <c r="C38" s="1746"/>
      <c r="D38" s="1746"/>
      <c r="E38" s="1746"/>
      <c r="F38" s="1746"/>
      <c r="G38" s="1746"/>
      <c r="H38" s="1746"/>
      <c r="I38" s="1746"/>
      <c r="J38" s="1746"/>
      <c r="K38" s="1746"/>
      <c r="L38" s="1746"/>
      <c r="M38" s="1746"/>
      <c r="N38" s="1746"/>
      <c r="O38" s="1746"/>
      <c r="P38" s="1746"/>
      <c r="Q38" s="1746"/>
      <c r="R38" s="1746"/>
      <c r="S38" s="1747"/>
      <c r="T38" s="1746"/>
      <c r="U38" s="1746"/>
      <c r="V38" s="1746"/>
      <c r="W38" s="1746"/>
      <c r="X38" s="1746"/>
      <c r="Y38" s="1746"/>
      <c r="Z38" s="1746"/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7"/>
      <c r="AL38" s="1746"/>
      <c r="AM38" s="1746"/>
      <c r="AN38" s="1746"/>
      <c r="AO38" s="1746"/>
      <c r="AP38" s="1746"/>
      <c r="AQ38" s="1746"/>
      <c r="AR38" s="1746"/>
      <c r="AS38" s="1746"/>
      <c r="AT38" s="1746"/>
      <c r="AU38" s="1746"/>
      <c r="AV38" s="1746"/>
      <c r="AW38" s="1746"/>
      <c r="AX38" s="1746"/>
      <c r="AY38" s="1746"/>
      <c r="AZ38" s="1746"/>
      <c r="BA38" s="1746"/>
      <c r="BB38" s="1746"/>
      <c r="BC38" s="1747"/>
      <c r="BD38" s="1746"/>
      <c r="BE38" s="1746"/>
      <c r="BF38" s="1746"/>
      <c r="BG38" s="1746"/>
      <c r="BH38" s="1746"/>
      <c r="BI38" s="1746"/>
      <c r="BJ38" s="1746"/>
      <c r="BK38" s="1746"/>
      <c r="BL38" s="1746"/>
      <c r="BM38" s="1746"/>
      <c r="BN38" s="1746"/>
      <c r="BO38" s="1746"/>
      <c r="BP38" s="1746"/>
      <c r="BQ38" s="1746"/>
      <c r="BR38" s="1746"/>
      <c r="BS38" s="1746"/>
      <c r="BT38" s="1746"/>
      <c r="BU38" s="1747"/>
      <c r="BV38" s="1746"/>
      <c r="BW38" s="1746"/>
      <c r="BX38" s="1746"/>
      <c r="BY38" s="1746"/>
      <c r="BZ38" s="1748" t="str">
        <f t="shared" si="0"/>
        <v/>
      </c>
      <c r="CA38" s="1748" t="str">
        <f t="shared" si="1"/>
        <v/>
      </c>
      <c r="CB38" s="1748" t="str">
        <f t="shared" si="2"/>
        <v/>
      </c>
      <c r="CC38" s="1749" t="str">
        <f t="shared" si="3"/>
        <v/>
      </c>
      <c r="CD38" s="1683" t="str">
        <f t="shared" si="4"/>
        <v/>
      </c>
      <c r="CE38" s="1684" t="str">
        <f t="shared" si="45"/>
        <v/>
      </c>
      <c r="CF38" s="1685" t="str">
        <f t="shared" si="45"/>
        <v/>
      </c>
      <c r="CG38" s="1685" t="str">
        <f t="shared" si="45"/>
        <v/>
      </c>
      <c r="CH38" s="1685" t="str">
        <f t="shared" si="45"/>
        <v/>
      </c>
      <c r="CI38" s="1685" t="str">
        <f t="shared" si="45"/>
        <v/>
      </c>
      <c r="CJ38" s="1685" t="str">
        <f t="shared" si="45"/>
        <v/>
      </c>
      <c r="CK38" s="1686" t="str">
        <f t="shared" si="45"/>
        <v/>
      </c>
      <c r="CL38" s="1686" t="str">
        <f t="shared" si="45"/>
        <v/>
      </c>
      <c r="CM38" s="1686" t="str">
        <f t="shared" si="45"/>
        <v/>
      </c>
      <c r="CN38" s="1685" t="str">
        <f t="shared" si="45"/>
        <v/>
      </c>
      <c r="CO38" s="1685" t="str">
        <f t="shared" si="45"/>
        <v/>
      </c>
      <c r="CP38" s="1685" t="str">
        <f t="shared" si="45"/>
        <v/>
      </c>
      <c r="CQ38" s="1685" t="str">
        <f t="shared" si="45"/>
        <v/>
      </c>
      <c r="CR38" s="1685" t="str">
        <f t="shared" si="45"/>
        <v/>
      </c>
      <c r="CS38" s="1684" t="str">
        <f t="shared" si="45"/>
        <v/>
      </c>
      <c r="CT38" s="1687" t="str">
        <f t="shared" si="45"/>
        <v/>
      </c>
      <c r="CU38" s="1696" t="str">
        <f t="shared" si="6"/>
        <v/>
      </c>
      <c r="CV38" s="1697" t="str">
        <f t="shared" si="7"/>
        <v/>
      </c>
      <c r="CW38" s="1698" t="str">
        <f t="shared" si="8"/>
        <v/>
      </c>
      <c r="CX38" s="1698" t="str">
        <f t="shared" si="9"/>
        <v/>
      </c>
      <c r="CY38" s="1698" t="str">
        <f t="shared" si="10"/>
        <v/>
      </c>
      <c r="CZ38" s="1698" t="str">
        <f t="shared" si="11"/>
        <v/>
      </c>
      <c r="DA38" s="1698" t="str">
        <f t="shared" si="12"/>
        <v/>
      </c>
      <c r="DB38" s="1699" t="str">
        <f t="shared" si="13"/>
        <v/>
      </c>
      <c r="DC38" s="1699" t="str">
        <f t="shared" si="14"/>
        <v/>
      </c>
      <c r="DD38" s="1699" t="str">
        <f t="shared" si="15"/>
        <v/>
      </c>
      <c r="DE38" s="1698" t="str">
        <f t="shared" si="16"/>
        <v/>
      </c>
      <c r="DF38" s="1698" t="str">
        <f t="shared" si="17"/>
        <v/>
      </c>
      <c r="DG38" s="1698" t="str">
        <f t="shared" si="18"/>
        <v/>
      </c>
      <c r="DH38" s="1698" t="str">
        <f t="shared" si="19"/>
        <v/>
      </c>
      <c r="DI38" s="1698" t="str">
        <f t="shared" si="20"/>
        <v/>
      </c>
      <c r="DJ38" s="1697" t="str">
        <f t="shared" si="21"/>
        <v/>
      </c>
      <c r="DK38" s="1696" t="str">
        <f t="shared" si="22"/>
        <v/>
      </c>
      <c r="DL38" s="1750">
        <f t="shared" si="23"/>
        <v>0</v>
      </c>
      <c r="DM38" s="1386">
        <f t="shared" si="24"/>
        <v>0</v>
      </c>
      <c r="DN38" s="1386">
        <f t="shared" si="25"/>
        <v>0</v>
      </c>
      <c r="DO38" s="1386">
        <f t="shared" si="26"/>
        <v>0</v>
      </c>
      <c r="DP38" s="1777" t="str">
        <f>IF(SUM(BV38)&gt;0,BV38*'Exp factors'!C$21,"")</f>
        <v/>
      </c>
      <c r="DQ38" s="1452" t="str">
        <f>IF(SUM(BW38)&gt;0,BW38*'Exp factors'!D$21,"")</f>
        <v/>
      </c>
      <c r="DR38" s="1452" t="str">
        <f>IF(SUM(BX38)&gt;0,BX38*'Exp factors'!E$21,"")</f>
        <v/>
      </c>
      <c r="DS38" s="1778" t="str">
        <f>IF(SUM(BY38)&gt;0,BY38*'Exp factors'!F$21,"")</f>
        <v/>
      </c>
      <c r="DT38" s="1758"/>
      <c r="DU38" s="1707"/>
    </row>
    <row r="39" spans="1:125" ht="12.75" customHeight="1">
      <c r="A39" s="1344" t="s">
        <v>260</v>
      </c>
      <c r="B39" s="1754"/>
      <c r="C39" s="1754"/>
      <c r="D39" s="1754"/>
      <c r="E39" s="1754"/>
      <c r="F39" s="1754"/>
      <c r="G39" s="1759"/>
      <c r="H39" s="1754"/>
      <c r="I39" s="1754"/>
      <c r="J39" s="1754"/>
      <c r="K39" s="1754"/>
      <c r="L39" s="1754"/>
      <c r="M39" s="1754"/>
      <c r="N39" s="1754"/>
      <c r="O39" s="1754"/>
      <c r="P39" s="1754"/>
      <c r="Q39" s="1754"/>
      <c r="R39" s="1754"/>
      <c r="S39" s="1755"/>
      <c r="T39" s="1754"/>
      <c r="U39" s="1754"/>
      <c r="V39" s="1754"/>
      <c r="W39" s="1754"/>
      <c r="X39" s="1754"/>
      <c r="Y39" s="1754"/>
      <c r="Z39" s="1754"/>
      <c r="AA39" s="1754"/>
      <c r="AB39" s="1754"/>
      <c r="AC39" s="1754"/>
      <c r="AD39" s="1754"/>
      <c r="AE39" s="1754"/>
      <c r="AF39" s="1754"/>
      <c r="AG39" s="1754"/>
      <c r="AH39" s="1754"/>
      <c r="AI39" s="1754"/>
      <c r="AJ39" s="1754"/>
      <c r="AK39" s="1755"/>
      <c r="AL39" s="1754"/>
      <c r="AM39" s="1754"/>
      <c r="AN39" s="1754"/>
      <c r="AO39" s="1754"/>
      <c r="AP39" s="1754"/>
      <c r="AQ39" s="1754"/>
      <c r="AR39" s="1754"/>
      <c r="AS39" s="1754"/>
      <c r="AT39" s="1754"/>
      <c r="AU39" s="1754"/>
      <c r="AV39" s="1754"/>
      <c r="AW39" s="1754"/>
      <c r="AX39" s="1754"/>
      <c r="AY39" s="1754"/>
      <c r="AZ39" s="1754"/>
      <c r="BA39" s="1754"/>
      <c r="BB39" s="1754"/>
      <c r="BC39" s="1755"/>
      <c r="BD39" s="1754"/>
      <c r="BE39" s="1754"/>
      <c r="BF39" s="1754"/>
      <c r="BG39" s="1754"/>
      <c r="BH39" s="1754"/>
      <c r="BI39" s="1754"/>
      <c r="BJ39" s="1754"/>
      <c r="BK39" s="1754"/>
      <c r="BL39" s="1754"/>
      <c r="BM39" s="1754"/>
      <c r="BN39" s="1754"/>
      <c r="BO39" s="1754"/>
      <c r="BP39" s="1754"/>
      <c r="BQ39" s="1754"/>
      <c r="BR39" s="1754"/>
      <c r="BS39" s="1754"/>
      <c r="BT39" s="1754"/>
      <c r="BU39" s="1755"/>
      <c r="BV39" s="1754"/>
      <c r="BW39" s="1754"/>
      <c r="BX39" s="1754"/>
      <c r="BY39" s="1754"/>
      <c r="BZ39" s="1748" t="str">
        <f t="shared" si="0"/>
        <v/>
      </c>
      <c r="CA39" s="1748" t="str">
        <f t="shared" si="1"/>
        <v/>
      </c>
      <c r="CB39" s="1748" t="str">
        <f t="shared" si="2"/>
        <v/>
      </c>
      <c r="CC39" s="1749" t="str">
        <f t="shared" si="3"/>
        <v/>
      </c>
      <c r="CD39" s="1683" t="str">
        <f t="shared" si="4"/>
        <v/>
      </c>
      <c r="CE39" s="1684" t="str">
        <f t="shared" si="45"/>
        <v/>
      </c>
      <c r="CF39" s="1685" t="str">
        <f t="shared" si="45"/>
        <v/>
      </c>
      <c r="CG39" s="1685" t="str">
        <f t="shared" si="45"/>
        <v/>
      </c>
      <c r="CH39" s="1685" t="str">
        <f t="shared" si="45"/>
        <v/>
      </c>
      <c r="CI39" s="1685" t="str">
        <f t="shared" si="45"/>
        <v/>
      </c>
      <c r="CJ39" s="1685" t="str">
        <f t="shared" si="45"/>
        <v/>
      </c>
      <c r="CK39" s="1686" t="str">
        <f t="shared" si="45"/>
        <v/>
      </c>
      <c r="CL39" s="1686" t="str">
        <f t="shared" si="45"/>
        <v/>
      </c>
      <c r="CM39" s="1686" t="str">
        <f t="shared" si="45"/>
        <v/>
      </c>
      <c r="CN39" s="1685" t="str">
        <f t="shared" si="45"/>
        <v/>
      </c>
      <c r="CO39" s="1685" t="str">
        <f t="shared" si="45"/>
        <v/>
      </c>
      <c r="CP39" s="1685" t="str">
        <f t="shared" si="45"/>
        <v/>
      </c>
      <c r="CQ39" s="1685" t="str">
        <f t="shared" si="45"/>
        <v/>
      </c>
      <c r="CR39" s="1685" t="str">
        <f t="shared" si="45"/>
        <v/>
      </c>
      <c r="CS39" s="1684" t="str">
        <f t="shared" si="45"/>
        <v/>
      </c>
      <c r="CT39" s="1687" t="str">
        <f t="shared" si="45"/>
        <v/>
      </c>
      <c r="CU39" s="1696" t="str">
        <f t="shared" si="6"/>
        <v/>
      </c>
      <c r="CV39" s="1697" t="str">
        <f t="shared" si="7"/>
        <v/>
      </c>
      <c r="CW39" s="1698" t="str">
        <f t="shared" si="8"/>
        <v/>
      </c>
      <c r="CX39" s="1698" t="str">
        <f t="shared" si="9"/>
        <v/>
      </c>
      <c r="CY39" s="1698" t="str">
        <f t="shared" si="10"/>
        <v/>
      </c>
      <c r="CZ39" s="1698" t="str">
        <f t="shared" si="11"/>
        <v/>
      </c>
      <c r="DA39" s="1698" t="str">
        <f t="shared" si="12"/>
        <v/>
      </c>
      <c r="DB39" s="1699" t="str">
        <f t="shared" si="13"/>
        <v/>
      </c>
      <c r="DC39" s="1699" t="str">
        <f t="shared" si="14"/>
        <v/>
      </c>
      <c r="DD39" s="1699" t="str">
        <f t="shared" si="15"/>
        <v/>
      </c>
      <c r="DE39" s="1698" t="str">
        <f t="shared" si="16"/>
        <v/>
      </c>
      <c r="DF39" s="1698" t="str">
        <f t="shared" si="17"/>
        <v/>
      </c>
      <c r="DG39" s="1698" t="str">
        <f t="shared" si="18"/>
        <v/>
      </c>
      <c r="DH39" s="1698" t="str">
        <f t="shared" si="19"/>
        <v/>
      </c>
      <c r="DI39" s="1698" t="str">
        <f t="shared" si="20"/>
        <v/>
      </c>
      <c r="DJ39" s="1697" t="str">
        <f t="shared" si="21"/>
        <v/>
      </c>
      <c r="DK39" s="1696" t="str">
        <f t="shared" si="22"/>
        <v/>
      </c>
      <c r="DL39" s="1750">
        <f t="shared" si="23"/>
        <v>0</v>
      </c>
      <c r="DM39" s="1386">
        <f t="shared" si="24"/>
        <v>0</v>
      </c>
      <c r="DN39" s="1386">
        <f t="shared" si="25"/>
        <v>0</v>
      </c>
      <c r="DO39" s="1386">
        <f t="shared" si="26"/>
        <v>0</v>
      </c>
      <c r="DP39" s="1756"/>
      <c r="DQ39" s="1427"/>
      <c r="DR39" s="1427"/>
      <c r="DS39" s="1757"/>
      <c r="DT39" s="1758"/>
      <c r="DU39" s="1707"/>
    </row>
    <row r="40" spans="1:125" ht="12.75" customHeight="1">
      <c r="A40" s="1732" t="s">
        <v>257</v>
      </c>
      <c r="B40" s="1759"/>
      <c r="C40" s="1759"/>
      <c r="D40" s="1759"/>
      <c r="E40" s="1759"/>
      <c r="F40" s="1759"/>
      <c r="G40" s="1759"/>
      <c r="H40" s="1759"/>
      <c r="I40" s="1759"/>
      <c r="J40" s="1759"/>
      <c r="K40" s="1759"/>
      <c r="L40" s="1759"/>
      <c r="M40" s="1759"/>
      <c r="N40" s="1759"/>
      <c r="O40" s="1759"/>
      <c r="P40" s="1759"/>
      <c r="Q40" s="1759"/>
      <c r="R40" s="1759"/>
      <c r="S40" s="1755"/>
      <c r="T40" s="1759"/>
      <c r="U40" s="1759"/>
      <c r="V40" s="1759"/>
      <c r="W40" s="1759"/>
      <c r="X40" s="1759"/>
      <c r="Y40" s="1759"/>
      <c r="Z40" s="1759"/>
      <c r="AA40" s="1759"/>
      <c r="AB40" s="1759"/>
      <c r="AC40" s="1759"/>
      <c r="AD40" s="1759"/>
      <c r="AE40" s="1759"/>
      <c r="AF40" s="1759"/>
      <c r="AG40" s="1759"/>
      <c r="AH40" s="1759"/>
      <c r="AI40" s="1759"/>
      <c r="AJ40" s="1759"/>
      <c r="AK40" s="1755"/>
      <c r="AL40" s="1759"/>
      <c r="AM40" s="1759"/>
      <c r="AN40" s="1759"/>
      <c r="AO40" s="1759"/>
      <c r="AP40" s="1759"/>
      <c r="AQ40" s="1759"/>
      <c r="AR40" s="1759"/>
      <c r="AS40" s="1759"/>
      <c r="AT40" s="1759"/>
      <c r="AU40" s="1759"/>
      <c r="AV40" s="1759"/>
      <c r="AW40" s="1759"/>
      <c r="AX40" s="1759"/>
      <c r="AY40" s="1759"/>
      <c r="AZ40" s="1759"/>
      <c r="BA40" s="1759"/>
      <c r="BB40" s="1759"/>
      <c r="BC40" s="1755"/>
      <c r="BD40" s="1759"/>
      <c r="BE40" s="1759"/>
      <c r="BF40" s="1759"/>
      <c r="BG40" s="1759"/>
      <c r="BH40" s="1759"/>
      <c r="BI40" s="1759"/>
      <c r="BJ40" s="1759"/>
      <c r="BK40" s="1759"/>
      <c r="BL40" s="1759"/>
      <c r="BM40" s="1759"/>
      <c r="BN40" s="1759"/>
      <c r="BO40" s="1759"/>
      <c r="BP40" s="1759"/>
      <c r="BQ40" s="1759"/>
      <c r="BR40" s="1759"/>
      <c r="BS40" s="1759"/>
      <c r="BT40" s="1759"/>
      <c r="BU40" s="1755"/>
      <c r="BV40" s="1759"/>
      <c r="BW40" s="1759"/>
      <c r="BX40" s="1759"/>
      <c r="BY40" s="1759"/>
      <c r="BZ40" s="1748" t="str">
        <f t="shared" si="0"/>
        <v/>
      </c>
      <c r="CA40" s="1748" t="str">
        <f t="shared" si="1"/>
        <v/>
      </c>
      <c r="CB40" s="1748" t="str">
        <f t="shared" si="2"/>
        <v/>
      </c>
      <c r="CC40" s="1749" t="str">
        <f t="shared" si="3"/>
        <v/>
      </c>
      <c r="CD40" s="1683" t="str">
        <f t="shared" si="4"/>
        <v/>
      </c>
      <c r="CE40" s="1684" t="str">
        <f t="shared" si="45"/>
        <v/>
      </c>
      <c r="CF40" s="1685" t="str">
        <f t="shared" si="45"/>
        <v/>
      </c>
      <c r="CG40" s="1685" t="str">
        <f t="shared" si="45"/>
        <v/>
      </c>
      <c r="CH40" s="1685" t="str">
        <f t="shared" si="45"/>
        <v/>
      </c>
      <c r="CI40" s="1685" t="str">
        <f t="shared" si="45"/>
        <v/>
      </c>
      <c r="CJ40" s="1685" t="str">
        <f t="shared" si="45"/>
        <v/>
      </c>
      <c r="CK40" s="1686" t="str">
        <f t="shared" si="45"/>
        <v/>
      </c>
      <c r="CL40" s="1686" t="str">
        <f t="shared" si="45"/>
        <v/>
      </c>
      <c r="CM40" s="1686" t="str">
        <f t="shared" si="45"/>
        <v/>
      </c>
      <c r="CN40" s="1685" t="str">
        <f t="shared" si="45"/>
        <v/>
      </c>
      <c r="CO40" s="1685" t="str">
        <f t="shared" si="45"/>
        <v/>
      </c>
      <c r="CP40" s="1685" t="str">
        <f t="shared" si="45"/>
        <v/>
      </c>
      <c r="CQ40" s="1685" t="str">
        <f t="shared" si="45"/>
        <v/>
      </c>
      <c r="CR40" s="1685" t="str">
        <f t="shared" si="45"/>
        <v/>
      </c>
      <c r="CS40" s="1684" t="str">
        <f t="shared" si="45"/>
        <v/>
      </c>
      <c r="CT40" s="1687" t="str">
        <f t="shared" si="45"/>
        <v/>
      </c>
      <c r="CU40" s="1696" t="str">
        <f t="shared" si="6"/>
        <v/>
      </c>
      <c r="CV40" s="1697" t="str">
        <f t="shared" si="7"/>
        <v/>
      </c>
      <c r="CW40" s="1698" t="str">
        <f t="shared" si="8"/>
        <v/>
      </c>
      <c r="CX40" s="1698" t="str">
        <f t="shared" si="9"/>
        <v/>
      </c>
      <c r="CY40" s="1698" t="str">
        <f t="shared" si="10"/>
        <v/>
      </c>
      <c r="CZ40" s="1698" t="str">
        <f t="shared" si="11"/>
        <v/>
      </c>
      <c r="DA40" s="1698" t="str">
        <f t="shared" si="12"/>
        <v/>
      </c>
      <c r="DB40" s="1699" t="str">
        <f t="shared" si="13"/>
        <v/>
      </c>
      <c r="DC40" s="1699" t="str">
        <f t="shared" si="14"/>
        <v/>
      </c>
      <c r="DD40" s="1699" t="str">
        <f t="shared" si="15"/>
        <v/>
      </c>
      <c r="DE40" s="1698" t="str">
        <f t="shared" si="16"/>
        <v/>
      </c>
      <c r="DF40" s="1698" t="str">
        <f t="shared" si="17"/>
        <v/>
      </c>
      <c r="DG40" s="1698" t="str">
        <f t="shared" si="18"/>
        <v/>
      </c>
      <c r="DH40" s="1698" t="str">
        <f t="shared" si="19"/>
        <v/>
      </c>
      <c r="DI40" s="1698" t="str">
        <f t="shared" si="20"/>
        <v/>
      </c>
      <c r="DJ40" s="1697" t="str">
        <f t="shared" si="21"/>
        <v/>
      </c>
      <c r="DK40" s="1696" t="str">
        <f t="shared" si="22"/>
        <v/>
      </c>
      <c r="DL40" s="1750">
        <f t="shared" si="23"/>
        <v>0</v>
      </c>
      <c r="DM40" s="1386">
        <f t="shared" si="24"/>
        <v>0</v>
      </c>
      <c r="DN40" s="1386">
        <f t="shared" si="25"/>
        <v>0</v>
      </c>
      <c r="DO40" s="1386">
        <f t="shared" si="26"/>
        <v>0</v>
      </c>
      <c r="DP40" s="1760" t="str">
        <f>IF(SUM(BV40)&gt;0,(BV38-DP43-SUM(BV43)*(DP43=""))*'Exp factors'!C$21,"")</f>
        <v/>
      </c>
      <c r="DQ40" s="1497" t="str">
        <f>IF(SUM(BW40)&gt;0,(BW38-DQ43-SUM(BW43)*(DQ43=""))*'Exp factors'!D$21,"")</f>
        <v/>
      </c>
      <c r="DR40" s="1497" t="str">
        <f>IF(SUM(BX40)&gt;0,(BX38-DR43-SUM(BX43)*(DR43=""))*'Exp factors'!E$21,"")</f>
        <v/>
      </c>
      <c r="DS40" s="1761" t="str">
        <f>IF(SUM(BY40)&gt;0,(BY38-DS43-SUM(BY43)*(DS43=""))*'Exp factors'!F$21,"")</f>
        <v/>
      </c>
      <c r="DT40" s="1758"/>
      <c r="DU40" s="1707"/>
    </row>
    <row r="41" spans="1:125" ht="12.75" customHeight="1">
      <c r="A41" s="1762" t="s">
        <v>181</v>
      </c>
      <c r="B41" s="1763"/>
      <c r="C41" s="1763"/>
      <c r="D41" s="1763"/>
      <c r="E41" s="1763"/>
      <c r="F41" s="1763"/>
      <c r="G41" s="1763"/>
      <c r="H41" s="1763"/>
      <c r="I41" s="1763"/>
      <c r="J41" s="1763"/>
      <c r="K41" s="1763"/>
      <c r="L41" s="1763"/>
      <c r="M41" s="1763"/>
      <c r="N41" s="1763"/>
      <c r="O41" s="1763"/>
      <c r="P41" s="1763"/>
      <c r="Q41" s="1763"/>
      <c r="R41" s="1763"/>
      <c r="S41" s="1755"/>
      <c r="T41" s="1763"/>
      <c r="U41" s="1763"/>
      <c r="V41" s="1763"/>
      <c r="W41" s="1763"/>
      <c r="X41" s="1763"/>
      <c r="Y41" s="1763"/>
      <c r="Z41" s="1763"/>
      <c r="AA41" s="1763"/>
      <c r="AB41" s="1763"/>
      <c r="AC41" s="1763"/>
      <c r="AD41" s="1763"/>
      <c r="AE41" s="1763"/>
      <c r="AF41" s="1763"/>
      <c r="AG41" s="1763"/>
      <c r="AH41" s="1763"/>
      <c r="AI41" s="1763"/>
      <c r="AJ41" s="1763"/>
      <c r="AK41" s="1755"/>
      <c r="AL41" s="1763"/>
      <c r="AM41" s="1763"/>
      <c r="AN41" s="1763"/>
      <c r="AO41" s="1763"/>
      <c r="AP41" s="1763"/>
      <c r="AQ41" s="1763"/>
      <c r="AR41" s="1763"/>
      <c r="AS41" s="1763"/>
      <c r="AT41" s="1763"/>
      <c r="AU41" s="1763"/>
      <c r="AV41" s="1763"/>
      <c r="AW41" s="1763"/>
      <c r="AX41" s="1763"/>
      <c r="AY41" s="1763"/>
      <c r="AZ41" s="1763"/>
      <c r="BA41" s="1763"/>
      <c r="BB41" s="1763"/>
      <c r="BC41" s="1755"/>
      <c r="BD41" s="1763"/>
      <c r="BE41" s="1763"/>
      <c r="BF41" s="1763"/>
      <c r="BG41" s="1763"/>
      <c r="BH41" s="1763"/>
      <c r="BI41" s="1763"/>
      <c r="BJ41" s="1763"/>
      <c r="BK41" s="1763"/>
      <c r="BL41" s="1763"/>
      <c r="BM41" s="1763"/>
      <c r="BN41" s="1763"/>
      <c r="BO41" s="1763"/>
      <c r="BP41" s="1763"/>
      <c r="BQ41" s="1763"/>
      <c r="BR41" s="1763"/>
      <c r="BS41" s="1763"/>
      <c r="BT41" s="1763"/>
      <c r="BU41" s="1755"/>
      <c r="BV41" s="1763"/>
      <c r="BW41" s="1763"/>
      <c r="BX41" s="1763"/>
      <c r="BY41" s="1763"/>
      <c r="BZ41" s="1748" t="str">
        <f t="shared" si="0"/>
        <v/>
      </c>
      <c r="CA41" s="1748" t="str">
        <f t="shared" si="1"/>
        <v/>
      </c>
      <c r="CB41" s="1748" t="str">
        <f t="shared" si="2"/>
        <v/>
      </c>
      <c r="CC41" s="1749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 t="str">
        <f t="shared" si="62"/>
        <v/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96" t="str">
        <f t="shared" si="6"/>
        <v/>
      </c>
      <c r="CV41" s="1697" t="str">
        <f t="shared" si="7"/>
        <v/>
      </c>
      <c r="CW41" s="1698" t="str">
        <f t="shared" si="8"/>
        <v/>
      </c>
      <c r="CX41" s="1698" t="str">
        <f t="shared" si="9"/>
        <v/>
      </c>
      <c r="CY41" s="1698" t="str">
        <f t="shared" si="10"/>
        <v/>
      </c>
      <c r="CZ41" s="1698" t="str">
        <f t="shared" si="11"/>
        <v/>
      </c>
      <c r="DA41" s="1698" t="str">
        <f t="shared" si="12"/>
        <v/>
      </c>
      <c r="DB41" s="1699" t="str">
        <f t="shared" si="13"/>
        <v/>
      </c>
      <c r="DC41" s="1699" t="str">
        <f t="shared" si="14"/>
        <v/>
      </c>
      <c r="DD41" s="1699" t="str">
        <f t="shared" si="15"/>
        <v/>
      </c>
      <c r="DE41" s="1698" t="str">
        <f t="shared" si="16"/>
        <v/>
      </c>
      <c r="DF41" s="1698" t="str">
        <f t="shared" si="17"/>
        <v/>
      </c>
      <c r="DG41" s="1698" t="str">
        <f t="shared" si="18"/>
        <v/>
      </c>
      <c r="DH41" s="1698" t="str">
        <f t="shared" si="19"/>
        <v/>
      </c>
      <c r="DI41" s="1698" t="str">
        <f t="shared" si="20"/>
        <v/>
      </c>
      <c r="DJ41" s="1697" t="str">
        <f t="shared" si="21"/>
        <v/>
      </c>
      <c r="DK41" s="1696" t="str">
        <f t="shared" si="22"/>
        <v/>
      </c>
      <c r="DL41" s="1750">
        <f t="shared" si="23"/>
        <v>0</v>
      </c>
      <c r="DM41" s="1386">
        <f t="shared" si="24"/>
        <v>0</v>
      </c>
      <c r="DN41" s="1386">
        <f t="shared" si="25"/>
        <v>0</v>
      </c>
      <c r="DO41" s="1386">
        <f t="shared" si="26"/>
        <v>0</v>
      </c>
      <c r="DP41" s="1756"/>
      <c r="DQ41" s="1427"/>
      <c r="DR41" s="1427"/>
      <c r="DS41" s="1757"/>
      <c r="DT41" s="1758"/>
      <c r="DU41" s="1707"/>
    </row>
    <row r="42" spans="1:125" ht="12.75" customHeight="1">
      <c r="A42" s="1762" t="s">
        <v>183</v>
      </c>
      <c r="B42" s="1355" t="str">
        <f t="shared" ref="B42:R42" si="64">IF(B40="","",B40*B41)</f>
        <v/>
      </c>
      <c r="C42" s="1355" t="str">
        <f t="shared" si="64"/>
        <v/>
      </c>
      <c r="D42" s="1355" t="str">
        <f t="shared" si="64"/>
        <v/>
      </c>
      <c r="E42" s="1355" t="str">
        <f t="shared" si="64"/>
        <v/>
      </c>
      <c r="F42" s="1355" t="str">
        <f t="shared" si="64"/>
        <v/>
      </c>
      <c r="G42" s="1355" t="str">
        <f t="shared" si="64"/>
        <v/>
      </c>
      <c r="H42" s="1355" t="str">
        <f t="shared" si="64"/>
        <v/>
      </c>
      <c r="I42" s="1355" t="str">
        <f t="shared" si="64"/>
        <v/>
      </c>
      <c r="J42" s="1355" t="str">
        <f t="shared" si="64"/>
        <v/>
      </c>
      <c r="K42" s="1355" t="str">
        <f t="shared" si="64"/>
        <v/>
      </c>
      <c r="L42" s="1355" t="str">
        <f t="shared" si="64"/>
        <v/>
      </c>
      <c r="M42" s="1355" t="str">
        <f t="shared" si="64"/>
        <v/>
      </c>
      <c r="N42" s="1355" t="str">
        <f t="shared" si="64"/>
        <v/>
      </c>
      <c r="O42" s="1355" t="str">
        <f t="shared" si="64"/>
        <v/>
      </c>
      <c r="P42" s="1355" t="str">
        <f t="shared" si="64"/>
        <v/>
      </c>
      <c r="Q42" s="1355" t="str">
        <f t="shared" si="64"/>
        <v/>
      </c>
      <c r="R42" s="1355" t="str">
        <f t="shared" si="64"/>
        <v/>
      </c>
      <c r="S42" s="1765"/>
      <c r="T42" s="1355" t="str">
        <f t="shared" ref="T42:AJ42" si="65">IF(T40="","",T40*T41)</f>
        <v/>
      </c>
      <c r="U42" s="1355" t="str">
        <f t="shared" si="65"/>
        <v/>
      </c>
      <c r="V42" s="1355" t="str">
        <f t="shared" si="65"/>
        <v/>
      </c>
      <c r="W42" s="1355" t="str">
        <f t="shared" si="65"/>
        <v/>
      </c>
      <c r="X42" s="1355" t="str">
        <f t="shared" si="65"/>
        <v/>
      </c>
      <c r="Y42" s="1355" t="str">
        <f t="shared" si="65"/>
        <v/>
      </c>
      <c r="Z42" s="1355" t="str">
        <f t="shared" si="65"/>
        <v/>
      </c>
      <c r="AA42" s="1355" t="str">
        <f t="shared" si="65"/>
        <v/>
      </c>
      <c r="AB42" s="1355" t="str">
        <f t="shared" si="65"/>
        <v/>
      </c>
      <c r="AC42" s="1355" t="str">
        <f t="shared" si="65"/>
        <v/>
      </c>
      <c r="AD42" s="1355" t="str">
        <f t="shared" si="65"/>
        <v/>
      </c>
      <c r="AE42" s="1355" t="str">
        <f t="shared" si="65"/>
        <v/>
      </c>
      <c r="AF42" s="1355" t="str">
        <f t="shared" si="65"/>
        <v/>
      </c>
      <c r="AG42" s="1355" t="str">
        <f t="shared" si="65"/>
        <v/>
      </c>
      <c r="AH42" s="1355" t="str">
        <f t="shared" si="65"/>
        <v/>
      </c>
      <c r="AI42" s="1355" t="str">
        <f t="shared" si="65"/>
        <v/>
      </c>
      <c r="AJ42" s="1355" t="str">
        <f t="shared" si="65"/>
        <v/>
      </c>
      <c r="AK42" s="1765"/>
      <c r="AL42" s="1355" t="str">
        <f t="shared" ref="AL42:BB42" si="66">IF(AL40="","",AL40*AL41)</f>
        <v/>
      </c>
      <c r="AM42" s="1355" t="str">
        <f t="shared" si="66"/>
        <v/>
      </c>
      <c r="AN42" s="1355" t="str">
        <f t="shared" si="66"/>
        <v/>
      </c>
      <c r="AO42" s="1355" t="str">
        <f t="shared" si="66"/>
        <v/>
      </c>
      <c r="AP42" s="1355" t="str">
        <f t="shared" si="66"/>
        <v/>
      </c>
      <c r="AQ42" s="1355" t="str">
        <f t="shared" si="66"/>
        <v/>
      </c>
      <c r="AR42" s="1355" t="str">
        <f t="shared" si="66"/>
        <v/>
      </c>
      <c r="AS42" s="1355" t="str">
        <f t="shared" si="66"/>
        <v/>
      </c>
      <c r="AT42" s="1355" t="str">
        <f t="shared" si="66"/>
        <v/>
      </c>
      <c r="AU42" s="1355" t="str">
        <f t="shared" si="66"/>
        <v/>
      </c>
      <c r="AV42" s="1355" t="str">
        <f t="shared" si="66"/>
        <v/>
      </c>
      <c r="AW42" s="1355" t="str">
        <f t="shared" si="66"/>
        <v/>
      </c>
      <c r="AX42" s="1355" t="str">
        <f t="shared" si="66"/>
        <v/>
      </c>
      <c r="AY42" s="1355" t="str">
        <f t="shared" si="66"/>
        <v/>
      </c>
      <c r="AZ42" s="1355" t="str">
        <f t="shared" si="66"/>
        <v/>
      </c>
      <c r="BA42" s="1355" t="str">
        <f t="shared" si="66"/>
        <v/>
      </c>
      <c r="BB42" s="1355" t="str">
        <f t="shared" si="66"/>
        <v/>
      </c>
      <c r="BC42" s="1765"/>
      <c r="BD42" s="1355" t="str">
        <f t="shared" ref="BD42:BT42" si="67">IF(BD40="","",BD40*BD41)</f>
        <v/>
      </c>
      <c r="BE42" s="1355" t="str">
        <f t="shared" si="67"/>
        <v/>
      </c>
      <c r="BF42" s="1355" t="str">
        <f t="shared" si="67"/>
        <v/>
      </c>
      <c r="BG42" s="1355" t="str">
        <f t="shared" si="67"/>
        <v/>
      </c>
      <c r="BH42" s="1355" t="str">
        <f t="shared" si="67"/>
        <v/>
      </c>
      <c r="BI42" s="1355" t="str">
        <f t="shared" si="67"/>
        <v/>
      </c>
      <c r="BJ42" s="1355" t="str">
        <f t="shared" si="67"/>
        <v/>
      </c>
      <c r="BK42" s="1355" t="str">
        <f t="shared" si="67"/>
        <v/>
      </c>
      <c r="BL42" s="1355" t="str">
        <f t="shared" si="67"/>
        <v/>
      </c>
      <c r="BM42" s="1355" t="str">
        <f t="shared" si="67"/>
        <v/>
      </c>
      <c r="BN42" s="1355" t="str">
        <f t="shared" si="67"/>
        <v/>
      </c>
      <c r="BO42" s="1355" t="str">
        <f t="shared" si="67"/>
        <v/>
      </c>
      <c r="BP42" s="1355" t="str">
        <f t="shared" si="67"/>
        <v/>
      </c>
      <c r="BQ42" s="1355" t="str">
        <f t="shared" si="67"/>
        <v/>
      </c>
      <c r="BR42" s="1355" t="str">
        <f t="shared" si="67"/>
        <v/>
      </c>
      <c r="BS42" s="1355" t="str">
        <f t="shared" si="67"/>
        <v/>
      </c>
      <c r="BT42" s="1355" t="str">
        <f t="shared" si="67"/>
        <v/>
      </c>
      <c r="BU42" s="1765"/>
      <c r="BV42" s="1355" t="str">
        <f>IF(BV40="","",BV40*BV41)</f>
        <v/>
      </c>
      <c r="BW42" s="1355" t="str">
        <f>IF(BW40="","",BW40*BW41)</f>
        <v/>
      </c>
      <c r="BX42" s="1355" t="str">
        <f>IF(BX40="","",BX40*BX41)</f>
        <v/>
      </c>
      <c r="BY42" s="1355" t="str">
        <f>IF(BY40="","",BY40*BY41)</f>
        <v/>
      </c>
      <c r="BZ42" s="1748" t="str">
        <f t="shared" si="0"/>
        <v/>
      </c>
      <c r="CA42" s="1748" t="str">
        <f t="shared" si="1"/>
        <v/>
      </c>
      <c r="CB42" s="1748" t="str">
        <f t="shared" si="2"/>
        <v/>
      </c>
      <c r="CC42" s="1749" t="str">
        <f t="shared" si="3"/>
        <v/>
      </c>
      <c r="CD42" s="1683" t="str">
        <f t="shared" si="4"/>
        <v/>
      </c>
      <c r="CE42" s="1684" t="str">
        <f t="shared" si="63"/>
        <v/>
      </c>
      <c r="CF42" s="1685" t="str">
        <f t="shared" si="63"/>
        <v/>
      </c>
      <c r="CG42" s="1685" t="str">
        <f t="shared" si="63"/>
        <v/>
      </c>
      <c r="CH42" s="1685" t="str">
        <f t="shared" si="63"/>
        <v/>
      </c>
      <c r="CI42" s="1685" t="str">
        <f t="shared" si="63"/>
        <v/>
      </c>
      <c r="CJ42" s="1685" t="str">
        <f t="shared" si="63"/>
        <v/>
      </c>
      <c r="CK42" s="1686" t="str">
        <f t="shared" si="63"/>
        <v/>
      </c>
      <c r="CL42" s="1686" t="str">
        <f t="shared" si="63"/>
        <v/>
      </c>
      <c r="CM42" s="1686" t="str">
        <f t="shared" si="63"/>
        <v/>
      </c>
      <c r="CN42" s="1685" t="str">
        <f t="shared" si="63"/>
        <v/>
      </c>
      <c r="CO42" s="1685" t="str">
        <f t="shared" si="63"/>
        <v/>
      </c>
      <c r="CP42" s="1685" t="str">
        <f t="shared" si="63"/>
        <v/>
      </c>
      <c r="CQ42" s="1685" t="str">
        <f t="shared" si="63"/>
        <v/>
      </c>
      <c r="CR42" s="1685" t="str">
        <f t="shared" si="63"/>
        <v/>
      </c>
      <c r="CS42" s="1684" t="str">
        <f t="shared" si="63"/>
        <v/>
      </c>
      <c r="CT42" s="1687" t="str">
        <f t="shared" si="63"/>
        <v/>
      </c>
      <c r="CU42" s="1696" t="str">
        <f t="shared" si="6"/>
        <v/>
      </c>
      <c r="CV42" s="1697" t="str">
        <f t="shared" si="7"/>
        <v/>
      </c>
      <c r="CW42" s="1698" t="str">
        <f t="shared" si="8"/>
        <v/>
      </c>
      <c r="CX42" s="1698" t="str">
        <f t="shared" si="9"/>
        <v/>
      </c>
      <c r="CY42" s="1698" t="str">
        <f t="shared" si="10"/>
        <v/>
      </c>
      <c r="CZ42" s="1698" t="str">
        <f t="shared" si="11"/>
        <v/>
      </c>
      <c r="DA42" s="1698" t="str">
        <f t="shared" si="12"/>
        <v/>
      </c>
      <c r="DB42" s="1699" t="str">
        <f t="shared" si="13"/>
        <v/>
      </c>
      <c r="DC42" s="1699" t="str">
        <f t="shared" si="14"/>
        <v/>
      </c>
      <c r="DD42" s="1699" t="str">
        <f t="shared" si="15"/>
        <v/>
      </c>
      <c r="DE42" s="1698" t="str">
        <f t="shared" si="16"/>
        <v/>
      </c>
      <c r="DF42" s="1698" t="str">
        <f t="shared" si="17"/>
        <v/>
      </c>
      <c r="DG42" s="1698" t="str">
        <f t="shared" si="18"/>
        <v/>
      </c>
      <c r="DH42" s="1698" t="str">
        <f t="shared" si="19"/>
        <v/>
      </c>
      <c r="DI42" s="1698" t="str">
        <f t="shared" si="20"/>
        <v/>
      </c>
      <c r="DJ42" s="1697" t="str">
        <f t="shared" si="21"/>
        <v/>
      </c>
      <c r="DK42" s="1696" t="str">
        <f t="shared" si="22"/>
        <v/>
      </c>
      <c r="DL42" s="1750">
        <f t="shared" si="23"/>
        <v>0</v>
      </c>
      <c r="DM42" s="1386">
        <f t="shared" si="24"/>
        <v>0</v>
      </c>
      <c r="DN42" s="1386">
        <f t="shared" si="25"/>
        <v>0</v>
      </c>
      <c r="DO42" s="1386">
        <f t="shared" si="26"/>
        <v>0</v>
      </c>
      <c r="DP42" s="1766" t="str">
        <f>IF(DP40="","",DP40*BV41)</f>
        <v/>
      </c>
      <c r="DQ42" s="1463" t="str">
        <f>IF(DQ40="","",DQ40*BW41)</f>
        <v/>
      </c>
      <c r="DR42" s="1463" t="str">
        <f>IF(DR40="","",DR40*BX41)</f>
        <v/>
      </c>
      <c r="DS42" s="1767" t="str">
        <f>IF(DS40="","",DS40*BY41)</f>
        <v/>
      </c>
      <c r="DT42" s="1758"/>
      <c r="DU42" s="1707"/>
    </row>
    <row r="43" spans="1:125" ht="12.75" customHeight="1">
      <c r="A43" s="1762" t="s">
        <v>258</v>
      </c>
      <c r="B43" s="1768"/>
      <c r="C43" s="1768"/>
      <c r="D43" s="1768"/>
      <c r="E43" s="1768"/>
      <c r="F43" s="1768"/>
      <c r="G43" s="1768"/>
      <c r="H43" s="1768"/>
      <c r="I43" s="1768"/>
      <c r="J43" s="1768"/>
      <c r="K43" s="1768"/>
      <c r="L43" s="1768"/>
      <c r="M43" s="1768"/>
      <c r="N43" s="1768"/>
      <c r="O43" s="1768"/>
      <c r="P43" s="1768"/>
      <c r="Q43" s="1768"/>
      <c r="R43" s="1768"/>
      <c r="S43" s="1747"/>
      <c r="T43" s="1768"/>
      <c r="U43" s="1768"/>
      <c r="V43" s="1768"/>
      <c r="W43" s="1768"/>
      <c r="X43" s="1768"/>
      <c r="Y43" s="1768"/>
      <c r="Z43" s="1768"/>
      <c r="AA43" s="1768"/>
      <c r="AB43" s="1768"/>
      <c r="AC43" s="1768"/>
      <c r="AD43" s="1768"/>
      <c r="AE43" s="1768"/>
      <c r="AF43" s="1768"/>
      <c r="AG43" s="1768"/>
      <c r="AH43" s="1768"/>
      <c r="AI43" s="1768"/>
      <c r="AJ43" s="1768"/>
      <c r="AK43" s="1747"/>
      <c r="AL43" s="1768"/>
      <c r="AM43" s="1768"/>
      <c r="AN43" s="1768"/>
      <c r="AO43" s="1768"/>
      <c r="AP43" s="1768"/>
      <c r="AQ43" s="1768"/>
      <c r="AR43" s="1768"/>
      <c r="AS43" s="1768"/>
      <c r="AT43" s="1768"/>
      <c r="AU43" s="1768"/>
      <c r="AV43" s="1768"/>
      <c r="AW43" s="1768"/>
      <c r="AX43" s="1768"/>
      <c r="AY43" s="1768"/>
      <c r="AZ43" s="1768"/>
      <c r="BA43" s="1768"/>
      <c r="BB43" s="1768"/>
      <c r="BC43" s="1747"/>
      <c r="BD43" s="1768"/>
      <c r="BE43" s="1768"/>
      <c r="BF43" s="1768"/>
      <c r="BG43" s="1768"/>
      <c r="BH43" s="1768"/>
      <c r="BI43" s="1768"/>
      <c r="BJ43" s="1768"/>
      <c r="BK43" s="1768"/>
      <c r="BL43" s="1768"/>
      <c r="BM43" s="1768"/>
      <c r="BN43" s="1768"/>
      <c r="BO43" s="1768"/>
      <c r="BP43" s="1768"/>
      <c r="BQ43" s="1768"/>
      <c r="BR43" s="1768"/>
      <c r="BS43" s="1768"/>
      <c r="BT43" s="1768"/>
      <c r="BU43" s="1747"/>
      <c r="BV43" s="1768"/>
      <c r="BW43" s="1768"/>
      <c r="BX43" s="1768"/>
      <c r="BY43" s="1768"/>
      <c r="BZ43" s="1748" t="str">
        <f t="shared" si="0"/>
        <v/>
      </c>
      <c r="CA43" s="1748" t="str">
        <f t="shared" si="1"/>
        <v/>
      </c>
      <c r="CB43" s="1748" t="str">
        <f t="shared" si="2"/>
        <v/>
      </c>
      <c r="CC43" s="1749" t="str">
        <f t="shared" si="3"/>
        <v/>
      </c>
      <c r="CD43" s="1683" t="str">
        <f t="shared" si="4"/>
        <v/>
      </c>
      <c r="CE43" s="1684" t="str">
        <f t="shared" si="63"/>
        <v/>
      </c>
      <c r="CF43" s="1685" t="str">
        <f t="shared" si="63"/>
        <v/>
      </c>
      <c r="CG43" s="1685" t="str">
        <f t="shared" si="63"/>
        <v/>
      </c>
      <c r="CH43" s="1685" t="str">
        <f t="shared" si="63"/>
        <v/>
      </c>
      <c r="CI43" s="1685" t="str">
        <f t="shared" si="63"/>
        <v/>
      </c>
      <c r="CJ43" s="1685" t="str">
        <f t="shared" si="63"/>
        <v/>
      </c>
      <c r="CK43" s="1686" t="str">
        <f t="shared" si="63"/>
        <v/>
      </c>
      <c r="CL43" s="1686" t="str">
        <f t="shared" si="63"/>
        <v/>
      </c>
      <c r="CM43" s="1686" t="str">
        <f t="shared" si="63"/>
        <v/>
      </c>
      <c r="CN43" s="1685" t="str">
        <f t="shared" si="63"/>
        <v/>
      </c>
      <c r="CO43" s="1685" t="str">
        <f t="shared" si="63"/>
        <v/>
      </c>
      <c r="CP43" s="1685" t="str">
        <f t="shared" si="63"/>
        <v/>
      </c>
      <c r="CQ43" s="1685" t="str">
        <f t="shared" si="63"/>
        <v/>
      </c>
      <c r="CR43" s="1685" t="str">
        <f t="shared" si="63"/>
        <v/>
      </c>
      <c r="CS43" s="1684" t="str">
        <f t="shared" si="63"/>
        <v/>
      </c>
      <c r="CT43" s="1687" t="str">
        <f t="shared" si="63"/>
        <v/>
      </c>
      <c r="CU43" s="1696" t="str">
        <f t="shared" si="6"/>
        <v/>
      </c>
      <c r="CV43" s="1697" t="str">
        <f t="shared" si="7"/>
        <v/>
      </c>
      <c r="CW43" s="1698" t="str">
        <f t="shared" si="8"/>
        <v/>
      </c>
      <c r="CX43" s="1698" t="str">
        <f t="shared" si="9"/>
        <v/>
      </c>
      <c r="CY43" s="1698" t="str">
        <f t="shared" si="10"/>
        <v/>
      </c>
      <c r="CZ43" s="1698" t="str">
        <f t="shared" si="11"/>
        <v/>
      </c>
      <c r="DA43" s="1698" t="str">
        <f t="shared" si="12"/>
        <v/>
      </c>
      <c r="DB43" s="1699" t="str">
        <f t="shared" si="13"/>
        <v/>
      </c>
      <c r="DC43" s="1699" t="str">
        <f t="shared" si="14"/>
        <v/>
      </c>
      <c r="DD43" s="1699" t="str">
        <f t="shared" si="15"/>
        <v/>
      </c>
      <c r="DE43" s="1698" t="str">
        <f t="shared" si="16"/>
        <v/>
      </c>
      <c r="DF43" s="1698" t="str">
        <f t="shared" si="17"/>
        <v/>
      </c>
      <c r="DG43" s="1698" t="str">
        <f t="shared" si="18"/>
        <v/>
      </c>
      <c r="DH43" s="1698" t="str">
        <f t="shared" si="19"/>
        <v/>
      </c>
      <c r="DI43" s="1698" t="str">
        <f t="shared" si="20"/>
        <v/>
      </c>
      <c r="DJ43" s="1697" t="str">
        <f t="shared" si="21"/>
        <v/>
      </c>
      <c r="DK43" s="1696" t="str">
        <f t="shared" si="22"/>
        <v/>
      </c>
      <c r="DL43" s="1750">
        <f t="shared" si="23"/>
        <v>0</v>
      </c>
      <c r="DM43" s="1386">
        <f t="shared" si="24"/>
        <v>0</v>
      </c>
      <c r="DN43" s="1386">
        <f t="shared" si="25"/>
        <v>0</v>
      </c>
      <c r="DO43" s="1386">
        <f t="shared" si="26"/>
        <v>0</v>
      </c>
      <c r="DP43" s="1769"/>
      <c r="DQ43" s="1492"/>
      <c r="DR43" s="1492"/>
      <c r="DS43" s="1770"/>
      <c r="DT43" s="1758"/>
      <c r="DU43" s="1707"/>
    </row>
    <row r="44" spans="1:125" ht="14" customHeight="1">
      <c r="A44" s="1771" t="s">
        <v>227</v>
      </c>
      <c r="B44" s="1354" t="str">
        <f t="shared" ref="B44:R44" si="68">IF(B38="","",(B38-B40-B43)*B39/B$7/365/$G$1)</f>
        <v/>
      </c>
      <c r="C44" s="1354" t="str">
        <f t="shared" si="68"/>
        <v/>
      </c>
      <c r="D44" s="1354" t="str">
        <f t="shared" si="68"/>
        <v/>
      </c>
      <c r="E44" s="1354" t="str">
        <f t="shared" si="68"/>
        <v/>
      </c>
      <c r="F44" s="1354" t="str">
        <f t="shared" si="68"/>
        <v/>
      </c>
      <c r="G44" s="1354" t="str">
        <f t="shared" si="68"/>
        <v/>
      </c>
      <c r="H44" s="1354" t="str">
        <f t="shared" si="68"/>
        <v/>
      </c>
      <c r="I44" s="1354" t="str">
        <f t="shared" si="68"/>
        <v/>
      </c>
      <c r="J44" s="1354" t="str">
        <f t="shared" si="68"/>
        <v/>
      </c>
      <c r="K44" s="1354" t="str">
        <f t="shared" si="68"/>
        <v/>
      </c>
      <c r="L44" s="1354" t="str">
        <f t="shared" si="68"/>
        <v/>
      </c>
      <c r="M44" s="1354" t="str">
        <f t="shared" si="68"/>
        <v/>
      </c>
      <c r="N44" s="1354" t="str">
        <f t="shared" si="68"/>
        <v/>
      </c>
      <c r="O44" s="1354" t="str">
        <f t="shared" si="68"/>
        <v/>
      </c>
      <c r="P44" s="1354" t="str">
        <f t="shared" si="68"/>
        <v/>
      </c>
      <c r="Q44" s="1354" t="str">
        <f t="shared" si="68"/>
        <v/>
      </c>
      <c r="R44" s="1354" t="str">
        <f t="shared" si="68"/>
        <v/>
      </c>
      <c r="S44" s="1772"/>
      <c r="T44" s="1354" t="str">
        <f t="shared" ref="T44:AJ44" si="69">IF(T38="","",(T38-T40-T43)*T39/T$7/365/$G$1)</f>
        <v/>
      </c>
      <c r="U44" s="1354" t="str">
        <f t="shared" si="69"/>
        <v/>
      </c>
      <c r="V44" s="1354" t="str">
        <f t="shared" si="69"/>
        <v/>
      </c>
      <c r="W44" s="1354" t="str">
        <f t="shared" si="69"/>
        <v/>
      </c>
      <c r="X44" s="1354" t="str">
        <f t="shared" si="69"/>
        <v/>
      </c>
      <c r="Y44" s="1354" t="str">
        <f t="shared" si="69"/>
        <v/>
      </c>
      <c r="Z44" s="1354" t="str">
        <f t="shared" si="69"/>
        <v/>
      </c>
      <c r="AA44" s="1354" t="str">
        <f t="shared" si="69"/>
        <v/>
      </c>
      <c r="AB44" s="1354" t="str">
        <f t="shared" si="69"/>
        <v/>
      </c>
      <c r="AC44" s="1354" t="str">
        <f t="shared" si="69"/>
        <v/>
      </c>
      <c r="AD44" s="1354" t="str">
        <f t="shared" si="69"/>
        <v/>
      </c>
      <c r="AE44" s="1354" t="str">
        <f t="shared" si="69"/>
        <v/>
      </c>
      <c r="AF44" s="1354" t="str">
        <f t="shared" si="69"/>
        <v/>
      </c>
      <c r="AG44" s="1354" t="str">
        <f t="shared" si="69"/>
        <v/>
      </c>
      <c r="AH44" s="1354" t="str">
        <f t="shared" si="69"/>
        <v/>
      </c>
      <c r="AI44" s="1354" t="str">
        <f t="shared" si="69"/>
        <v/>
      </c>
      <c r="AJ44" s="1354" t="str">
        <f t="shared" si="69"/>
        <v/>
      </c>
      <c r="AK44" s="1772"/>
      <c r="AL44" s="1354" t="str">
        <f t="shared" ref="AL44:BB44" si="70">IF(AL38="","",(AL38-AL40-AL43)*AL39/AL$7/365/$G$1)</f>
        <v/>
      </c>
      <c r="AM44" s="1354" t="str">
        <f t="shared" si="70"/>
        <v/>
      </c>
      <c r="AN44" s="1354" t="str">
        <f t="shared" si="70"/>
        <v/>
      </c>
      <c r="AO44" s="1354" t="str">
        <f t="shared" si="70"/>
        <v/>
      </c>
      <c r="AP44" s="1354" t="str">
        <f t="shared" si="70"/>
        <v/>
      </c>
      <c r="AQ44" s="1354" t="str">
        <f t="shared" si="70"/>
        <v/>
      </c>
      <c r="AR44" s="1354" t="str">
        <f t="shared" si="70"/>
        <v/>
      </c>
      <c r="AS44" s="1354" t="str">
        <f t="shared" si="70"/>
        <v/>
      </c>
      <c r="AT44" s="1354" t="str">
        <f t="shared" si="70"/>
        <v/>
      </c>
      <c r="AU44" s="1354" t="str">
        <f t="shared" si="70"/>
        <v/>
      </c>
      <c r="AV44" s="1354" t="str">
        <f t="shared" si="70"/>
        <v/>
      </c>
      <c r="AW44" s="1354" t="str">
        <f t="shared" si="70"/>
        <v/>
      </c>
      <c r="AX44" s="1354" t="str">
        <f t="shared" si="70"/>
        <v/>
      </c>
      <c r="AY44" s="1354" t="str">
        <f t="shared" si="70"/>
        <v/>
      </c>
      <c r="AZ44" s="1354" t="str">
        <f t="shared" si="70"/>
        <v/>
      </c>
      <c r="BA44" s="1354" t="str">
        <f t="shared" si="70"/>
        <v/>
      </c>
      <c r="BB44" s="1354" t="str">
        <f t="shared" si="70"/>
        <v/>
      </c>
      <c r="BC44" s="1772"/>
      <c r="BD44" s="1354" t="str">
        <f t="shared" ref="BD44:BT44" si="71">IF(BD38="","",(BD38-BD40-BD43)*BD39/BD$7/365/$G$1)</f>
        <v/>
      </c>
      <c r="BE44" s="1354" t="str">
        <f t="shared" si="71"/>
        <v/>
      </c>
      <c r="BF44" s="1354" t="str">
        <f t="shared" si="71"/>
        <v/>
      </c>
      <c r="BG44" s="1354" t="str">
        <f t="shared" si="71"/>
        <v/>
      </c>
      <c r="BH44" s="1354" t="str">
        <f t="shared" si="71"/>
        <v/>
      </c>
      <c r="BI44" s="1354" t="str">
        <f t="shared" si="71"/>
        <v/>
      </c>
      <c r="BJ44" s="1354" t="str">
        <f t="shared" si="71"/>
        <v/>
      </c>
      <c r="BK44" s="1354" t="str">
        <f t="shared" si="71"/>
        <v/>
      </c>
      <c r="BL44" s="1354" t="str">
        <f t="shared" si="71"/>
        <v/>
      </c>
      <c r="BM44" s="1354" t="str">
        <f t="shared" si="71"/>
        <v/>
      </c>
      <c r="BN44" s="1354" t="str">
        <f t="shared" si="71"/>
        <v/>
      </c>
      <c r="BO44" s="1354" t="str">
        <f t="shared" si="71"/>
        <v/>
      </c>
      <c r="BP44" s="1354" t="str">
        <f t="shared" si="71"/>
        <v/>
      </c>
      <c r="BQ44" s="1354" t="str">
        <f t="shared" si="71"/>
        <v/>
      </c>
      <c r="BR44" s="1354" t="str">
        <f t="shared" si="71"/>
        <v/>
      </c>
      <c r="BS44" s="1354" t="str">
        <f t="shared" si="71"/>
        <v/>
      </c>
      <c r="BT44" s="1354" t="str">
        <f t="shared" si="71"/>
        <v/>
      </c>
      <c r="BU44" s="1772"/>
      <c r="BV44" s="1354" t="str">
        <f>IF(BV38="","",(BV38-BV40-BV43)*BV39/BV$7/365/$G$1)</f>
        <v/>
      </c>
      <c r="BW44" s="1354" t="str">
        <f>IF(BW38="","",(BW38-BW40-BW43)*BW39/BW$7/365/$G$1)</f>
        <v/>
      </c>
      <c r="BX44" s="1354" t="str">
        <f>IF(BX38="","",(BX38-BX40-BX43)*BX39/BX$7/365/$G$1)</f>
        <v/>
      </c>
      <c r="BY44" s="1354" t="str">
        <f>IF(BY38="","",(BY38-BY40-BY43)*BY39/BY$7/365/$G$1)</f>
        <v/>
      </c>
      <c r="BZ44" s="1773" t="str">
        <f t="shared" si="0"/>
        <v/>
      </c>
      <c r="CA44" s="1773" t="str">
        <f t="shared" si="1"/>
        <v/>
      </c>
      <c r="CB44" s="1773" t="str">
        <f t="shared" si="2"/>
        <v/>
      </c>
      <c r="CC44" s="1774" t="str">
        <f t="shared" si="3"/>
        <v/>
      </c>
      <c r="CD44" s="1700" t="str">
        <f t="shared" si="4"/>
        <v/>
      </c>
      <c r="CE44" s="1701" t="str">
        <f t="shared" si="63"/>
        <v/>
      </c>
      <c r="CF44" s="1702" t="str">
        <f t="shared" si="63"/>
        <v/>
      </c>
      <c r="CG44" s="1702" t="str">
        <f t="shared" si="63"/>
        <v/>
      </c>
      <c r="CH44" s="1702" t="str">
        <f t="shared" si="63"/>
        <v/>
      </c>
      <c r="CI44" s="1702" t="str">
        <f t="shared" si="63"/>
        <v/>
      </c>
      <c r="CJ44" s="1702" t="str">
        <f t="shared" si="63"/>
        <v/>
      </c>
      <c r="CK44" s="1703" t="str">
        <f t="shared" si="63"/>
        <v/>
      </c>
      <c r="CL44" s="1703" t="str">
        <f t="shared" si="63"/>
        <v/>
      </c>
      <c r="CM44" s="1703" t="str">
        <f t="shared" si="63"/>
        <v/>
      </c>
      <c r="CN44" s="1702" t="str">
        <f t="shared" si="63"/>
        <v/>
      </c>
      <c r="CO44" s="1702" t="str">
        <f t="shared" si="63"/>
        <v/>
      </c>
      <c r="CP44" s="1702" t="str">
        <f t="shared" si="63"/>
        <v/>
      </c>
      <c r="CQ44" s="1702" t="str">
        <f t="shared" si="63"/>
        <v/>
      </c>
      <c r="CR44" s="1702" t="str">
        <f t="shared" si="63"/>
        <v/>
      </c>
      <c r="CS44" s="1701" t="str">
        <f t="shared" si="63"/>
        <v/>
      </c>
      <c r="CT44" s="1704" t="str">
        <f t="shared" si="63"/>
        <v/>
      </c>
      <c r="CU44" s="1705" t="str">
        <f t="shared" si="6"/>
        <v/>
      </c>
      <c r="CV44" s="1701" t="str">
        <f t="shared" si="7"/>
        <v/>
      </c>
      <c r="CW44" s="1702" t="str">
        <f t="shared" si="8"/>
        <v/>
      </c>
      <c r="CX44" s="1702" t="str">
        <f t="shared" si="9"/>
        <v/>
      </c>
      <c r="CY44" s="1702" t="str">
        <f t="shared" si="10"/>
        <v/>
      </c>
      <c r="CZ44" s="1702" t="str">
        <f t="shared" si="11"/>
        <v/>
      </c>
      <c r="DA44" s="1702" t="str">
        <f t="shared" si="12"/>
        <v/>
      </c>
      <c r="DB44" s="1703" t="str">
        <f t="shared" si="13"/>
        <v/>
      </c>
      <c r="DC44" s="1703" t="str">
        <f t="shared" si="14"/>
        <v/>
      </c>
      <c r="DD44" s="1703" t="str">
        <f t="shared" si="15"/>
        <v/>
      </c>
      <c r="DE44" s="1702" t="str">
        <f t="shared" si="16"/>
        <v/>
      </c>
      <c r="DF44" s="1702" t="str">
        <f t="shared" si="17"/>
        <v/>
      </c>
      <c r="DG44" s="1702" t="str">
        <f t="shared" si="18"/>
        <v/>
      </c>
      <c r="DH44" s="1702" t="str">
        <f t="shared" si="19"/>
        <v/>
      </c>
      <c r="DI44" s="1702" t="str">
        <f t="shared" si="20"/>
        <v/>
      </c>
      <c r="DJ44" s="1701" t="str">
        <f t="shared" si="21"/>
        <v/>
      </c>
      <c r="DK44" s="1705" t="str">
        <f t="shared" si="22"/>
        <v/>
      </c>
      <c r="DL44" s="1750">
        <f t="shared" si="23"/>
        <v>0</v>
      </c>
      <c r="DM44" s="1386">
        <f t="shared" si="24"/>
        <v>0</v>
      </c>
      <c r="DN44" s="1386">
        <f t="shared" si="25"/>
        <v>0</v>
      </c>
      <c r="DO44" s="1386">
        <f t="shared" si="26"/>
        <v>0</v>
      </c>
      <c r="DP44" s="1775" t="str">
        <f>IF(DP38="","",(DP38+SUM(BV38)*(DP38="")-SUM(DP40)-DP43-SUM(BV43)*(DP43=""))*BV39/DP$7/365/$G$1)</f>
        <v/>
      </c>
      <c r="DQ44" s="1354" t="str">
        <f>IF(DQ38="","",(DQ38+SUM(BW38)*(DQ38="")-SUM(DQ40)-DQ43-SUM(BW43)*(DQ43=""))*BW39/DQ$7/365/$G$1)</f>
        <v/>
      </c>
      <c r="DR44" s="1354" t="str">
        <f>IF(DR38="","",(DR38+SUM(BX38)*(DR38="")-SUM(DR40)-DR43-SUM(BX43)*(DR43=""))*BX39/DR$7/365/$G$1)</f>
        <v/>
      </c>
      <c r="DS44" s="1776" t="str">
        <f>IF(DS38="","",(DS38+SUM(BY38)*(DS38="")-SUM(DS40)-DS43-SUM(BY43)*(DS43=""))*BY39/DS$7/365/$G$1)</f>
        <v/>
      </c>
      <c r="DT44" s="1758"/>
      <c r="DU44" s="1707"/>
    </row>
    <row r="45" spans="1:125" ht="14" customHeight="1">
      <c r="A45" s="1377" t="s">
        <v>492</v>
      </c>
      <c r="B45" s="1779">
        <f t="shared" ref="B45:R45" si="72">SUM(B14,B21,B28,B35,B42)</f>
        <v>0</v>
      </c>
      <c r="C45" s="1779">
        <f t="shared" si="72"/>
        <v>0</v>
      </c>
      <c r="D45" s="1779">
        <f t="shared" si="72"/>
        <v>0</v>
      </c>
      <c r="E45" s="1779">
        <f t="shared" si="72"/>
        <v>0</v>
      </c>
      <c r="F45" s="1779">
        <f t="shared" si="72"/>
        <v>0</v>
      </c>
      <c r="G45" s="1779">
        <f t="shared" si="72"/>
        <v>0</v>
      </c>
      <c r="H45" s="1779">
        <f t="shared" si="72"/>
        <v>0</v>
      </c>
      <c r="I45" s="1779">
        <f t="shared" si="72"/>
        <v>0</v>
      </c>
      <c r="J45" s="1779">
        <f t="shared" si="72"/>
        <v>0</v>
      </c>
      <c r="K45" s="1779">
        <f t="shared" si="72"/>
        <v>0</v>
      </c>
      <c r="L45" s="1779">
        <f t="shared" si="72"/>
        <v>0</v>
      </c>
      <c r="M45" s="1779">
        <f t="shared" si="72"/>
        <v>0</v>
      </c>
      <c r="N45" s="1779">
        <f t="shared" si="72"/>
        <v>0</v>
      </c>
      <c r="O45" s="1779">
        <f t="shared" si="72"/>
        <v>0</v>
      </c>
      <c r="P45" s="1779">
        <f t="shared" si="72"/>
        <v>0</v>
      </c>
      <c r="Q45" s="1779">
        <f t="shared" si="72"/>
        <v>0</v>
      </c>
      <c r="R45" s="1779">
        <f t="shared" si="72"/>
        <v>0</v>
      </c>
      <c r="S45" s="1780"/>
      <c r="T45" s="1779">
        <f t="shared" ref="T45:AJ45" si="73">SUM(T14,T21,T28,T35,T42)</f>
        <v>0</v>
      </c>
      <c r="U45" s="1779">
        <f t="shared" si="73"/>
        <v>0</v>
      </c>
      <c r="V45" s="1779">
        <f t="shared" si="73"/>
        <v>0</v>
      </c>
      <c r="W45" s="1779">
        <f t="shared" si="73"/>
        <v>0</v>
      </c>
      <c r="X45" s="1779">
        <f t="shared" si="73"/>
        <v>0</v>
      </c>
      <c r="Y45" s="1779">
        <f t="shared" si="73"/>
        <v>0</v>
      </c>
      <c r="Z45" s="1779">
        <f t="shared" si="73"/>
        <v>0</v>
      </c>
      <c r="AA45" s="1779">
        <f t="shared" si="73"/>
        <v>0</v>
      </c>
      <c r="AB45" s="1779">
        <f t="shared" si="73"/>
        <v>0</v>
      </c>
      <c r="AC45" s="1779">
        <f t="shared" si="73"/>
        <v>0</v>
      </c>
      <c r="AD45" s="1779">
        <f t="shared" si="73"/>
        <v>0</v>
      </c>
      <c r="AE45" s="1779">
        <f t="shared" si="73"/>
        <v>0</v>
      </c>
      <c r="AF45" s="1779">
        <f t="shared" si="73"/>
        <v>0</v>
      </c>
      <c r="AG45" s="1779">
        <f t="shared" si="73"/>
        <v>0</v>
      </c>
      <c r="AH45" s="1779">
        <f t="shared" si="73"/>
        <v>0</v>
      </c>
      <c r="AI45" s="1779">
        <f t="shared" si="73"/>
        <v>0</v>
      </c>
      <c r="AJ45" s="1779">
        <f t="shared" si="73"/>
        <v>0</v>
      </c>
      <c r="AK45" s="1780"/>
      <c r="AL45" s="1779">
        <f t="shared" ref="AL45:BB45" si="74">SUM(AL14,AL21,AL28,AL35,AL42)</f>
        <v>0</v>
      </c>
      <c r="AM45" s="1779">
        <f t="shared" si="74"/>
        <v>0</v>
      </c>
      <c r="AN45" s="1779">
        <f t="shared" si="74"/>
        <v>0</v>
      </c>
      <c r="AO45" s="1779">
        <f t="shared" si="74"/>
        <v>0</v>
      </c>
      <c r="AP45" s="1779">
        <f t="shared" si="74"/>
        <v>0</v>
      </c>
      <c r="AQ45" s="1779">
        <f t="shared" si="74"/>
        <v>0</v>
      </c>
      <c r="AR45" s="1779">
        <f t="shared" si="74"/>
        <v>0</v>
      </c>
      <c r="AS45" s="1779">
        <f t="shared" si="74"/>
        <v>0</v>
      </c>
      <c r="AT45" s="1779">
        <f t="shared" si="74"/>
        <v>0</v>
      </c>
      <c r="AU45" s="1779">
        <f t="shared" si="74"/>
        <v>0</v>
      </c>
      <c r="AV45" s="1779">
        <f t="shared" si="74"/>
        <v>0</v>
      </c>
      <c r="AW45" s="1779">
        <f t="shared" si="74"/>
        <v>0</v>
      </c>
      <c r="AX45" s="1779">
        <f t="shared" si="74"/>
        <v>0</v>
      </c>
      <c r="AY45" s="1779">
        <f t="shared" si="74"/>
        <v>0</v>
      </c>
      <c r="AZ45" s="1779">
        <f t="shared" si="74"/>
        <v>0</v>
      </c>
      <c r="BA45" s="1779">
        <f t="shared" si="74"/>
        <v>0</v>
      </c>
      <c r="BB45" s="1779">
        <f t="shared" si="74"/>
        <v>0</v>
      </c>
      <c r="BC45" s="1780"/>
      <c r="BD45" s="1779">
        <f t="shared" ref="BD45:BT45" si="75">SUM(BD14,BD21,BD28,BD35,BD42)</f>
        <v>0</v>
      </c>
      <c r="BE45" s="1779">
        <f t="shared" si="75"/>
        <v>0</v>
      </c>
      <c r="BF45" s="1779">
        <f t="shared" si="75"/>
        <v>0</v>
      </c>
      <c r="BG45" s="1779">
        <f t="shared" si="75"/>
        <v>0</v>
      </c>
      <c r="BH45" s="1779">
        <f t="shared" si="75"/>
        <v>0</v>
      </c>
      <c r="BI45" s="1779">
        <f t="shared" si="75"/>
        <v>0</v>
      </c>
      <c r="BJ45" s="1779">
        <f t="shared" si="75"/>
        <v>0</v>
      </c>
      <c r="BK45" s="1779">
        <f t="shared" si="75"/>
        <v>0</v>
      </c>
      <c r="BL45" s="1779">
        <f t="shared" si="75"/>
        <v>0</v>
      </c>
      <c r="BM45" s="1779">
        <f t="shared" si="75"/>
        <v>0</v>
      </c>
      <c r="BN45" s="1779">
        <f t="shared" si="75"/>
        <v>0</v>
      </c>
      <c r="BO45" s="1779">
        <f t="shared" si="75"/>
        <v>0</v>
      </c>
      <c r="BP45" s="1779">
        <f t="shared" si="75"/>
        <v>0</v>
      </c>
      <c r="BQ45" s="1779">
        <f t="shared" si="75"/>
        <v>0</v>
      </c>
      <c r="BR45" s="1779">
        <f t="shared" si="75"/>
        <v>0</v>
      </c>
      <c r="BS45" s="1779">
        <f t="shared" si="75"/>
        <v>0</v>
      </c>
      <c r="BT45" s="1779">
        <f t="shared" si="75"/>
        <v>0</v>
      </c>
      <c r="BU45" s="1780"/>
      <c r="BV45" s="1779">
        <f>SUM(BV14,BV21,BV28,BV35,BV42)</f>
        <v>0</v>
      </c>
      <c r="BW45" s="1779">
        <f>SUM(BW14,BW21,BW28,BW35,BW42)</f>
        <v>0</v>
      </c>
      <c r="BX45" s="1779">
        <f>SUM(BX14,BX21,BX28,BX35,BX42)</f>
        <v>0</v>
      </c>
      <c r="BY45" s="1779">
        <f>SUM(BY14,BY21,BY28,BY35,BY42)</f>
        <v>0</v>
      </c>
      <c r="BZ45" s="1748">
        <f t="shared" si="0"/>
        <v>0</v>
      </c>
      <c r="CA45" s="1748">
        <f t="shared" si="1"/>
        <v>0</v>
      </c>
      <c r="CB45" s="1748">
        <f t="shared" si="2"/>
        <v>0</v>
      </c>
      <c r="CC45" s="1749">
        <f t="shared" si="3"/>
        <v>0</v>
      </c>
      <c r="CD45" s="168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84">
        <f t="shared" si="76"/>
        <v>0</v>
      </c>
      <c r="CF45" s="1685">
        <f t="shared" si="76"/>
        <v>0</v>
      </c>
      <c r="CG45" s="1685">
        <f t="shared" si="76"/>
        <v>0</v>
      </c>
      <c r="CH45" s="1685">
        <f t="shared" si="76"/>
        <v>0</v>
      </c>
      <c r="CI45" s="1685">
        <f t="shared" si="76"/>
        <v>0</v>
      </c>
      <c r="CJ45" s="1685">
        <f t="shared" si="76"/>
        <v>0</v>
      </c>
      <c r="CK45" s="1686">
        <f t="shared" si="76"/>
        <v>0</v>
      </c>
      <c r="CL45" s="1686">
        <f t="shared" si="76"/>
        <v>0</v>
      </c>
      <c r="CM45" s="1686">
        <f t="shared" si="76"/>
        <v>0</v>
      </c>
      <c r="CN45" s="1685">
        <f t="shared" si="76"/>
        <v>0</v>
      </c>
      <c r="CO45" s="1685">
        <f t="shared" si="76"/>
        <v>0</v>
      </c>
      <c r="CP45" s="1685">
        <f t="shared" si="76"/>
        <v>0</v>
      </c>
      <c r="CQ45" s="1685">
        <f t="shared" si="76"/>
        <v>0</v>
      </c>
      <c r="CR45" s="1685">
        <f t="shared" si="76"/>
        <v>0</v>
      </c>
      <c r="CS45" s="1684">
        <f t="shared" si="76"/>
        <v>0</v>
      </c>
      <c r="CT45" s="1687">
        <f t="shared" si="76"/>
        <v>0</v>
      </c>
      <c r="CU45" s="1696">
        <f t="shared" si="6"/>
        <v>0</v>
      </c>
      <c r="CV45" s="1697">
        <f t="shared" si="7"/>
        <v>0</v>
      </c>
      <c r="CW45" s="1698">
        <f t="shared" si="8"/>
        <v>0</v>
      </c>
      <c r="CX45" s="1698">
        <f t="shared" si="9"/>
        <v>0</v>
      </c>
      <c r="CY45" s="1698">
        <f t="shared" si="10"/>
        <v>0</v>
      </c>
      <c r="CZ45" s="1698">
        <f t="shared" si="11"/>
        <v>0</v>
      </c>
      <c r="DA45" s="1698">
        <f t="shared" si="12"/>
        <v>0</v>
      </c>
      <c r="DB45" s="1699">
        <f t="shared" si="13"/>
        <v>0</v>
      </c>
      <c r="DC45" s="1699">
        <f t="shared" si="14"/>
        <v>0</v>
      </c>
      <c r="DD45" s="1699">
        <f t="shared" si="15"/>
        <v>0</v>
      </c>
      <c r="DE45" s="1698">
        <f t="shared" si="16"/>
        <v>0</v>
      </c>
      <c r="DF45" s="1698">
        <f t="shared" si="17"/>
        <v>0</v>
      </c>
      <c r="DG45" s="1698">
        <f t="shared" si="18"/>
        <v>0</v>
      </c>
      <c r="DH45" s="1698">
        <f t="shared" si="19"/>
        <v>0</v>
      </c>
      <c r="DI45" s="1698">
        <f t="shared" si="20"/>
        <v>0</v>
      </c>
      <c r="DJ45" s="1697">
        <f t="shared" si="21"/>
        <v>0</v>
      </c>
      <c r="DK45" s="1696">
        <f t="shared" si="22"/>
        <v>0</v>
      </c>
      <c r="DL45" s="1750">
        <f t="shared" si="23"/>
        <v>17</v>
      </c>
      <c r="DM45" s="1386">
        <f t="shared" si="24"/>
        <v>17</v>
      </c>
      <c r="DN45" s="1386">
        <f t="shared" si="25"/>
        <v>17</v>
      </c>
      <c r="DO45" s="1386">
        <f t="shared" si="26"/>
        <v>17</v>
      </c>
      <c r="DP45" s="1781">
        <f>SUM(DP14,DP21,DP28,DP35,DP42)</f>
        <v>0</v>
      </c>
      <c r="DQ45" s="1779">
        <f>SUM(DQ14,DQ21,DQ28,DQ35,DQ42)</f>
        <v>0</v>
      </c>
      <c r="DR45" s="1779">
        <f>SUM(DR14,DR21,DR28,DR35,DR42)</f>
        <v>0</v>
      </c>
      <c r="DS45" s="1782">
        <f>SUM(DS14,DS21,DS28,DS35,DS42)</f>
        <v>0</v>
      </c>
      <c r="DT45" s="1758"/>
      <c r="DU45" s="1707"/>
    </row>
    <row r="46" spans="1:125" ht="14" customHeight="1">
      <c r="A46" s="1377" t="s">
        <v>493</v>
      </c>
      <c r="B46" s="1783">
        <f t="shared" ref="B46:R46" si="77">SUM(B16,B23,B30,B37,B44)</f>
        <v>0</v>
      </c>
      <c r="C46" s="1783">
        <f t="shared" si="77"/>
        <v>0</v>
      </c>
      <c r="D46" s="1783">
        <f t="shared" si="77"/>
        <v>0</v>
      </c>
      <c r="E46" s="1783">
        <f t="shared" si="77"/>
        <v>0</v>
      </c>
      <c r="F46" s="1783">
        <f t="shared" si="77"/>
        <v>0</v>
      </c>
      <c r="G46" s="1783">
        <f t="shared" si="77"/>
        <v>0</v>
      </c>
      <c r="H46" s="1783">
        <f t="shared" si="77"/>
        <v>0</v>
      </c>
      <c r="I46" s="1783">
        <f t="shared" si="77"/>
        <v>0</v>
      </c>
      <c r="J46" s="1783">
        <f t="shared" si="77"/>
        <v>0</v>
      </c>
      <c r="K46" s="1783">
        <f t="shared" si="77"/>
        <v>0</v>
      </c>
      <c r="L46" s="1783">
        <f t="shared" si="77"/>
        <v>0</v>
      </c>
      <c r="M46" s="1783">
        <f t="shared" si="77"/>
        <v>0</v>
      </c>
      <c r="N46" s="1783">
        <f t="shared" si="77"/>
        <v>0</v>
      </c>
      <c r="O46" s="1783">
        <f t="shared" si="77"/>
        <v>0</v>
      </c>
      <c r="P46" s="1783">
        <f t="shared" si="77"/>
        <v>0</v>
      </c>
      <c r="Q46" s="1783">
        <f t="shared" si="77"/>
        <v>0</v>
      </c>
      <c r="R46" s="1783">
        <f t="shared" si="77"/>
        <v>0</v>
      </c>
      <c r="S46" s="1784"/>
      <c r="T46" s="1783">
        <f t="shared" ref="T46:AJ46" si="78">SUM(T16,T23,T30,T37,T44)</f>
        <v>0</v>
      </c>
      <c r="U46" s="1783">
        <f t="shared" si="78"/>
        <v>0</v>
      </c>
      <c r="V46" s="1783">
        <f t="shared" si="78"/>
        <v>0</v>
      </c>
      <c r="W46" s="1783">
        <f t="shared" si="78"/>
        <v>0</v>
      </c>
      <c r="X46" s="1783">
        <f t="shared" si="78"/>
        <v>0</v>
      </c>
      <c r="Y46" s="1783">
        <f t="shared" si="78"/>
        <v>0</v>
      </c>
      <c r="Z46" s="1783">
        <f t="shared" si="78"/>
        <v>0</v>
      </c>
      <c r="AA46" s="1783">
        <f t="shared" si="78"/>
        <v>0</v>
      </c>
      <c r="AB46" s="1783">
        <f t="shared" si="78"/>
        <v>0</v>
      </c>
      <c r="AC46" s="1783">
        <f t="shared" si="78"/>
        <v>0</v>
      </c>
      <c r="AD46" s="1783">
        <f t="shared" si="78"/>
        <v>0</v>
      </c>
      <c r="AE46" s="1783">
        <f t="shared" si="78"/>
        <v>0</v>
      </c>
      <c r="AF46" s="1783">
        <f t="shared" si="78"/>
        <v>0</v>
      </c>
      <c r="AG46" s="1783">
        <f t="shared" si="78"/>
        <v>0</v>
      </c>
      <c r="AH46" s="1783">
        <f t="shared" si="78"/>
        <v>0</v>
      </c>
      <c r="AI46" s="1783">
        <f t="shared" si="78"/>
        <v>0</v>
      </c>
      <c r="AJ46" s="1783">
        <f t="shared" si="78"/>
        <v>0</v>
      </c>
      <c r="AK46" s="1784"/>
      <c r="AL46" s="1783">
        <f t="shared" ref="AL46:BB46" si="79">SUM(AL16,AL23,AL30,AL37,AL44)</f>
        <v>0</v>
      </c>
      <c r="AM46" s="1783">
        <f t="shared" si="79"/>
        <v>0</v>
      </c>
      <c r="AN46" s="1783">
        <f t="shared" si="79"/>
        <v>0</v>
      </c>
      <c r="AO46" s="1783">
        <f t="shared" si="79"/>
        <v>0</v>
      </c>
      <c r="AP46" s="1783">
        <f t="shared" si="79"/>
        <v>0</v>
      </c>
      <c r="AQ46" s="1783">
        <f t="shared" si="79"/>
        <v>0</v>
      </c>
      <c r="AR46" s="1783">
        <f t="shared" si="79"/>
        <v>0</v>
      </c>
      <c r="AS46" s="1783">
        <f t="shared" si="79"/>
        <v>0</v>
      </c>
      <c r="AT46" s="1783">
        <f t="shared" si="79"/>
        <v>0</v>
      </c>
      <c r="AU46" s="1783">
        <f t="shared" si="79"/>
        <v>0</v>
      </c>
      <c r="AV46" s="1783">
        <f t="shared" si="79"/>
        <v>0</v>
      </c>
      <c r="AW46" s="1783">
        <f t="shared" si="79"/>
        <v>0</v>
      </c>
      <c r="AX46" s="1783">
        <f t="shared" si="79"/>
        <v>0</v>
      </c>
      <c r="AY46" s="1783">
        <f t="shared" si="79"/>
        <v>0</v>
      </c>
      <c r="AZ46" s="1783">
        <f t="shared" si="79"/>
        <v>0</v>
      </c>
      <c r="BA46" s="1783">
        <f t="shared" si="79"/>
        <v>0</v>
      </c>
      <c r="BB46" s="1783">
        <f t="shared" si="79"/>
        <v>0</v>
      </c>
      <c r="BC46" s="1784"/>
      <c r="BD46" s="1783">
        <f t="shared" ref="BD46:BT46" si="80">SUM(BD16,BD23,BD30,BD37,BD44)</f>
        <v>0</v>
      </c>
      <c r="BE46" s="1783">
        <f t="shared" si="80"/>
        <v>0</v>
      </c>
      <c r="BF46" s="1783">
        <f t="shared" si="80"/>
        <v>0</v>
      </c>
      <c r="BG46" s="1783">
        <f t="shared" si="80"/>
        <v>0</v>
      </c>
      <c r="BH46" s="1783">
        <f t="shared" si="80"/>
        <v>0</v>
      </c>
      <c r="BI46" s="1783">
        <f t="shared" si="80"/>
        <v>0</v>
      </c>
      <c r="BJ46" s="1783">
        <f t="shared" si="80"/>
        <v>0</v>
      </c>
      <c r="BK46" s="1783">
        <f t="shared" si="80"/>
        <v>0</v>
      </c>
      <c r="BL46" s="1783">
        <f t="shared" si="80"/>
        <v>0</v>
      </c>
      <c r="BM46" s="1783">
        <f t="shared" si="80"/>
        <v>0</v>
      </c>
      <c r="BN46" s="1783">
        <f t="shared" si="80"/>
        <v>0</v>
      </c>
      <c r="BO46" s="1783">
        <f t="shared" si="80"/>
        <v>0</v>
      </c>
      <c r="BP46" s="1783">
        <f t="shared" si="80"/>
        <v>0</v>
      </c>
      <c r="BQ46" s="1783">
        <f t="shared" si="80"/>
        <v>0</v>
      </c>
      <c r="BR46" s="1783">
        <f t="shared" si="80"/>
        <v>0</v>
      </c>
      <c r="BS46" s="1783">
        <f t="shared" si="80"/>
        <v>0</v>
      </c>
      <c r="BT46" s="1783">
        <f t="shared" si="80"/>
        <v>0</v>
      </c>
      <c r="BU46" s="1784"/>
      <c r="BV46" s="1783">
        <f>SUM(BV16,BV23,BV30,BV37,BV44)</f>
        <v>0</v>
      </c>
      <c r="BW46" s="1783">
        <f>SUM(BW16,BW23,BW30,BW37,BW44)</f>
        <v>0</v>
      </c>
      <c r="BX46" s="1783">
        <f>SUM(BX16,BX23,BX30,BX37,BX44)</f>
        <v>0</v>
      </c>
      <c r="BY46" s="1783">
        <f>SUM(BY16,BY23,BY30,BY37,BY44)</f>
        <v>0</v>
      </c>
      <c r="BZ46" s="1773">
        <f t="shared" si="0"/>
        <v>0</v>
      </c>
      <c r="CA46" s="1773">
        <f t="shared" si="1"/>
        <v>0</v>
      </c>
      <c r="CB46" s="1773">
        <f t="shared" si="2"/>
        <v>0</v>
      </c>
      <c r="CC46" s="1774">
        <f t="shared" si="3"/>
        <v>0</v>
      </c>
      <c r="CD46" s="1700">
        <f t="shared" si="76"/>
        <v>0</v>
      </c>
      <c r="CE46" s="1701">
        <f t="shared" si="76"/>
        <v>0</v>
      </c>
      <c r="CF46" s="1702">
        <f t="shared" si="76"/>
        <v>0</v>
      </c>
      <c r="CG46" s="1702">
        <f t="shared" si="76"/>
        <v>0</v>
      </c>
      <c r="CH46" s="1702">
        <f t="shared" si="76"/>
        <v>0</v>
      </c>
      <c r="CI46" s="1702">
        <f t="shared" si="76"/>
        <v>0</v>
      </c>
      <c r="CJ46" s="1702">
        <f t="shared" si="76"/>
        <v>0</v>
      </c>
      <c r="CK46" s="1703">
        <f t="shared" si="76"/>
        <v>0</v>
      </c>
      <c r="CL46" s="1703">
        <f t="shared" si="76"/>
        <v>0</v>
      </c>
      <c r="CM46" s="1703">
        <f t="shared" si="76"/>
        <v>0</v>
      </c>
      <c r="CN46" s="1702">
        <f t="shared" si="76"/>
        <v>0</v>
      </c>
      <c r="CO46" s="1702">
        <f t="shared" si="76"/>
        <v>0</v>
      </c>
      <c r="CP46" s="1702">
        <f t="shared" si="76"/>
        <v>0</v>
      </c>
      <c r="CQ46" s="1702">
        <f t="shared" si="76"/>
        <v>0</v>
      </c>
      <c r="CR46" s="1702">
        <f t="shared" si="76"/>
        <v>0</v>
      </c>
      <c r="CS46" s="1701">
        <f t="shared" si="76"/>
        <v>0</v>
      </c>
      <c r="CT46" s="1704">
        <f t="shared" si="76"/>
        <v>0</v>
      </c>
      <c r="CU46" s="1705">
        <f t="shared" si="6"/>
        <v>0</v>
      </c>
      <c r="CV46" s="1701">
        <f t="shared" si="7"/>
        <v>0</v>
      </c>
      <c r="CW46" s="1702">
        <f t="shared" si="8"/>
        <v>0</v>
      </c>
      <c r="CX46" s="1702">
        <f t="shared" si="9"/>
        <v>0</v>
      </c>
      <c r="CY46" s="1702">
        <f t="shared" si="10"/>
        <v>0</v>
      </c>
      <c r="CZ46" s="1702">
        <f t="shared" si="11"/>
        <v>0</v>
      </c>
      <c r="DA46" s="1702">
        <f t="shared" si="12"/>
        <v>0</v>
      </c>
      <c r="DB46" s="1703">
        <f t="shared" si="13"/>
        <v>0</v>
      </c>
      <c r="DC46" s="1703">
        <f t="shared" si="14"/>
        <v>0</v>
      </c>
      <c r="DD46" s="1703">
        <f t="shared" si="15"/>
        <v>0</v>
      </c>
      <c r="DE46" s="1702">
        <f t="shared" si="16"/>
        <v>0</v>
      </c>
      <c r="DF46" s="1702">
        <f t="shared" si="17"/>
        <v>0</v>
      </c>
      <c r="DG46" s="1702">
        <f t="shared" si="18"/>
        <v>0</v>
      </c>
      <c r="DH46" s="1702">
        <f t="shared" si="19"/>
        <v>0</v>
      </c>
      <c r="DI46" s="1702">
        <f t="shared" si="20"/>
        <v>0</v>
      </c>
      <c r="DJ46" s="1701">
        <f t="shared" si="21"/>
        <v>0</v>
      </c>
      <c r="DK46" s="1705">
        <f t="shared" si="22"/>
        <v>0</v>
      </c>
      <c r="DL46" s="1750">
        <f t="shared" si="23"/>
        <v>17</v>
      </c>
      <c r="DM46" s="1386">
        <f t="shared" si="24"/>
        <v>17</v>
      </c>
      <c r="DN46" s="1386">
        <f t="shared" si="25"/>
        <v>17</v>
      </c>
      <c r="DO46" s="1386">
        <f t="shared" si="26"/>
        <v>17</v>
      </c>
      <c r="DP46" s="1785">
        <f>SUM(DP16,DP23,DP30,DP37,DP44)</f>
        <v>0</v>
      </c>
      <c r="DQ46" s="1783">
        <f>SUM(DQ16,DQ23,DQ30,DQ37,DQ44)</f>
        <v>0</v>
      </c>
      <c r="DR46" s="1783">
        <f>SUM(DR16,DR23,DR30,DR37,DR44)</f>
        <v>0</v>
      </c>
      <c r="DS46" s="1786">
        <f>SUM(DS16,DS23,DS30,DS37,DS44)</f>
        <v>0</v>
      </c>
      <c r="DT46" s="1758"/>
      <c r="DU46" s="1707"/>
    </row>
    <row r="47" spans="1:125" ht="12" customHeight="1">
      <c r="A47" s="1602"/>
      <c r="B47" s="1602"/>
      <c r="C47" s="1602"/>
      <c r="D47" s="1602"/>
      <c r="E47" s="1602"/>
      <c r="F47" s="1602"/>
      <c r="G47" s="1602"/>
      <c r="H47" s="1602"/>
      <c r="I47" s="1602"/>
      <c r="J47" s="1602"/>
      <c r="K47" s="1602"/>
      <c r="L47" s="1602"/>
      <c r="M47" s="1602"/>
      <c r="N47" s="1602"/>
      <c r="O47" s="1602"/>
      <c r="P47" s="1602"/>
      <c r="Q47" s="1602"/>
      <c r="R47" s="1602"/>
      <c r="S47" s="1740"/>
      <c r="T47" s="1602"/>
      <c r="U47" s="1602"/>
      <c r="V47" s="1602"/>
      <c r="W47" s="1602"/>
      <c r="X47" s="1602"/>
      <c r="Y47" s="1602"/>
      <c r="Z47" s="1602"/>
      <c r="AA47" s="1602"/>
      <c r="AB47" s="1602"/>
      <c r="AC47" s="1602"/>
      <c r="AD47" s="1602"/>
      <c r="AE47" s="1602"/>
      <c r="AF47" s="1602"/>
      <c r="AG47" s="1602"/>
      <c r="AH47" s="1602"/>
      <c r="AI47" s="1602"/>
      <c r="AJ47" s="1602"/>
      <c r="AK47" s="1740"/>
      <c r="AL47" s="1602"/>
      <c r="AM47" s="1602"/>
      <c r="AN47" s="1602"/>
      <c r="AO47" s="1602"/>
      <c r="AP47" s="1602"/>
      <c r="AQ47" s="1602"/>
      <c r="AR47" s="1602"/>
      <c r="AS47" s="1602"/>
      <c r="AT47" s="1602"/>
      <c r="AU47" s="1602"/>
      <c r="AV47" s="1602"/>
      <c r="AW47" s="1602"/>
      <c r="AX47" s="1602"/>
      <c r="AY47" s="1602"/>
      <c r="AZ47" s="1602"/>
      <c r="BA47" s="1602"/>
      <c r="BB47" s="1602"/>
      <c r="BC47" s="1740"/>
      <c r="BD47" s="1602"/>
      <c r="BE47" s="1602"/>
      <c r="BF47" s="1602"/>
      <c r="BG47" s="1602"/>
      <c r="BH47" s="1602"/>
      <c r="BI47" s="1602"/>
      <c r="BJ47" s="1602"/>
      <c r="BK47" s="1602"/>
      <c r="BL47" s="1602"/>
      <c r="BM47" s="1602"/>
      <c r="BN47" s="1602"/>
      <c r="BO47" s="1602"/>
      <c r="BP47" s="1602"/>
      <c r="BQ47" s="1602"/>
      <c r="BR47" s="1602"/>
      <c r="BS47" s="1602"/>
      <c r="BT47" s="1602"/>
      <c r="BU47" s="1740"/>
      <c r="BV47" s="1602"/>
      <c r="BW47" s="1602"/>
      <c r="BX47" s="1602"/>
      <c r="BY47" s="1602"/>
      <c r="BZ47" s="1787"/>
      <c r="CA47" s="1787"/>
      <c r="CB47" s="1787"/>
      <c r="CC47" s="1787"/>
      <c r="CD47" s="1707"/>
      <c r="CE47" s="1707"/>
      <c r="CF47" s="1707"/>
      <c r="CG47" s="1707"/>
      <c r="CH47" s="1707"/>
      <c r="CI47" s="1707"/>
      <c r="CJ47" s="1707"/>
      <c r="CK47" s="1707"/>
      <c r="CL47" s="1707"/>
      <c r="CM47" s="1707"/>
      <c r="CN47" s="1707"/>
      <c r="CO47" s="1707"/>
      <c r="CP47" s="1707"/>
      <c r="CQ47" s="1707"/>
      <c r="CR47" s="1707"/>
      <c r="CS47" s="1707"/>
      <c r="CT47" s="1788"/>
      <c r="CU47" s="1707"/>
      <c r="CV47" s="1707"/>
      <c r="CW47" s="1707"/>
      <c r="CX47" s="1707"/>
      <c r="CY47" s="1707"/>
      <c r="CZ47" s="1707"/>
      <c r="DA47" s="1707"/>
      <c r="DB47" s="1707"/>
      <c r="DC47" s="1707"/>
      <c r="DD47" s="1707"/>
      <c r="DE47" s="1707"/>
      <c r="DF47" s="1707"/>
      <c r="DG47" s="1707"/>
      <c r="DH47" s="1707"/>
      <c r="DI47" s="1707"/>
      <c r="DJ47" s="1707"/>
      <c r="DK47" s="1788"/>
      <c r="DL47" s="1707"/>
      <c r="DM47" s="1707"/>
      <c r="DN47" s="1707"/>
      <c r="DO47" s="1707"/>
      <c r="DP47" s="1789"/>
      <c r="DQ47" s="1790"/>
      <c r="DR47" s="1790"/>
      <c r="DS47" s="1791"/>
      <c r="DT47" s="1707"/>
      <c r="DU47" s="1707"/>
    </row>
    <row r="48" spans="1:125" ht="12.75" customHeight="1">
      <c r="A48" s="1494" t="s">
        <v>494</v>
      </c>
      <c r="B48" s="1466"/>
      <c r="C48" s="1466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742"/>
      <c r="T48" s="1466"/>
      <c r="U48" s="1466"/>
      <c r="V48" s="1466"/>
      <c r="W48" s="1466"/>
      <c r="X48" s="1466"/>
      <c r="Y48" s="1466"/>
      <c r="Z48" s="1466"/>
      <c r="AA48" s="1466"/>
      <c r="AB48" s="1466"/>
      <c r="AC48" s="1466"/>
      <c r="AD48" s="1466"/>
      <c r="AE48" s="1466"/>
      <c r="AF48" s="1466"/>
      <c r="AG48" s="1466"/>
      <c r="AH48" s="1466"/>
      <c r="AI48" s="1466"/>
      <c r="AJ48" s="1466"/>
      <c r="AK48" s="1742"/>
      <c r="AL48" s="1466"/>
      <c r="AM48" s="1466"/>
      <c r="AN48" s="1466"/>
      <c r="AO48" s="1466"/>
      <c r="AP48" s="1466"/>
      <c r="AQ48" s="1466"/>
      <c r="AR48" s="1466"/>
      <c r="AS48" s="1466"/>
      <c r="AT48" s="1466"/>
      <c r="AU48" s="1466"/>
      <c r="AV48" s="1466"/>
      <c r="AW48" s="1466"/>
      <c r="AX48" s="1466"/>
      <c r="AY48" s="1466"/>
      <c r="AZ48" s="1466"/>
      <c r="BA48" s="1466"/>
      <c r="BB48" s="1466"/>
      <c r="BC48" s="1742"/>
      <c r="BD48" s="1466"/>
      <c r="BE48" s="1466"/>
      <c r="BF48" s="1466"/>
      <c r="BG48" s="1466"/>
      <c r="BH48" s="1466"/>
      <c r="BI48" s="1466"/>
      <c r="BJ48" s="1466"/>
      <c r="BK48" s="1466"/>
      <c r="BL48" s="1466"/>
      <c r="BM48" s="1466"/>
      <c r="BN48" s="1466"/>
      <c r="BO48" s="1466"/>
      <c r="BP48" s="1466"/>
      <c r="BQ48" s="1466"/>
      <c r="BR48" s="1466"/>
      <c r="BS48" s="1466"/>
      <c r="BT48" s="1466"/>
      <c r="BU48" s="1742"/>
      <c r="BV48" s="1466"/>
      <c r="BW48" s="1466"/>
      <c r="BX48" s="1466"/>
      <c r="BY48" s="1466"/>
      <c r="BZ48" s="1787"/>
      <c r="CA48" s="1787"/>
      <c r="CB48" s="1787"/>
      <c r="CC48" s="1787"/>
      <c r="CD48" s="1707"/>
      <c r="CE48" s="1707"/>
      <c r="CF48" s="1707"/>
      <c r="CG48" s="1707"/>
      <c r="CH48" s="1707"/>
      <c r="CI48" s="1707"/>
      <c r="CJ48" s="1707"/>
      <c r="CK48" s="1707"/>
      <c r="CL48" s="1707"/>
      <c r="CM48" s="1707"/>
      <c r="CN48" s="1707"/>
      <c r="CO48" s="1707"/>
      <c r="CP48" s="1707"/>
      <c r="CQ48" s="1707"/>
      <c r="CR48" s="1707"/>
      <c r="CS48" s="1707"/>
      <c r="CT48" s="1788"/>
      <c r="CU48" s="1707"/>
      <c r="CV48" s="1707"/>
      <c r="CW48" s="1707"/>
      <c r="CX48" s="1707"/>
      <c r="CY48" s="1707"/>
      <c r="CZ48" s="1707"/>
      <c r="DA48" s="1707"/>
      <c r="DB48" s="1707"/>
      <c r="DC48" s="1707"/>
      <c r="DD48" s="1707"/>
      <c r="DE48" s="1707"/>
      <c r="DF48" s="1707"/>
      <c r="DG48" s="1707"/>
      <c r="DH48" s="1707"/>
      <c r="DI48" s="1707"/>
      <c r="DJ48" s="1707"/>
      <c r="DK48" s="1788"/>
      <c r="DL48" s="1707"/>
      <c r="DM48" s="1707"/>
      <c r="DN48" s="1707"/>
      <c r="DO48" s="1707"/>
      <c r="DP48" s="1792"/>
      <c r="DQ48" s="1793"/>
      <c r="DR48" s="1793"/>
      <c r="DS48" s="1794"/>
      <c r="DT48" s="1707"/>
      <c r="DU48" s="1707"/>
    </row>
    <row r="49" spans="1:125" ht="12.75" customHeight="1">
      <c r="A49" s="1745" t="s">
        <v>495</v>
      </c>
      <c r="B49" s="1746"/>
      <c r="C49" s="1746"/>
      <c r="D49" s="1746"/>
      <c r="E49" s="1746"/>
      <c r="F49" s="1746"/>
      <c r="G49" s="1746"/>
      <c r="H49" s="1746"/>
      <c r="I49" s="1746"/>
      <c r="J49" s="1746"/>
      <c r="K49" s="1746"/>
      <c r="L49" s="1746"/>
      <c r="M49" s="1746"/>
      <c r="N49" s="1746"/>
      <c r="O49" s="1746"/>
      <c r="P49" s="1746"/>
      <c r="Q49" s="1746"/>
      <c r="R49" s="1746"/>
      <c r="S49" s="1747"/>
      <c r="T49" s="1746"/>
      <c r="U49" s="1746">
        <f>144</f>
        <v>144</v>
      </c>
      <c r="V49" s="1746"/>
      <c r="W49" s="1746"/>
      <c r="X49" s="1746"/>
      <c r="Y49" s="1746"/>
      <c r="Z49" s="1746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7"/>
      <c r="AL49" s="1746"/>
      <c r="AM49" s="1746"/>
      <c r="AN49" s="1746"/>
      <c r="AO49" s="1746">
        <v>3</v>
      </c>
      <c r="AP49" s="1746"/>
      <c r="AQ49" s="1746"/>
      <c r="AR49" s="1746"/>
      <c r="AS49" s="1746"/>
      <c r="AT49" s="1746"/>
      <c r="AU49" s="1746"/>
      <c r="AV49" s="1746"/>
      <c r="AW49" s="1746"/>
      <c r="AX49" s="1746"/>
      <c r="AY49" s="1746"/>
      <c r="AZ49" s="1746"/>
      <c r="BA49" s="1746"/>
      <c r="BB49" s="1746"/>
      <c r="BC49" s="1747"/>
      <c r="BD49" s="1746"/>
      <c r="BE49" s="1746">
        <v>300</v>
      </c>
      <c r="BF49" s="1746"/>
      <c r="BG49" s="1746">
        <v>30</v>
      </c>
      <c r="BH49" s="1746"/>
      <c r="BI49" s="1746"/>
      <c r="BJ49" s="1746"/>
      <c r="BK49" s="1746"/>
      <c r="BL49" s="1746"/>
      <c r="BM49" s="1746"/>
      <c r="BN49" s="1746"/>
      <c r="BO49" s="1746"/>
      <c r="BP49" s="1746"/>
      <c r="BQ49" s="1746"/>
      <c r="BR49" s="1746"/>
      <c r="BS49" s="1746"/>
      <c r="BT49" s="1746"/>
      <c r="BU49" s="1747"/>
      <c r="BV49" s="1746"/>
      <c r="BW49" s="1746"/>
      <c r="BX49" s="1746"/>
      <c r="BY49" s="1746"/>
      <c r="BZ49" s="1748" t="str">
        <f t="shared" ref="BZ49:BZ85" si="81">IF(DL49&lt;3,"",(SUM(B49:R49)-MIN(B49:R49)-MAX(B49:R49))/(DL49-2))</f>
        <v/>
      </c>
      <c r="CA49" s="1748" t="str">
        <f t="shared" ref="CA49:CA85" si="82">IF(DM49&lt;3,"",(SUM(T49:AJ49)-MIN(T49:AJ49)-MAX(T49:AJ49))/(DM49-2))</f>
        <v/>
      </c>
      <c r="CB49" s="1748" t="str">
        <f t="shared" ref="CB49:CB85" si="83">IF(DN49&lt;3,"",(SUM(AL49:BB49)-MIN(AL49:BB49)-MAX(AL49:BB49))/(DN49-2))</f>
        <v/>
      </c>
      <c r="CC49" s="1749" t="str">
        <f t="shared" ref="CC49:CC85" si="84">IF(DO49&lt;3,"",(SUM(BD49:BT49)-MIN(BD49:BT49)-MAX(BD49:BT49))/(DO49-2))</f>
        <v/>
      </c>
      <c r="CD49" s="168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84" t="str">
        <f t="shared" si="85"/>
        <v/>
      </c>
      <c r="CF49" s="1685" t="str">
        <f t="shared" si="85"/>
        <v/>
      </c>
      <c r="CG49" s="1685" t="str">
        <f t="shared" si="85"/>
        <v/>
      </c>
      <c r="CH49" s="1685" t="str">
        <f t="shared" si="85"/>
        <v/>
      </c>
      <c r="CI49" s="1685" t="str">
        <f t="shared" si="85"/>
        <v/>
      </c>
      <c r="CJ49" s="1685" t="str">
        <f t="shared" si="85"/>
        <v/>
      </c>
      <c r="CK49" s="1686" t="str">
        <f t="shared" si="85"/>
        <v/>
      </c>
      <c r="CL49" s="1686">
        <f t="shared" si="85"/>
        <v>30</v>
      </c>
      <c r="CM49" s="1686">
        <f t="shared" si="85"/>
        <v>300</v>
      </c>
      <c r="CN49" s="1685" t="str">
        <f t="shared" si="85"/>
        <v/>
      </c>
      <c r="CO49" s="1685" t="str">
        <f t="shared" si="85"/>
        <v/>
      </c>
      <c r="CP49" s="1685" t="str">
        <f t="shared" si="85"/>
        <v/>
      </c>
      <c r="CQ49" s="1685" t="str">
        <f t="shared" si="85"/>
        <v/>
      </c>
      <c r="CR49" s="1685" t="str">
        <f t="shared" si="85"/>
        <v/>
      </c>
      <c r="CS49" s="1684" t="str">
        <f t="shared" si="85"/>
        <v/>
      </c>
      <c r="CT49" s="168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9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9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9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9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9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9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9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9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99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699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69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9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9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9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9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9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9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50">
        <f t="shared" ref="DL49:DL85" si="104">COUNT(B49:R49)</f>
        <v>0</v>
      </c>
      <c r="DM49" s="1386">
        <f t="shared" ref="DM49:DM85" si="105">COUNT(T49:AJ49)</f>
        <v>1</v>
      </c>
      <c r="DN49" s="1386">
        <f t="shared" ref="DN49:DN85" si="106">COUNT(AL49:BB49)</f>
        <v>1</v>
      </c>
      <c r="DO49" s="1386">
        <f t="shared" ref="DO49:DO85" si="107">COUNT(BD49:BT49)</f>
        <v>2</v>
      </c>
      <c r="DP49" s="1777" t="str">
        <f>IF(SUM(BV49)&gt;0,BV49*'Exp factors'!C$21,"")</f>
        <v/>
      </c>
      <c r="DQ49" s="1452" t="str">
        <f>IF(SUM(BW49)&gt;0,BW49*'Exp factors'!D$21,"")</f>
        <v/>
      </c>
      <c r="DR49" s="1452" t="str">
        <f>IF(SUM(BX49)&gt;0,BX49*'Exp factors'!E$21,"")</f>
        <v/>
      </c>
      <c r="DS49" s="1778" t="str">
        <f>IF(SUM(BY49)&gt;0,BY49*'Exp factors'!F$21,"")</f>
        <v/>
      </c>
      <c r="DT49" s="1758"/>
      <c r="DU49" s="1707"/>
    </row>
    <row r="50" spans="1:125" ht="12.75" customHeight="1">
      <c r="A50" s="1344" t="s">
        <v>260</v>
      </c>
      <c r="B50" s="1795">
        <f t="shared" ref="B50:R50" si="108">950*4.1868</f>
        <v>3977.46</v>
      </c>
      <c r="C50" s="1795">
        <f t="shared" si="108"/>
        <v>3977.46</v>
      </c>
      <c r="D50" s="1795">
        <f t="shared" si="108"/>
        <v>3977.46</v>
      </c>
      <c r="E50" s="1795">
        <f t="shared" si="108"/>
        <v>3977.46</v>
      </c>
      <c r="F50" s="1795">
        <f t="shared" si="108"/>
        <v>3977.46</v>
      </c>
      <c r="G50" s="1795">
        <f t="shared" si="108"/>
        <v>3977.46</v>
      </c>
      <c r="H50" s="1795">
        <f t="shared" si="108"/>
        <v>3977.46</v>
      </c>
      <c r="I50" s="1795">
        <f t="shared" si="108"/>
        <v>3977.46</v>
      </c>
      <c r="J50" s="1795">
        <f t="shared" si="108"/>
        <v>3977.46</v>
      </c>
      <c r="K50" s="1795">
        <f t="shared" si="108"/>
        <v>3977.46</v>
      </c>
      <c r="L50" s="1795">
        <f t="shared" si="108"/>
        <v>3977.46</v>
      </c>
      <c r="M50" s="1795">
        <f t="shared" si="108"/>
        <v>3977.46</v>
      </c>
      <c r="N50" s="1795">
        <f t="shared" si="108"/>
        <v>3977.46</v>
      </c>
      <c r="O50" s="1795">
        <f t="shared" si="108"/>
        <v>3977.46</v>
      </c>
      <c r="P50" s="1795">
        <f t="shared" si="108"/>
        <v>3977.46</v>
      </c>
      <c r="Q50" s="1795">
        <f t="shared" si="108"/>
        <v>3977.46</v>
      </c>
      <c r="R50" s="1795">
        <f t="shared" si="108"/>
        <v>3977.46</v>
      </c>
      <c r="S50" s="1755"/>
      <c r="T50" s="1795">
        <f t="shared" ref="T50:AJ50" si="109">950*4.1868</f>
        <v>3977.46</v>
      </c>
      <c r="U50" s="1795">
        <f t="shared" si="109"/>
        <v>3977.46</v>
      </c>
      <c r="V50" s="1795">
        <f t="shared" si="109"/>
        <v>3977.46</v>
      </c>
      <c r="W50" s="1795">
        <f t="shared" si="109"/>
        <v>3977.46</v>
      </c>
      <c r="X50" s="1795">
        <f t="shared" si="109"/>
        <v>3977.46</v>
      </c>
      <c r="Y50" s="1795">
        <f t="shared" si="109"/>
        <v>3977.46</v>
      </c>
      <c r="Z50" s="1795">
        <f t="shared" si="109"/>
        <v>3977.46</v>
      </c>
      <c r="AA50" s="1795">
        <f t="shared" si="109"/>
        <v>3977.46</v>
      </c>
      <c r="AB50" s="1795">
        <f t="shared" si="109"/>
        <v>3977.46</v>
      </c>
      <c r="AC50" s="1795">
        <f t="shared" si="109"/>
        <v>3977.46</v>
      </c>
      <c r="AD50" s="1795">
        <f t="shared" si="109"/>
        <v>3977.46</v>
      </c>
      <c r="AE50" s="1795">
        <f t="shared" si="109"/>
        <v>3977.46</v>
      </c>
      <c r="AF50" s="1795">
        <f t="shared" si="109"/>
        <v>3977.46</v>
      </c>
      <c r="AG50" s="1795">
        <f t="shared" si="109"/>
        <v>3977.46</v>
      </c>
      <c r="AH50" s="1795">
        <f t="shared" si="109"/>
        <v>3977.46</v>
      </c>
      <c r="AI50" s="1795">
        <f t="shared" si="109"/>
        <v>3977.46</v>
      </c>
      <c r="AJ50" s="1795">
        <f t="shared" si="109"/>
        <v>3977.46</v>
      </c>
      <c r="AK50" s="1755"/>
      <c r="AL50" s="1795">
        <f t="shared" ref="AL50:BB50" si="110">950*4.1868</f>
        <v>3977.46</v>
      </c>
      <c r="AM50" s="1795">
        <f t="shared" si="110"/>
        <v>3977.46</v>
      </c>
      <c r="AN50" s="1795">
        <f t="shared" si="110"/>
        <v>3977.46</v>
      </c>
      <c r="AO50" s="1795">
        <f t="shared" si="110"/>
        <v>3977.46</v>
      </c>
      <c r="AP50" s="1795">
        <f t="shared" si="110"/>
        <v>3977.46</v>
      </c>
      <c r="AQ50" s="1795">
        <f t="shared" si="110"/>
        <v>3977.46</v>
      </c>
      <c r="AR50" s="1795">
        <f t="shared" si="110"/>
        <v>3977.46</v>
      </c>
      <c r="AS50" s="1795">
        <f t="shared" si="110"/>
        <v>3977.46</v>
      </c>
      <c r="AT50" s="1795">
        <f t="shared" si="110"/>
        <v>3977.46</v>
      </c>
      <c r="AU50" s="1795">
        <f t="shared" si="110"/>
        <v>3977.46</v>
      </c>
      <c r="AV50" s="1795">
        <f t="shared" si="110"/>
        <v>3977.46</v>
      </c>
      <c r="AW50" s="1795">
        <f t="shared" si="110"/>
        <v>3977.46</v>
      </c>
      <c r="AX50" s="1795">
        <f t="shared" si="110"/>
        <v>3977.46</v>
      </c>
      <c r="AY50" s="1795">
        <f t="shared" si="110"/>
        <v>3977.46</v>
      </c>
      <c r="AZ50" s="1795">
        <f t="shared" si="110"/>
        <v>3977.46</v>
      </c>
      <c r="BA50" s="1795">
        <f t="shared" si="110"/>
        <v>3977.46</v>
      </c>
      <c r="BB50" s="1795">
        <f t="shared" si="110"/>
        <v>3977.46</v>
      </c>
      <c r="BC50" s="1755"/>
      <c r="BD50" s="1795">
        <f t="shared" ref="BD50:BT50" si="111">950*4.1868</f>
        <v>3977.46</v>
      </c>
      <c r="BE50" s="1795">
        <f t="shared" si="111"/>
        <v>3977.46</v>
      </c>
      <c r="BF50" s="1795">
        <f t="shared" si="111"/>
        <v>3977.46</v>
      </c>
      <c r="BG50" s="1795">
        <f t="shared" si="111"/>
        <v>3977.46</v>
      </c>
      <c r="BH50" s="1795">
        <f t="shared" si="111"/>
        <v>3977.46</v>
      </c>
      <c r="BI50" s="1795">
        <f t="shared" si="111"/>
        <v>3977.46</v>
      </c>
      <c r="BJ50" s="1795">
        <f t="shared" si="111"/>
        <v>3977.46</v>
      </c>
      <c r="BK50" s="1795">
        <f t="shared" si="111"/>
        <v>3977.46</v>
      </c>
      <c r="BL50" s="1795">
        <f t="shared" si="111"/>
        <v>3977.46</v>
      </c>
      <c r="BM50" s="1795">
        <f t="shared" si="111"/>
        <v>3977.46</v>
      </c>
      <c r="BN50" s="1795">
        <f t="shared" si="111"/>
        <v>3977.46</v>
      </c>
      <c r="BO50" s="1795">
        <f t="shared" si="111"/>
        <v>3977.46</v>
      </c>
      <c r="BP50" s="1795">
        <f t="shared" si="111"/>
        <v>3977.46</v>
      </c>
      <c r="BQ50" s="1795">
        <f t="shared" si="111"/>
        <v>3977.46</v>
      </c>
      <c r="BR50" s="1795">
        <f t="shared" si="111"/>
        <v>3977.46</v>
      </c>
      <c r="BS50" s="1795">
        <f t="shared" si="111"/>
        <v>3977.46</v>
      </c>
      <c r="BT50" s="1795">
        <f t="shared" si="111"/>
        <v>3977.46</v>
      </c>
      <c r="BU50" s="1755"/>
      <c r="BV50" s="1795">
        <f>950*4.1868</f>
        <v>3977.46</v>
      </c>
      <c r="BW50" s="1795">
        <f>950*4.1868</f>
        <v>3977.46</v>
      </c>
      <c r="BX50" s="1795">
        <f>950*4.1868</f>
        <v>3977.46</v>
      </c>
      <c r="BY50" s="1795">
        <f>950*4.1868</f>
        <v>3977.46</v>
      </c>
      <c r="BZ50" s="1748">
        <f t="shared" si="81"/>
        <v>3977.4599999999996</v>
      </c>
      <c r="CA50" s="1748">
        <f t="shared" si="82"/>
        <v>3977.4599999999996</v>
      </c>
      <c r="CB50" s="1748">
        <f t="shared" si="83"/>
        <v>3977.4599999999996</v>
      </c>
      <c r="CC50" s="1749">
        <f t="shared" si="84"/>
        <v>3977.4599999999996</v>
      </c>
      <c r="CD50" s="1683">
        <f t="shared" si="86"/>
        <v>3977.46</v>
      </c>
      <c r="CE50" s="1684">
        <f t="shared" si="86"/>
        <v>3977.46</v>
      </c>
      <c r="CF50" s="1685">
        <f t="shared" si="86"/>
        <v>3977.46</v>
      </c>
      <c r="CG50" s="1685">
        <f t="shared" si="86"/>
        <v>3977.46</v>
      </c>
      <c r="CH50" s="1685">
        <f t="shared" si="86"/>
        <v>3977.46</v>
      </c>
      <c r="CI50" s="1685">
        <f t="shared" si="86"/>
        <v>3977.46</v>
      </c>
      <c r="CJ50" s="1685">
        <f t="shared" si="86"/>
        <v>3977.46</v>
      </c>
      <c r="CK50" s="1686">
        <f t="shared" si="86"/>
        <v>3977.46</v>
      </c>
      <c r="CL50" s="1686">
        <f t="shared" si="86"/>
        <v>3977.46</v>
      </c>
      <c r="CM50" s="1686">
        <f t="shared" si="86"/>
        <v>3977.46</v>
      </c>
      <c r="CN50" s="1685">
        <f t="shared" si="86"/>
        <v>3977.46</v>
      </c>
      <c r="CO50" s="1685">
        <f t="shared" si="86"/>
        <v>3977.46</v>
      </c>
      <c r="CP50" s="1685">
        <f t="shared" si="86"/>
        <v>3977.46</v>
      </c>
      <c r="CQ50" s="1685">
        <f t="shared" si="86"/>
        <v>3977.46</v>
      </c>
      <c r="CR50" s="1685">
        <f t="shared" si="86"/>
        <v>3977.46</v>
      </c>
      <c r="CS50" s="1684">
        <f t="shared" si="86"/>
        <v>3977.46</v>
      </c>
      <c r="CT50" s="1687">
        <f t="shared" si="86"/>
        <v>3977.46</v>
      </c>
      <c r="CU50" s="1696">
        <f t="shared" si="87"/>
        <v>3977.46</v>
      </c>
      <c r="CV50" s="1697">
        <f t="shared" si="88"/>
        <v>3977.46</v>
      </c>
      <c r="CW50" s="1698">
        <f t="shared" si="89"/>
        <v>3977.46</v>
      </c>
      <c r="CX50" s="1698">
        <f t="shared" si="90"/>
        <v>3977.46</v>
      </c>
      <c r="CY50" s="1698">
        <f t="shared" si="91"/>
        <v>3977.46</v>
      </c>
      <c r="CZ50" s="1698">
        <f t="shared" si="92"/>
        <v>3977.46</v>
      </c>
      <c r="DA50" s="1698">
        <f t="shared" si="93"/>
        <v>3977.46</v>
      </c>
      <c r="DB50" s="1699">
        <f t="shared" si="94"/>
        <v>3977.46</v>
      </c>
      <c r="DC50" s="1699">
        <f t="shared" si="95"/>
        <v>3977.46</v>
      </c>
      <c r="DD50" s="1699">
        <f t="shared" si="96"/>
        <v>3977.46</v>
      </c>
      <c r="DE50" s="1698">
        <f t="shared" si="97"/>
        <v>3977.46</v>
      </c>
      <c r="DF50" s="1698">
        <f t="shared" si="98"/>
        <v>3977.46</v>
      </c>
      <c r="DG50" s="1698">
        <f t="shared" si="99"/>
        <v>3977.46</v>
      </c>
      <c r="DH50" s="1698">
        <f t="shared" si="100"/>
        <v>3977.46</v>
      </c>
      <c r="DI50" s="1698">
        <f t="shared" si="101"/>
        <v>3977.46</v>
      </c>
      <c r="DJ50" s="1697">
        <f t="shared" si="102"/>
        <v>3977.46</v>
      </c>
      <c r="DK50" s="1696">
        <f t="shared" si="103"/>
        <v>3977.46</v>
      </c>
      <c r="DL50" s="1750">
        <f t="shared" si="104"/>
        <v>17</v>
      </c>
      <c r="DM50" s="1386">
        <f t="shared" si="105"/>
        <v>17</v>
      </c>
      <c r="DN50" s="1386">
        <f t="shared" si="106"/>
        <v>17</v>
      </c>
      <c r="DO50" s="1386">
        <f t="shared" si="107"/>
        <v>17</v>
      </c>
      <c r="DP50" s="1756"/>
      <c r="DQ50" s="1427"/>
      <c r="DR50" s="1427"/>
      <c r="DS50" s="1757"/>
      <c r="DT50" s="1758"/>
      <c r="DU50" s="1707"/>
    </row>
    <row r="51" spans="1:125" ht="12.75" customHeight="1">
      <c r="A51" s="1732" t="s">
        <v>257</v>
      </c>
      <c r="B51" s="1759"/>
      <c r="C51" s="1759"/>
      <c r="D51" s="1759"/>
      <c r="E51" s="1759"/>
      <c r="F51" s="1759"/>
      <c r="G51" s="1759"/>
      <c r="H51" s="1759"/>
      <c r="I51" s="1759"/>
      <c r="J51" s="1759"/>
      <c r="K51" s="1759"/>
      <c r="L51" s="1759"/>
      <c r="M51" s="1759"/>
      <c r="N51" s="1759"/>
      <c r="O51" s="1759"/>
      <c r="P51" s="1759"/>
      <c r="Q51" s="1759"/>
      <c r="R51" s="1759"/>
      <c r="S51" s="1755"/>
      <c r="T51" s="1759"/>
      <c r="U51" s="1759">
        <v>48</v>
      </c>
      <c r="V51" s="1759"/>
      <c r="W51" s="1759"/>
      <c r="X51" s="1759"/>
      <c r="Y51" s="1759"/>
      <c r="Z51" s="1759"/>
      <c r="AA51" s="1759"/>
      <c r="AB51" s="1759"/>
      <c r="AC51" s="1759"/>
      <c r="AD51" s="1759"/>
      <c r="AE51" s="1759"/>
      <c r="AF51" s="1759"/>
      <c r="AG51" s="1759"/>
      <c r="AH51" s="1759"/>
      <c r="AI51" s="1759"/>
      <c r="AJ51" s="1759"/>
      <c r="AK51" s="1755"/>
      <c r="AL51" s="1759"/>
      <c r="AM51" s="1759"/>
      <c r="AN51" s="1759"/>
      <c r="AO51" s="1759">
        <v>0</v>
      </c>
      <c r="AP51" s="1759"/>
      <c r="AQ51" s="1759"/>
      <c r="AR51" s="1759"/>
      <c r="AS51" s="1759"/>
      <c r="AT51" s="1759"/>
      <c r="AU51" s="1759"/>
      <c r="AV51" s="1759"/>
      <c r="AW51" s="1759"/>
      <c r="AX51" s="1759"/>
      <c r="AY51" s="1759"/>
      <c r="AZ51" s="1759"/>
      <c r="BA51" s="1759"/>
      <c r="BB51" s="1759"/>
      <c r="BC51" s="1755"/>
      <c r="BD51" s="1759"/>
      <c r="BE51" s="1759">
        <v>200</v>
      </c>
      <c r="BF51" s="1759"/>
      <c r="BG51" s="1759">
        <v>15</v>
      </c>
      <c r="BH51" s="1759"/>
      <c r="BI51" s="1759"/>
      <c r="BJ51" s="1759"/>
      <c r="BK51" s="1759"/>
      <c r="BL51" s="1759"/>
      <c r="BM51" s="1759"/>
      <c r="BN51" s="1759"/>
      <c r="BO51" s="1759"/>
      <c r="BP51" s="1759"/>
      <c r="BQ51" s="1759"/>
      <c r="BR51" s="1759"/>
      <c r="BS51" s="1759"/>
      <c r="BT51" s="1759"/>
      <c r="BU51" s="1755"/>
      <c r="BV51" s="1759"/>
      <c r="BW51" s="1759"/>
      <c r="BX51" s="1759"/>
      <c r="BY51" s="1759"/>
      <c r="BZ51" s="1748" t="str">
        <f t="shared" si="81"/>
        <v/>
      </c>
      <c r="CA51" s="1748" t="str">
        <f t="shared" si="82"/>
        <v/>
      </c>
      <c r="CB51" s="1748" t="str">
        <f t="shared" si="83"/>
        <v/>
      </c>
      <c r="CC51" s="1749" t="str">
        <f t="shared" si="84"/>
        <v/>
      </c>
      <c r="CD51" s="1683" t="str">
        <f t="shared" si="86"/>
        <v/>
      </c>
      <c r="CE51" s="1684" t="str">
        <f t="shared" si="86"/>
        <v/>
      </c>
      <c r="CF51" s="1685" t="str">
        <f t="shared" si="86"/>
        <v/>
      </c>
      <c r="CG51" s="1685" t="str">
        <f t="shared" si="86"/>
        <v/>
      </c>
      <c r="CH51" s="1685" t="str">
        <f t="shared" si="86"/>
        <v/>
      </c>
      <c r="CI51" s="1685" t="str">
        <f t="shared" si="86"/>
        <v/>
      </c>
      <c r="CJ51" s="1685" t="str">
        <f t="shared" si="86"/>
        <v/>
      </c>
      <c r="CK51" s="1686" t="str">
        <f t="shared" si="86"/>
        <v/>
      </c>
      <c r="CL51" s="1686">
        <f t="shared" si="86"/>
        <v>15</v>
      </c>
      <c r="CM51" s="1686">
        <f t="shared" si="86"/>
        <v>200</v>
      </c>
      <c r="CN51" s="1685" t="str">
        <f t="shared" si="86"/>
        <v/>
      </c>
      <c r="CO51" s="1685" t="str">
        <f t="shared" si="86"/>
        <v/>
      </c>
      <c r="CP51" s="1685" t="str">
        <f t="shared" si="86"/>
        <v/>
      </c>
      <c r="CQ51" s="1685" t="str">
        <f t="shared" si="86"/>
        <v/>
      </c>
      <c r="CR51" s="1685" t="str">
        <f t="shared" si="86"/>
        <v/>
      </c>
      <c r="CS51" s="1684" t="str">
        <f t="shared" si="86"/>
        <v/>
      </c>
      <c r="CT51" s="1687" t="str">
        <f t="shared" si="86"/>
        <v/>
      </c>
      <c r="CU51" s="1696" t="str">
        <f t="shared" si="87"/>
        <v/>
      </c>
      <c r="CV51" s="1697" t="str">
        <f t="shared" si="88"/>
        <v/>
      </c>
      <c r="CW51" s="1698" t="str">
        <f t="shared" si="89"/>
        <v/>
      </c>
      <c r="CX51" s="1698" t="str">
        <f t="shared" si="90"/>
        <v/>
      </c>
      <c r="CY51" s="1698" t="str">
        <f t="shared" si="91"/>
        <v/>
      </c>
      <c r="CZ51" s="1698" t="str">
        <f t="shared" si="92"/>
        <v/>
      </c>
      <c r="DA51" s="1698" t="str">
        <f t="shared" si="93"/>
        <v/>
      </c>
      <c r="DB51" s="1699" t="str">
        <f t="shared" si="94"/>
        <v/>
      </c>
      <c r="DC51" s="1699">
        <f t="shared" si="95"/>
        <v>15</v>
      </c>
      <c r="DD51" s="1699">
        <f t="shared" si="96"/>
        <v>200</v>
      </c>
      <c r="DE51" s="1698" t="str">
        <f t="shared" si="97"/>
        <v/>
      </c>
      <c r="DF51" s="1698" t="str">
        <f t="shared" si="98"/>
        <v/>
      </c>
      <c r="DG51" s="1698" t="str">
        <f t="shared" si="99"/>
        <v/>
      </c>
      <c r="DH51" s="1698" t="str">
        <f t="shared" si="100"/>
        <v/>
      </c>
      <c r="DI51" s="1698" t="str">
        <f t="shared" si="101"/>
        <v/>
      </c>
      <c r="DJ51" s="1697" t="str">
        <f t="shared" si="102"/>
        <v/>
      </c>
      <c r="DK51" s="1696" t="str">
        <f t="shared" si="103"/>
        <v/>
      </c>
      <c r="DL51" s="1750">
        <f t="shared" si="104"/>
        <v>0</v>
      </c>
      <c r="DM51" s="1386">
        <f t="shared" si="105"/>
        <v>1</v>
      </c>
      <c r="DN51" s="1386">
        <f t="shared" si="106"/>
        <v>1</v>
      </c>
      <c r="DO51" s="1386">
        <f t="shared" si="107"/>
        <v>2</v>
      </c>
      <c r="DP51" s="1760" t="str">
        <f>IF(SUM(BV51)&gt;0,(BV49-DP54-SUM(BV54)*(DP54=""))*'Exp factors'!C$21,"")</f>
        <v/>
      </c>
      <c r="DQ51" s="1497" t="str">
        <f>IF(SUM(BW51)&gt;0,(BW49-DQ54-SUM(BW54)*(DQ54=""))*'Exp factors'!D$21,"")</f>
        <v/>
      </c>
      <c r="DR51" s="1497" t="str">
        <f>IF(SUM(BX51)&gt;0,(BX49-DR54-SUM(BX54)*(DR54=""))*'Exp factors'!E$21,"")</f>
        <v/>
      </c>
      <c r="DS51" s="1761" t="str">
        <f>IF(SUM(BY51)&gt;0,(BY49-DS54-SUM(BY54)*(DS54=""))*'Exp factors'!F$21,"")</f>
        <v/>
      </c>
      <c r="DT51" s="1758"/>
      <c r="DU51" s="1707"/>
    </row>
    <row r="52" spans="1:125" ht="12.75" customHeight="1">
      <c r="A52" s="1762" t="s">
        <v>181</v>
      </c>
      <c r="B52" s="1763"/>
      <c r="C52" s="1763"/>
      <c r="D52" s="1763"/>
      <c r="E52" s="1763"/>
      <c r="F52" s="1763"/>
      <c r="G52" s="1763"/>
      <c r="H52" s="1763"/>
      <c r="I52" s="1763"/>
      <c r="J52" s="1763"/>
      <c r="K52" s="1763"/>
      <c r="L52" s="1763"/>
      <c r="M52" s="1763"/>
      <c r="N52" s="1763"/>
      <c r="O52" s="1763"/>
      <c r="P52" s="1763"/>
      <c r="Q52" s="1763"/>
      <c r="R52" s="1763"/>
      <c r="S52" s="1755"/>
      <c r="T52" s="1763"/>
      <c r="U52" s="1763">
        <f>960/48</f>
        <v>20</v>
      </c>
      <c r="V52" s="1763"/>
      <c r="W52" s="1763"/>
      <c r="X52" s="1763"/>
      <c r="Y52" s="1763"/>
      <c r="Z52" s="1763"/>
      <c r="AA52" s="1763"/>
      <c r="AB52" s="1763"/>
      <c r="AC52" s="1763"/>
      <c r="AD52" s="1763"/>
      <c r="AE52" s="1763"/>
      <c r="AF52" s="1763"/>
      <c r="AG52" s="1763"/>
      <c r="AH52" s="1763"/>
      <c r="AI52" s="1763"/>
      <c r="AJ52" s="1763"/>
      <c r="AK52" s="1755"/>
      <c r="AL52" s="1763"/>
      <c r="AM52" s="1763"/>
      <c r="AN52" s="1763"/>
      <c r="AO52" s="1763"/>
      <c r="AP52" s="1763"/>
      <c r="AQ52" s="1763"/>
      <c r="AR52" s="1763"/>
      <c r="AS52" s="1763"/>
      <c r="AT52" s="1763"/>
      <c r="AU52" s="1763"/>
      <c r="AV52" s="1763"/>
      <c r="AW52" s="1763"/>
      <c r="AX52" s="1763"/>
      <c r="AY52" s="1763"/>
      <c r="AZ52" s="1763"/>
      <c r="BA52" s="1763"/>
      <c r="BB52" s="1763"/>
      <c r="BC52" s="1755"/>
      <c r="BD52" s="1763"/>
      <c r="BE52" s="1763">
        <v>10</v>
      </c>
      <c r="BF52" s="1763"/>
      <c r="BG52" s="1763">
        <v>6.75</v>
      </c>
      <c r="BH52" s="1763"/>
      <c r="BI52" s="1763"/>
      <c r="BJ52" s="1763"/>
      <c r="BK52" s="1763"/>
      <c r="BL52" s="1763"/>
      <c r="BM52" s="1763"/>
      <c r="BN52" s="1763"/>
      <c r="BO52" s="1763"/>
      <c r="BP52" s="1763"/>
      <c r="BQ52" s="1763"/>
      <c r="BR52" s="1763"/>
      <c r="BS52" s="1763"/>
      <c r="BT52" s="1763"/>
      <c r="BU52" s="1755"/>
      <c r="BV52" s="1763"/>
      <c r="BW52" s="1763"/>
      <c r="BX52" s="1763"/>
      <c r="BY52" s="1763"/>
      <c r="BZ52" s="1748" t="str">
        <f t="shared" si="81"/>
        <v/>
      </c>
      <c r="CA52" s="1748" t="str">
        <f t="shared" si="82"/>
        <v/>
      </c>
      <c r="CB52" s="1748" t="str">
        <f t="shared" si="83"/>
        <v/>
      </c>
      <c r="CC52" s="1749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 t="str">
        <f t="shared" si="86"/>
        <v/>
      </c>
      <c r="CL52" s="1686">
        <f t="shared" si="86"/>
        <v>6.75</v>
      </c>
      <c r="CM52" s="1686">
        <f t="shared" si="86"/>
        <v>10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1696" t="str">
        <f t="shared" si="87"/>
        <v/>
      </c>
      <c r="CV52" s="1697" t="str">
        <f t="shared" si="88"/>
        <v/>
      </c>
      <c r="CW52" s="1698" t="str">
        <f t="shared" si="89"/>
        <v/>
      </c>
      <c r="CX52" s="1698" t="str">
        <f t="shared" si="90"/>
        <v/>
      </c>
      <c r="CY52" s="1698" t="str">
        <f t="shared" si="91"/>
        <v/>
      </c>
      <c r="CZ52" s="1698" t="str">
        <f t="shared" si="92"/>
        <v/>
      </c>
      <c r="DA52" s="1698" t="str">
        <f t="shared" si="93"/>
        <v/>
      </c>
      <c r="DB52" s="1699" t="str">
        <f t="shared" si="94"/>
        <v/>
      </c>
      <c r="DC52" s="1699">
        <f t="shared" si="95"/>
        <v>6.75</v>
      </c>
      <c r="DD52" s="1699">
        <f t="shared" si="96"/>
        <v>10</v>
      </c>
      <c r="DE52" s="1698" t="str">
        <f t="shared" si="97"/>
        <v/>
      </c>
      <c r="DF52" s="1698" t="str">
        <f t="shared" si="98"/>
        <v/>
      </c>
      <c r="DG52" s="1698" t="str">
        <f t="shared" si="99"/>
        <v/>
      </c>
      <c r="DH52" s="1698" t="str">
        <f t="shared" si="100"/>
        <v/>
      </c>
      <c r="DI52" s="1698" t="str">
        <f t="shared" si="101"/>
        <v/>
      </c>
      <c r="DJ52" s="1697" t="str">
        <f t="shared" si="102"/>
        <v/>
      </c>
      <c r="DK52" s="1696" t="str">
        <f t="shared" si="103"/>
        <v/>
      </c>
      <c r="DL52" s="1750">
        <f t="shared" si="104"/>
        <v>0</v>
      </c>
      <c r="DM52" s="1386">
        <f t="shared" si="105"/>
        <v>1</v>
      </c>
      <c r="DN52" s="1386">
        <f t="shared" si="106"/>
        <v>0</v>
      </c>
      <c r="DO52" s="1386">
        <f t="shared" si="107"/>
        <v>2</v>
      </c>
      <c r="DP52" s="1756"/>
      <c r="DQ52" s="1427"/>
      <c r="DR52" s="1427"/>
      <c r="DS52" s="1757"/>
      <c r="DT52" s="1758"/>
      <c r="DU52" s="1707"/>
    </row>
    <row r="53" spans="1:125" ht="12.75" customHeight="1">
      <c r="A53" s="1762" t="s">
        <v>183</v>
      </c>
      <c r="B53" s="1355" t="str">
        <f t="shared" ref="B53:R53" si="112">IF(B51="","",B51*B52)</f>
        <v/>
      </c>
      <c r="C53" s="1355" t="str">
        <f t="shared" si="112"/>
        <v/>
      </c>
      <c r="D53" s="1355" t="str">
        <f t="shared" si="112"/>
        <v/>
      </c>
      <c r="E53" s="1355" t="str">
        <f t="shared" si="112"/>
        <v/>
      </c>
      <c r="F53" s="1355" t="str">
        <f t="shared" si="112"/>
        <v/>
      </c>
      <c r="G53" s="1355" t="str">
        <f t="shared" si="112"/>
        <v/>
      </c>
      <c r="H53" s="1355" t="str">
        <f t="shared" si="112"/>
        <v/>
      </c>
      <c r="I53" s="1355" t="str">
        <f t="shared" si="112"/>
        <v/>
      </c>
      <c r="J53" s="1355" t="str">
        <f t="shared" si="112"/>
        <v/>
      </c>
      <c r="K53" s="1355" t="str">
        <f t="shared" si="112"/>
        <v/>
      </c>
      <c r="L53" s="1355" t="str">
        <f t="shared" si="112"/>
        <v/>
      </c>
      <c r="M53" s="1355" t="str">
        <f t="shared" si="112"/>
        <v/>
      </c>
      <c r="N53" s="1355" t="str">
        <f t="shared" si="112"/>
        <v/>
      </c>
      <c r="O53" s="1355" t="str">
        <f t="shared" si="112"/>
        <v/>
      </c>
      <c r="P53" s="1355" t="str">
        <f t="shared" si="112"/>
        <v/>
      </c>
      <c r="Q53" s="1355" t="str">
        <f t="shared" si="112"/>
        <v/>
      </c>
      <c r="R53" s="1355" t="str">
        <f t="shared" si="112"/>
        <v/>
      </c>
      <c r="S53" s="1765"/>
      <c r="T53" s="1355" t="str">
        <f t="shared" ref="T53:AJ53" si="113">IF(T51="","",T51*T52)</f>
        <v/>
      </c>
      <c r="U53" s="1355">
        <f t="shared" si="113"/>
        <v>960</v>
      </c>
      <c r="V53" s="1355" t="str">
        <f t="shared" si="113"/>
        <v/>
      </c>
      <c r="W53" s="1355" t="str">
        <f t="shared" si="113"/>
        <v/>
      </c>
      <c r="X53" s="1355" t="str">
        <f t="shared" si="113"/>
        <v/>
      </c>
      <c r="Y53" s="1355" t="str">
        <f t="shared" si="113"/>
        <v/>
      </c>
      <c r="Z53" s="1355" t="str">
        <f t="shared" si="113"/>
        <v/>
      </c>
      <c r="AA53" s="1355" t="str">
        <f t="shared" si="113"/>
        <v/>
      </c>
      <c r="AB53" s="1355" t="str">
        <f t="shared" si="113"/>
        <v/>
      </c>
      <c r="AC53" s="1355" t="str">
        <f t="shared" si="113"/>
        <v/>
      </c>
      <c r="AD53" s="1355" t="str">
        <f t="shared" si="113"/>
        <v/>
      </c>
      <c r="AE53" s="1355" t="str">
        <f t="shared" si="113"/>
        <v/>
      </c>
      <c r="AF53" s="1355" t="str">
        <f t="shared" si="113"/>
        <v/>
      </c>
      <c r="AG53" s="1355" t="str">
        <f t="shared" si="113"/>
        <v/>
      </c>
      <c r="AH53" s="1355" t="str">
        <f t="shared" si="113"/>
        <v/>
      </c>
      <c r="AI53" s="1355" t="str">
        <f t="shared" si="113"/>
        <v/>
      </c>
      <c r="AJ53" s="1355" t="str">
        <f t="shared" si="113"/>
        <v/>
      </c>
      <c r="AK53" s="1765"/>
      <c r="AL53" s="1355" t="str">
        <f t="shared" ref="AL53:BB53" si="114">IF(AL51="","",AL51*AL52)</f>
        <v/>
      </c>
      <c r="AM53" s="1355" t="str">
        <f t="shared" si="114"/>
        <v/>
      </c>
      <c r="AN53" s="1355" t="str">
        <f t="shared" si="114"/>
        <v/>
      </c>
      <c r="AO53" s="1355">
        <f t="shared" si="114"/>
        <v>0</v>
      </c>
      <c r="AP53" s="1355" t="str">
        <f t="shared" si="114"/>
        <v/>
      </c>
      <c r="AQ53" s="1355" t="str">
        <f t="shared" si="114"/>
        <v/>
      </c>
      <c r="AR53" s="1355" t="str">
        <f t="shared" si="114"/>
        <v/>
      </c>
      <c r="AS53" s="1355" t="str">
        <f t="shared" si="114"/>
        <v/>
      </c>
      <c r="AT53" s="1355" t="str">
        <f t="shared" si="114"/>
        <v/>
      </c>
      <c r="AU53" s="1355" t="str">
        <f t="shared" si="114"/>
        <v/>
      </c>
      <c r="AV53" s="1355" t="str">
        <f t="shared" si="114"/>
        <v/>
      </c>
      <c r="AW53" s="1355" t="str">
        <f t="shared" si="114"/>
        <v/>
      </c>
      <c r="AX53" s="1355" t="str">
        <f t="shared" si="114"/>
        <v/>
      </c>
      <c r="AY53" s="1355" t="str">
        <f t="shared" si="114"/>
        <v/>
      </c>
      <c r="AZ53" s="1355" t="str">
        <f t="shared" si="114"/>
        <v/>
      </c>
      <c r="BA53" s="1355" t="str">
        <f t="shared" si="114"/>
        <v/>
      </c>
      <c r="BB53" s="1355" t="str">
        <f t="shared" si="114"/>
        <v/>
      </c>
      <c r="BC53" s="1765"/>
      <c r="BD53" s="1355" t="str">
        <f t="shared" ref="BD53:BT53" si="115">IF(BD51="","",BD51*BD52)</f>
        <v/>
      </c>
      <c r="BE53" s="1355">
        <f t="shared" si="115"/>
        <v>2000</v>
      </c>
      <c r="BF53" s="1355" t="str">
        <f t="shared" si="115"/>
        <v/>
      </c>
      <c r="BG53" s="1355">
        <f t="shared" si="115"/>
        <v>101.25</v>
      </c>
      <c r="BH53" s="1355" t="str">
        <f t="shared" si="115"/>
        <v/>
      </c>
      <c r="BI53" s="1355" t="str">
        <f t="shared" si="115"/>
        <v/>
      </c>
      <c r="BJ53" s="1355" t="str">
        <f t="shared" si="115"/>
        <v/>
      </c>
      <c r="BK53" s="1355" t="str">
        <f t="shared" si="115"/>
        <v/>
      </c>
      <c r="BL53" s="1355" t="str">
        <f t="shared" si="115"/>
        <v/>
      </c>
      <c r="BM53" s="1355" t="str">
        <f t="shared" si="115"/>
        <v/>
      </c>
      <c r="BN53" s="1355" t="str">
        <f t="shared" si="115"/>
        <v/>
      </c>
      <c r="BO53" s="1355" t="str">
        <f t="shared" si="115"/>
        <v/>
      </c>
      <c r="BP53" s="1355" t="str">
        <f t="shared" si="115"/>
        <v/>
      </c>
      <c r="BQ53" s="1355" t="str">
        <f t="shared" si="115"/>
        <v/>
      </c>
      <c r="BR53" s="1355" t="str">
        <f t="shared" si="115"/>
        <v/>
      </c>
      <c r="BS53" s="1355" t="str">
        <f t="shared" si="115"/>
        <v/>
      </c>
      <c r="BT53" s="1355" t="str">
        <f t="shared" si="115"/>
        <v/>
      </c>
      <c r="BU53" s="1765"/>
      <c r="BV53" s="1355" t="str">
        <f>IF(BV51="","",BV51*BV52)</f>
        <v/>
      </c>
      <c r="BW53" s="1355" t="str">
        <f>IF(BW51="","",BW51*BW52)</f>
        <v/>
      </c>
      <c r="BX53" s="1355" t="str">
        <f>IF(BX51="","",BX51*BX52)</f>
        <v/>
      </c>
      <c r="BY53" s="1355" t="str">
        <f>IF(BY51="","",BY51*BY52)</f>
        <v/>
      </c>
      <c r="BZ53" s="1748" t="str">
        <f t="shared" si="81"/>
        <v/>
      </c>
      <c r="CA53" s="1748" t="str">
        <f t="shared" si="82"/>
        <v/>
      </c>
      <c r="CB53" s="1748" t="str">
        <f t="shared" si="83"/>
        <v/>
      </c>
      <c r="CC53" s="1749" t="str">
        <f t="shared" si="84"/>
        <v/>
      </c>
      <c r="CD53" s="1683" t="str">
        <f t="shared" si="86"/>
        <v/>
      </c>
      <c r="CE53" s="1684" t="str">
        <f t="shared" si="86"/>
        <v/>
      </c>
      <c r="CF53" s="1685" t="str">
        <f t="shared" si="86"/>
        <v/>
      </c>
      <c r="CG53" s="1685" t="str">
        <f t="shared" si="86"/>
        <v/>
      </c>
      <c r="CH53" s="1685" t="str">
        <f t="shared" si="86"/>
        <v/>
      </c>
      <c r="CI53" s="1685" t="str">
        <f t="shared" si="86"/>
        <v/>
      </c>
      <c r="CJ53" s="1685" t="str">
        <f t="shared" si="86"/>
        <v/>
      </c>
      <c r="CK53" s="1686" t="str">
        <f t="shared" si="86"/>
        <v/>
      </c>
      <c r="CL53" s="1686">
        <f t="shared" si="86"/>
        <v>101.25</v>
      </c>
      <c r="CM53" s="1686">
        <f t="shared" si="86"/>
        <v>2000</v>
      </c>
      <c r="CN53" s="1685" t="str">
        <f t="shared" si="86"/>
        <v/>
      </c>
      <c r="CO53" s="1685" t="str">
        <f t="shared" si="86"/>
        <v/>
      </c>
      <c r="CP53" s="1685" t="str">
        <f t="shared" si="86"/>
        <v/>
      </c>
      <c r="CQ53" s="1685" t="str">
        <f t="shared" si="86"/>
        <v/>
      </c>
      <c r="CR53" s="1685" t="str">
        <f t="shared" si="86"/>
        <v/>
      </c>
      <c r="CS53" s="1684" t="str">
        <f t="shared" si="86"/>
        <v/>
      </c>
      <c r="CT53" s="1687" t="str">
        <f t="shared" si="86"/>
        <v/>
      </c>
      <c r="CU53" s="1696" t="str">
        <f t="shared" si="87"/>
        <v/>
      </c>
      <c r="CV53" s="1697" t="str">
        <f t="shared" si="88"/>
        <v/>
      </c>
      <c r="CW53" s="1698" t="str">
        <f t="shared" si="89"/>
        <v/>
      </c>
      <c r="CX53" s="1698" t="str">
        <f t="shared" si="90"/>
        <v/>
      </c>
      <c r="CY53" s="1698" t="str">
        <f t="shared" si="91"/>
        <v/>
      </c>
      <c r="CZ53" s="1698" t="str">
        <f t="shared" si="92"/>
        <v/>
      </c>
      <c r="DA53" s="1698" t="str">
        <f t="shared" si="93"/>
        <v/>
      </c>
      <c r="DB53" s="1699" t="str">
        <f t="shared" si="94"/>
        <v/>
      </c>
      <c r="DC53" s="1699">
        <f t="shared" si="95"/>
        <v>101.25</v>
      </c>
      <c r="DD53" s="1699">
        <f t="shared" si="96"/>
        <v>2000</v>
      </c>
      <c r="DE53" s="1698" t="str">
        <f t="shared" si="97"/>
        <v/>
      </c>
      <c r="DF53" s="1698" t="str">
        <f t="shared" si="98"/>
        <v/>
      </c>
      <c r="DG53" s="1698" t="str">
        <f t="shared" si="99"/>
        <v/>
      </c>
      <c r="DH53" s="1698" t="str">
        <f t="shared" si="100"/>
        <v/>
      </c>
      <c r="DI53" s="1698" t="str">
        <f t="shared" si="101"/>
        <v/>
      </c>
      <c r="DJ53" s="1697" t="str">
        <f t="shared" si="102"/>
        <v/>
      </c>
      <c r="DK53" s="1696" t="str">
        <f t="shared" si="103"/>
        <v/>
      </c>
      <c r="DL53" s="1750">
        <f t="shared" si="104"/>
        <v>0</v>
      </c>
      <c r="DM53" s="1386">
        <f t="shared" si="105"/>
        <v>1</v>
      </c>
      <c r="DN53" s="1386">
        <f t="shared" si="106"/>
        <v>1</v>
      </c>
      <c r="DO53" s="1386">
        <f t="shared" si="107"/>
        <v>2</v>
      </c>
      <c r="DP53" s="1766" t="str">
        <f>IF(DP51="","",DP51*BV52)</f>
        <v/>
      </c>
      <c r="DQ53" s="1463" t="str">
        <f>IF(DQ51="","",DQ51*BW52)</f>
        <v/>
      </c>
      <c r="DR53" s="1463" t="str">
        <f>IF(DR51="","",DR51*BX52)</f>
        <v/>
      </c>
      <c r="DS53" s="1767" t="str">
        <f>IF(DS51="","",DS51*BY52)</f>
        <v/>
      </c>
      <c r="DT53" s="1758"/>
      <c r="DU53" s="1707"/>
    </row>
    <row r="54" spans="1:125" ht="12.75" customHeight="1">
      <c r="A54" s="1762" t="s">
        <v>258</v>
      </c>
      <c r="B54" s="1768"/>
      <c r="C54" s="1768"/>
      <c r="D54" s="1768"/>
      <c r="E54" s="1768"/>
      <c r="F54" s="1768"/>
      <c r="G54" s="1768"/>
      <c r="H54" s="1768"/>
      <c r="I54" s="1768"/>
      <c r="J54" s="1768"/>
      <c r="K54" s="1768"/>
      <c r="L54" s="1768"/>
      <c r="M54" s="1768"/>
      <c r="N54" s="1768"/>
      <c r="O54" s="1768"/>
      <c r="P54" s="1768"/>
      <c r="Q54" s="1768"/>
      <c r="R54" s="1768"/>
      <c r="S54" s="1747"/>
      <c r="T54" s="1768"/>
      <c r="U54" s="1768">
        <v>0</v>
      </c>
      <c r="V54" s="1768"/>
      <c r="W54" s="1768"/>
      <c r="X54" s="1768"/>
      <c r="Y54" s="1768"/>
      <c r="Z54" s="1768"/>
      <c r="AA54" s="1768"/>
      <c r="AB54" s="1768"/>
      <c r="AC54" s="1768"/>
      <c r="AD54" s="1768"/>
      <c r="AE54" s="1768"/>
      <c r="AF54" s="1768"/>
      <c r="AG54" s="1768"/>
      <c r="AH54" s="1768"/>
      <c r="AI54" s="1768"/>
      <c r="AJ54" s="1768"/>
      <c r="AK54" s="1747"/>
      <c r="AL54" s="1768"/>
      <c r="AM54" s="1768"/>
      <c r="AN54" s="1768"/>
      <c r="AO54" s="1768"/>
      <c r="AP54" s="1768"/>
      <c r="AQ54" s="1768"/>
      <c r="AR54" s="1768"/>
      <c r="AS54" s="1768"/>
      <c r="AT54" s="1768"/>
      <c r="AU54" s="1768"/>
      <c r="AV54" s="1768"/>
      <c r="AW54" s="1768"/>
      <c r="AX54" s="1768"/>
      <c r="AY54" s="1768"/>
      <c r="AZ54" s="1768"/>
      <c r="BA54" s="1768"/>
      <c r="BB54" s="1768"/>
      <c r="BC54" s="1747"/>
      <c r="BD54" s="1768"/>
      <c r="BE54" s="1768"/>
      <c r="BF54" s="1768"/>
      <c r="BG54" s="1768"/>
      <c r="BH54" s="1768"/>
      <c r="BI54" s="1768"/>
      <c r="BJ54" s="1768"/>
      <c r="BK54" s="1768"/>
      <c r="BL54" s="1768"/>
      <c r="BM54" s="1768"/>
      <c r="BN54" s="1768"/>
      <c r="BO54" s="1768"/>
      <c r="BP54" s="1768"/>
      <c r="BQ54" s="1768"/>
      <c r="BR54" s="1768"/>
      <c r="BS54" s="1768"/>
      <c r="BT54" s="1768"/>
      <c r="BU54" s="1747"/>
      <c r="BV54" s="1768"/>
      <c r="BW54" s="1768"/>
      <c r="BX54" s="1768"/>
      <c r="BY54" s="1768"/>
      <c r="BZ54" s="1748" t="str">
        <f t="shared" si="81"/>
        <v/>
      </c>
      <c r="CA54" s="1748" t="str">
        <f t="shared" si="82"/>
        <v/>
      </c>
      <c r="CB54" s="1748" t="str">
        <f t="shared" si="83"/>
        <v/>
      </c>
      <c r="CC54" s="1749" t="str">
        <f t="shared" si="84"/>
        <v/>
      </c>
      <c r="CD54" s="1683" t="str">
        <f t="shared" si="86"/>
        <v/>
      </c>
      <c r="CE54" s="1684" t="str">
        <f t="shared" si="86"/>
        <v/>
      </c>
      <c r="CF54" s="1685" t="str">
        <f t="shared" si="86"/>
        <v/>
      </c>
      <c r="CG54" s="1685" t="str">
        <f t="shared" si="86"/>
        <v/>
      </c>
      <c r="CH54" s="1685" t="str">
        <f t="shared" si="86"/>
        <v/>
      </c>
      <c r="CI54" s="1685" t="str">
        <f t="shared" si="86"/>
        <v/>
      </c>
      <c r="CJ54" s="1685" t="str">
        <f t="shared" si="86"/>
        <v/>
      </c>
      <c r="CK54" s="1686" t="str">
        <f t="shared" si="86"/>
        <v/>
      </c>
      <c r="CL54" s="1686" t="str">
        <f t="shared" si="86"/>
        <v/>
      </c>
      <c r="CM54" s="1686" t="str">
        <f t="shared" si="86"/>
        <v/>
      </c>
      <c r="CN54" s="1685" t="str">
        <f t="shared" si="86"/>
        <v/>
      </c>
      <c r="CO54" s="1685" t="str">
        <f t="shared" si="86"/>
        <v/>
      </c>
      <c r="CP54" s="1685" t="str">
        <f t="shared" si="86"/>
        <v/>
      </c>
      <c r="CQ54" s="1685" t="str">
        <f t="shared" si="86"/>
        <v/>
      </c>
      <c r="CR54" s="1685" t="str">
        <f t="shared" si="86"/>
        <v/>
      </c>
      <c r="CS54" s="1684" t="str">
        <f t="shared" si="86"/>
        <v/>
      </c>
      <c r="CT54" s="1687" t="str">
        <f t="shared" si="86"/>
        <v/>
      </c>
      <c r="CU54" s="1696" t="str">
        <f t="shared" si="87"/>
        <v/>
      </c>
      <c r="CV54" s="1697" t="str">
        <f t="shared" si="88"/>
        <v/>
      </c>
      <c r="CW54" s="1698" t="str">
        <f t="shared" si="89"/>
        <v/>
      </c>
      <c r="CX54" s="1698" t="str">
        <f t="shared" si="90"/>
        <v/>
      </c>
      <c r="CY54" s="1698" t="str">
        <f t="shared" si="91"/>
        <v/>
      </c>
      <c r="CZ54" s="1698" t="str">
        <f t="shared" si="92"/>
        <v/>
      </c>
      <c r="DA54" s="1698" t="str">
        <f t="shared" si="93"/>
        <v/>
      </c>
      <c r="DB54" s="1699" t="str">
        <f t="shared" si="94"/>
        <v/>
      </c>
      <c r="DC54" s="1699" t="str">
        <f t="shared" si="95"/>
        <v/>
      </c>
      <c r="DD54" s="1699" t="str">
        <f t="shared" si="96"/>
        <v/>
      </c>
      <c r="DE54" s="1698" t="str">
        <f t="shared" si="97"/>
        <v/>
      </c>
      <c r="DF54" s="1698" t="str">
        <f t="shared" si="98"/>
        <v/>
      </c>
      <c r="DG54" s="1698" t="str">
        <f t="shared" si="99"/>
        <v/>
      </c>
      <c r="DH54" s="1698" t="str">
        <f t="shared" si="100"/>
        <v/>
      </c>
      <c r="DI54" s="1698" t="str">
        <f t="shared" si="101"/>
        <v/>
      </c>
      <c r="DJ54" s="1697" t="str">
        <f t="shared" si="102"/>
        <v/>
      </c>
      <c r="DK54" s="1696" t="str">
        <f t="shared" si="103"/>
        <v/>
      </c>
      <c r="DL54" s="1750">
        <f t="shared" si="104"/>
        <v>0</v>
      </c>
      <c r="DM54" s="1386">
        <f t="shared" si="105"/>
        <v>1</v>
      </c>
      <c r="DN54" s="1386">
        <f t="shared" si="106"/>
        <v>0</v>
      </c>
      <c r="DO54" s="1386">
        <f t="shared" si="107"/>
        <v>0</v>
      </c>
      <c r="DP54" s="1769"/>
      <c r="DQ54" s="1492"/>
      <c r="DR54" s="1492"/>
      <c r="DS54" s="1770"/>
      <c r="DT54" s="1758"/>
      <c r="DU54" s="1707"/>
    </row>
    <row r="55" spans="1:125" ht="15.75" customHeight="1">
      <c r="A55" s="1771" t="s">
        <v>252</v>
      </c>
      <c r="B55" s="1354" t="str">
        <f t="shared" ref="B55:R55" si="116">IF(B49="","",(B49-B51-B54)*B50/B$7/365/$G$1)</f>
        <v/>
      </c>
      <c r="C55" s="1354" t="str">
        <f t="shared" si="116"/>
        <v/>
      </c>
      <c r="D55" s="1354" t="str">
        <f t="shared" si="116"/>
        <v/>
      </c>
      <c r="E55" s="1354" t="str">
        <f t="shared" si="116"/>
        <v/>
      </c>
      <c r="F55" s="1354" t="str">
        <f t="shared" si="116"/>
        <v/>
      </c>
      <c r="G55" s="1354" t="str">
        <f t="shared" si="116"/>
        <v/>
      </c>
      <c r="H55" s="1354" t="str">
        <f t="shared" si="116"/>
        <v/>
      </c>
      <c r="I55" s="1354" t="str">
        <f t="shared" si="116"/>
        <v/>
      </c>
      <c r="J55" s="1354" t="str">
        <f t="shared" si="116"/>
        <v/>
      </c>
      <c r="K55" s="1354" t="str">
        <f t="shared" si="116"/>
        <v/>
      </c>
      <c r="L55" s="1354" t="str">
        <f t="shared" si="116"/>
        <v/>
      </c>
      <c r="M55" s="1354" t="str">
        <f t="shared" si="116"/>
        <v/>
      </c>
      <c r="N55" s="1354" t="str">
        <f t="shared" si="116"/>
        <v/>
      </c>
      <c r="O55" s="1354" t="str">
        <f t="shared" si="116"/>
        <v/>
      </c>
      <c r="P55" s="1354" t="str">
        <f t="shared" si="116"/>
        <v/>
      </c>
      <c r="Q55" s="1354" t="str">
        <f t="shared" si="116"/>
        <v/>
      </c>
      <c r="R55" s="1354" t="str">
        <f t="shared" si="116"/>
        <v/>
      </c>
      <c r="S55" s="1772"/>
      <c r="T55" s="1354" t="str">
        <f t="shared" ref="T55:AJ55" si="117">IF(T49="","",(T49-T51-T54)*T50/T$7/365/$G$1)</f>
        <v/>
      </c>
      <c r="U55" s="1354">
        <f t="shared" si="117"/>
        <v>1.6982572495997154E-2</v>
      </c>
      <c r="V55" s="1354" t="str">
        <f t="shared" si="117"/>
        <v/>
      </c>
      <c r="W55" s="1354" t="str">
        <f t="shared" si="117"/>
        <v/>
      </c>
      <c r="X55" s="1354" t="str">
        <f t="shared" si="117"/>
        <v/>
      </c>
      <c r="Y55" s="1354" t="str">
        <f t="shared" si="117"/>
        <v/>
      </c>
      <c r="Z55" s="1354" t="str">
        <f t="shared" si="117"/>
        <v/>
      </c>
      <c r="AA55" s="1354" t="str">
        <f t="shared" si="117"/>
        <v/>
      </c>
      <c r="AB55" s="1354" t="str">
        <f t="shared" si="117"/>
        <v/>
      </c>
      <c r="AC55" s="1354" t="str">
        <f t="shared" si="117"/>
        <v/>
      </c>
      <c r="AD55" s="1354" t="str">
        <f t="shared" si="117"/>
        <v/>
      </c>
      <c r="AE55" s="1354" t="str">
        <f t="shared" si="117"/>
        <v/>
      </c>
      <c r="AF55" s="1354" t="str">
        <f t="shared" si="117"/>
        <v/>
      </c>
      <c r="AG55" s="1354" t="str">
        <f t="shared" si="117"/>
        <v/>
      </c>
      <c r="AH55" s="1354" t="str">
        <f t="shared" si="117"/>
        <v/>
      </c>
      <c r="AI55" s="1354" t="str">
        <f t="shared" si="117"/>
        <v/>
      </c>
      <c r="AJ55" s="1354" t="str">
        <f t="shared" si="117"/>
        <v/>
      </c>
      <c r="AK55" s="1772"/>
      <c r="AL55" s="1354" t="str">
        <f t="shared" ref="AL55:BB55" si="118">IF(AL49="","",(AL49-AL51-AL54)*AL50/AL$7/365/$G$1)</f>
        <v/>
      </c>
      <c r="AM55" s="1354" t="str">
        <f t="shared" si="118"/>
        <v/>
      </c>
      <c r="AN55" s="1354" t="str">
        <f t="shared" si="118"/>
        <v/>
      </c>
      <c r="AO55" s="1354">
        <f t="shared" si="118"/>
        <v>3.7149377334993772E-4</v>
      </c>
      <c r="AP55" s="1354" t="str">
        <f t="shared" si="118"/>
        <v/>
      </c>
      <c r="AQ55" s="1354" t="str">
        <f t="shared" si="118"/>
        <v/>
      </c>
      <c r="AR55" s="1354" t="str">
        <f t="shared" si="118"/>
        <v/>
      </c>
      <c r="AS55" s="1354" t="str">
        <f t="shared" si="118"/>
        <v/>
      </c>
      <c r="AT55" s="1354" t="str">
        <f t="shared" si="118"/>
        <v/>
      </c>
      <c r="AU55" s="1354" t="str">
        <f t="shared" si="118"/>
        <v/>
      </c>
      <c r="AV55" s="1354" t="str">
        <f t="shared" si="118"/>
        <v/>
      </c>
      <c r="AW55" s="1354" t="str">
        <f t="shared" si="118"/>
        <v/>
      </c>
      <c r="AX55" s="1354" t="str">
        <f t="shared" si="118"/>
        <v/>
      </c>
      <c r="AY55" s="1354" t="str">
        <f t="shared" si="118"/>
        <v/>
      </c>
      <c r="AZ55" s="1354" t="str">
        <f t="shared" si="118"/>
        <v/>
      </c>
      <c r="BA55" s="1354" t="str">
        <f t="shared" si="118"/>
        <v/>
      </c>
      <c r="BB55" s="1354" t="str">
        <f t="shared" si="118"/>
        <v/>
      </c>
      <c r="BC55" s="1772"/>
      <c r="BD55" s="1354" t="str">
        <f t="shared" ref="BD55:BT55" si="119">IF(BD49="","",(BD49-BD51-BD54)*BD50/BD$7/365/$G$1)</f>
        <v/>
      </c>
      <c r="BE55" s="1354">
        <f t="shared" si="119"/>
        <v>1.5478907222914073E-2</v>
      </c>
      <c r="BF55" s="1354" t="str">
        <f t="shared" si="119"/>
        <v/>
      </c>
      <c r="BG55" s="1354">
        <f t="shared" si="119"/>
        <v>2.6535269524995556E-3</v>
      </c>
      <c r="BH55" s="1354" t="str">
        <f t="shared" si="119"/>
        <v/>
      </c>
      <c r="BI55" s="1354" t="str">
        <f t="shared" si="119"/>
        <v/>
      </c>
      <c r="BJ55" s="1354" t="str">
        <f t="shared" si="119"/>
        <v/>
      </c>
      <c r="BK55" s="1354" t="str">
        <f t="shared" si="119"/>
        <v/>
      </c>
      <c r="BL55" s="1354" t="str">
        <f t="shared" si="119"/>
        <v/>
      </c>
      <c r="BM55" s="1354" t="str">
        <f t="shared" si="119"/>
        <v/>
      </c>
      <c r="BN55" s="1354" t="str">
        <f t="shared" si="119"/>
        <v/>
      </c>
      <c r="BO55" s="1354" t="str">
        <f t="shared" si="119"/>
        <v/>
      </c>
      <c r="BP55" s="1354" t="str">
        <f t="shared" si="119"/>
        <v/>
      </c>
      <c r="BQ55" s="1354" t="str">
        <f t="shared" si="119"/>
        <v/>
      </c>
      <c r="BR55" s="1354" t="str">
        <f t="shared" si="119"/>
        <v/>
      </c>
      <c r="BS55" s="1354" t="str">
        <f t="shared" si="119"/>
        <v/>
      </c>
      <c r="BT55" s="1354" t="str">
        <f t="shared" si="119"/>
        <v/>
      </c>
      <c r="BU55" s="1772"/>
      <c r="BV55" s="1354" t="str">
        <f>IF(BV49="","",(BV49-BV51-BV54)*BV50/BV$7/365/$G$1)</f>
        <v/>
      </c>
      <c r="BW55" s="1354" t="str">
        <f>IF(BW49="","",(BW49-BW51-BW54)*BW50/BW$7/365/$G$1)</f>
        <v/>
      </c>
      <c r="BX55" s="1354" t="str">
        <f>IF(BX49="","",(BX49-BX51-BX54)*BX50/BX$7/365/$G$1)</f>
        <v/>
      </c>
      <c r="BY55" s="1354" t="str">
        <f>IF(BY49="","",(BY49-BY51-BY54)*BY50/BY$7/365/$G$1)</f>
        <v/>
      </c>
      <c r="BZ55" s="1773" t="str">
        <f t="shared" si="81"/>
        <v/>
      </c>
      <c r="CA55" s="1773" t="str">
        <f t="shared" si="82"/>
        <v/>
      </c>
      <c r="CB55" s="1773" t="str">
        <f t="shared" si="83"/>
        <v/>
      </c>
      <c r="CC55" s="1774" t="str">
        <f t="shared" si="84"/>
        <v/>
      </c>
      <c r="CD55" s="1700" t="str">
        <f t="shared" si="86"/>
        <v/>
      </c>
      <c r="CE55" s="1701" t="str">
        <f t="shared" si="86"/>
        <v/>
      </c>
      <c r="CF55" s="1702" t="str">
        <f t="shared" si="86"/>
        <v/>
      </c>
      <c r="CG55" s="1702" t="str">
        <f t="shared" si="86"/>
        <v/>
      </c>
      <c r="CH55" s="1702" t="str">
        <f t="shared" si="86"/>
        <v/>
      </c>
      <c r="CI55" s="1702" t="str">
        <f t="shared" si="86"/>
        <v/>
      </c>
      <c r="CJ55" s="1702" t="str">
        <f t="shared" si="86"/>
        <v/>
      </c>
      <c r="CK55" s="1703" t="str">
        <f t="shared" si="86"/>
        <v/>
      </c>
      <c r="CL55" s="1703">
        <f t="shared" si="86"/>
        <v>2.6535269524995556E-3</v>
      </c>
      <c r="CM55" s="1703">
        <f t="shared" si="86"/>
        <v>1.5478907222914073E-2</v>
      </c>
      <c r="CN55" s="1702" t="str">
        <f t="shared" si="86"/>
        <v/>
      </c>
      <c r="CO55" s="1702" t="str">
        <f t="shared" si="86"/>
        <v/>
      </c>
      <c r="CP55" s="1702" t="str">
        <f t="shared" si="86"/>
        <v/>
      </c>
      <c r="CQ55" s="1702" t="str">
        <f t="shared" si="86"/>
        <v/>
      </c>
      <c r="CR55" s="1702" t="str">
        <f t="shared" si="86"/>
        <v/>
      </c>
      <c r="CS55" s="1701" t="str">
        <f t="shared" si="86"/>
        <v/>
      </c>
      <c r="CT55" s="1704" t="str">
        <f t="shared" si="86"/>
        <v/>
      </c>
      <c r="CU55" s="1705" t="str">
        <f t="shared" si="87"/>
        <v/>
      </c>
      <c r="CV55" s="1701" t="str">
        <f t="shared" si="88"/>
        <v/>
      </c>
      <c r="CW55" s="1702" t="str">
        <f t="shared" si="89"/>
        <v/>
      </c>
      <c r="CX55" s="1702" t="str">
        <f t="shared" si="90"/>
        <v/>
      </c>
      <c r="CY55" s="1702" t="str">
        <f t="shared" si="91"/>
        <v/>
      </c>
      <c r="CZ55" s="1702" t="str">
        <f t="shared" si="92"/>
        <v/>
      </c>
      <c r="DA55" s="1702" t="str">
        <f t="shared" si="93"/>
        <v/>
      </c>
      <c r="DB55" s="1703" t="str">
        <f t="shared" si="94"/>
        <v/>
      </c>
      <c r="DC55" s="1703">
        <f t="shared" si="95"/>
        <v>2.6535269524995556E-3</v>
      </c>
      <c r="DD55" s="1703">
        <f t="shared" si="96"/>
        <v>1.5478907222914073E-2</v>
      </c>
      <c r="DE55" s="1702" t="str">
        <f t="shared" si="97"/>
        <v/>
      </c>
      <c r="DF55" s="1702" t="str">
        <f t="shared" si="98"/>
        <v/>
      </c>
      <c r="DG55" s="1702" t="str">
        <f t="shared" si="99"/>
        <v/>
      </c>
      <c r="DH55" s="1702" t="str">
        <f t="shared" si="100"/>
        <v/>
      </c>
      <c r="DI55" s="1702" t="str">
        <f t="shared" si="101"/>
        <v/>
      </c>
      <c r="DJ55" s="1701" t="str">
        <f t="shared" si="102"/>
        <v/>
      </c>
      <c r="DK55" s="1705" t="str">
        <f t="shared" si="103"/>
        <v/>
      </c>
      <c r="DL55" s="1750">
        <f t="shared" si="104"/>
        <v>0</v>
      </c>
      <c r="DM55" s="1386">
        <f t="shared" si="105"/>
        <v>1</v>
      </c>
      <c r="DN55" s="1386">
        <f t="shared" si="106"/>
        <v>1</v>
      </c>
      <c r="DO55" s="1386">
        <f t="shared" si="107"/>
        <v>2</v>
      </c>
      <c r="DP55" s="1775" t="str">
        <f>IF(DP49="","",(DP49+SUM(BV49)*(DP49="")-SUM(DP51)-DP54-SUM(BV54)*(DP54=""))*BV50/DP$7/365/$G$1)</f>
        <v/>
      </c>
      <c r="DQ55" s="1354" t="str">
        <f>IF(DQ49="","",(DQ49+SUM(BW49)*(DQ49="")-SUM(DQ51)-DQ54-SUM(BW54)*(DQ54=""))*BW50/DQ$7/365/$G$1)</f>
        <v/>
      </c>
      <c r="DR55" s="1354" t="str">
        <f>IF(DR49="","",(DR49+SUM(BX49)*(DR49="")-SUM(DR51)-DR54-SUM(BX54)*(DR54=""))*BX50/DR$7/365/$G$1)</f>
        <v/>
      </c>
      <c r="DS55" s="1776" t="str">
        <f>IF(DS49="","",(DS49+SUM(BY49)*(DS49="")-SUM(DS51)-DS54-SUM(BY54)*(DS54=""))*BY50/DS$7/365/$G$1)</f>
        <v/>
      </c>
      <c r="DT55" s="1758"/>
      <c r="DU55" s="1707"/>
    </row>
    <row r="56" spans="1:125" ht="12.75" customHeight="1">
      <c r="A56" s="1745" t="s">
        <v>496</v>
      </c>
      <c r="B56" s="1746"/>
      <c r="C56" s="1746"/>
      <c r="D56" s="1746"/>
      <c r="E56" s="1746"/>
      <c r="F56" s="1746"/>
      <c r="G56" s="1746"/>
      <c r="H56" s="1746"/>
      <c r="I56" s="1746"/>
      <c r="J56" s="1746"/>
      <c r="K56" s="1746"/>
      <c r="L56" s="1746"/>
      <c r="M56" s="1746"/>
      <c r="N56" s="1746"/>
      <c r="O56" s="1746"/>
      <c r="P56" s="1746"/>
      <c r="Q56" s="1746"/>
      <c r="R56" s="1746"/>
      <c r="S56" s="1747"/>
      <c r="T56" s="1746"/>
      <c r="U56" s="1746"/>
      <c r="V56" s="1746"/>
      <c r="W56" s="1746"/>
      <c r="X56" s="1746"/>
      <c r="Y56" s="1746"/>
      <c r="Z56" s="1746"/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7"/>
      <c r="AL56" s="1746"/>
      <c r="AM56" s="1746"/>
      <c r="AN56" s="1746"/>
      <c r="AO56" s="1746"/>
      <c r="AP56" s="1746"/>
      <c r="AQ56" s="1746"/>
      <c r="AR56" s="1746"/>
      <c r="AS56" s="1746"/>
      <c r="AT56" s="1746"/>
      <c r="AU56" s="1746"/>
      <c r="AV56" s="1746"/>
      <c r="AW56" s="1746"/>
      <c r="AX56" s="1746"/>
      <c r="AY56" s="1746"/>
      <c r="AZ56" s="1746"/>
      <c r="BA56" s="1746"/>
      <c r="BB56" s="1746"/>
      <c r="BC56" s="1747"/>
      <c r="BD56" s="1746"/>
      <c r="BE56" s="1746"/>
      <c r="BF56" s="1746"/>
      <c r="BG56" s="1746"/>
      <c r="BH56" s="1746"/>
      <c r="BI56" s="1746"/>
      <c r="BJ56" s="1746"/>
      <c r="BK56" s="1746"/>
      <c r="BL56" s="1746"/>
      <c r="BM56" s="1746"/>
      <c r="BN56" s="1746"/>
      <c r="BO56" s="1746"/>
      <c r="BP56" s="1746"/>
      <c r="BQ56" s="1746"/>
      <c r="BR56" s="1746"/>
      <c r="BS56" s="1746"/>
      <c r="BT56" s="1746"/>
      <c r="BU56" s="1747"/>
      <c r="BV56" s="1746"/>
      <c r="BW56" s="1746"/>
      <c r="BX56" s="1746"/>
      <c r="BY56" s="1746"/>
      <c r="BZ56" s="1748" t="str">
        <f t="shared" si="81"/>
        <v/>
      </c>
      <c r="CA56" s="1748" t="str">
        <f t="shared" si="82"/>
        <v/>
      </c>
      <c r="CB56" s="1748" t="str">
        <f t="shared" si="83"/>
        <v/>
      </c>
      <c r="CC56" s="1749" t="str">
        <f t="shared" si="84"/>
        <v/>
      </c>
      <c r="CD56" s="1683" t="str">
        <f t="shared" si="86"/>
        <v/>
      </c>
      <c r="CE56" s="1684" t="str">
        <f t="shared" si="86"/>
        <v/>
      </c>
      <c r="CF56" s="1685" t="str">
        <f t="shared" si="86"/>
        <v/>
      </c>
      <c r="CG56" s="1685" t="str">
        <f t="shared" si="86"/>
        <v/>
      </c>
      <c r="CH56" s="1685" t="str">
        <f t="shared" si="86"/>
        <v/>
      </c>
      <c r="CI56" s="1685" t="str">
        <f t="shared" si="86"/>
        <v/>
      </c>
      <c r="CJ56" s="1685" t="str">
        <f t="shared" si="86"/>
        <v/>
      </c>
      <c r="CK56" s="1686" t="str">
        <f t="shared" si="86"/>
        <v/>
      </c>
      <c r="CL56" s="1686" t="str">
        <f t="shared" si="86"/>
        <v/>
      </c>
      <c r="CM56" s="1686" t="str">
        <f t="shared" si="86"/>
        <v/>
      </c>
      <c r="CN56" s="1685" t="str">
        <f t="shared" si="86"/>
        <v/>
      </c>
      <c r="CO56" s="1685" t="str">
        <f t="shared" si="86"/>
        <v/>
      </c>
      <c r="CP56" s="1685" t="str">
        <f t="shared" si="86"/>
        <v/>
      </c>
      <c r="CQ56" s="1685" t="str">
        <f t="shared" si="86"/>
        <v/>
      </c>
      <c r="CR56" s="1685" t="str">
        <f t="shared" si="86"/>
        <v/>
      </c>
      <c r="CS56" s="1684" t="str">
        <f t="shared" si="86"/>
        <v/>
      </c>
      <c r="CT56" s="1687" t="str">
        <f t="shared" si="86"/>
        <v/>
      </c>
      <c r="CU56" s="1696" t="str">
        <f t="shared" si="87"/>
        <v/>
      </c>
      <c r="CV56" s="1697" t="str">
        <f t="shared" si="88"/>
        <v/>
      </c>
      <c r="CW56" s="1698" t="str">
        <f t="shared" si="89"/>
        <v/>
      </c>
      <c r="CX56" s="1698" t="str">
        <f t="shared" si="90"/>
        <v/>
      </c>
      <c r="CY56" s="1698" t="str">
        <f t="shared" si="91"/>
        <v/>
      </c>
      <c r="CZ56" s="1698" t="str">
        <f t="shared" si="92"/>
        <v/>
      </c>
      <c r="DA56" s="1698" t="str">
        <f t="shared" si="93"/>
        <v/>
      </c>
      <c r="DB56" s="1699" t="str">
        <f t="shared" si="94"/>
        <v/>
      </c>
      <c r="DC56" s="1699" t="str">
        <f t="shared" si="95"/>
        <v/>
      </c>
      <c r="DD56" s="1699" t="str">
        <f t="shared" si="96"/>
        <v/>
      </c>
      <c r="DE56" s="1698" t="str">
        <f t="shared" si="97"/>
        <v/>
      </c>
      <c r="DF56" s="1698" t="str">
        <f t="shared" si="98"/>
        <v/>
      </c>
      <c r="DG56" s="1698" t="str">
        <f t="shared" si="99"/>
        <v/>
      </c>
      <c r="DH56" s="1698" t="str">
        <f t="shared" si="100"/>
        <v/>
      </c>
      <c r="DI56" s="1698" t="str">
        <f t="shared" si="101"/>
        <v/>
      </c>
      <c r="DJ56" s="1697" t="str">
        <f t="shared" si="102"/>
        <v/>
      </c>
      <c r="DK56" s="1696" t="str">
        <f t="shared" si="103"/>
        <v/>
      </c>
      <c r="DL56" s="1750">
        <f t="shared" si="104"/>
        <v>0</v>
      </c>
      <c r="DM56" s="1386">
        <f t="shared" si="105"/>
        <v>0</v>
      </c>
      <c r="DN56" s="1386">
        <f t="shared" si="106"/>
        <v>0</v>
      </c>
      <c r="DO56" s="1386">
        <f t="shared" si="107"/>
        <v>0</v>
      </c>
      <c r="DP56" s="1777" t="str">
        <f>IF(SUM(BV56)&gt;0,BV56*'Exp factors'!C$21,"")</f>
        <v/>
      </c>
      <c r="DQ56" s="1452" t="str">
        <f>IF(SUM(BW56)&gt;0,BW56*'Exp factors'!D$21,"")</f>
        <v/>
      </c>
      <c r="DR56" s="1452" t="str">
        <f>IF(SUM(BX56)&gt;0,BX56*'Exp factors'!E$21,"")</f>
        <v/>
      </c>
      <c r="DS56" s="1778" t="str">
        <f>IF(SUM(BY56)&gt;0,BY56*'Exp factors'!F$21,"")</f>
        <v/>
      </c>
      <c r="DT56" s="1758"/>
      <c r="DU56" s="1707"/>
    </row>
    <row r="57" spans="1:125" ht="12.75" customHeight="1">
      <c r="A57" s="1344" t="s">
        <v>256</v>
      </c>
      <c r="B57" s="1795">
        <f t="shared" ref="B57:R57" si="120">3090*4.1868</f>
        <v>12937.212</v>
      </c>
      <c r="C57" s="1795">
        <f t="shared" si="120"/>
        <v>12937.212</v>
      </c>
      <c r="D57" s="1795">
        <f t="shared" si="120"/>
        <v>12937.212</v>
      </c>
      <c r="E57" s="1795">
        <f t="shared" si="120"/>
        <v>12937.212</v>
      </c>
      <c r="F57" s="1795">
        <f t="shared" si="120"/>
        <v>12937.212</v>
      </c>
      <c r="G57" s="1795">
        <f t="shared" si="120"/>
        <v>12937.212</v>
      </c>
      <c r="H57" s="1795">
        <f t="shared" si="120"/>
        <v>12937.212</v>
      </c>
      <c r="I57" s="1795">
        <f t="shared" si="120"/>
        <v>12937.212</v>
      </c>
      <c r="J57" s="1795">
        <f t="shared" si="120"/>
        <v>12937.212</v>
      </c>
      <c r="K57" s="1795">
        <f t="shared" si="120"/>
        <v>12937.212</v>
      </c>
      <c r="L57" s="1795">
        <f t="shared" si="120"/>
        <v>12937.212</v>
      </c>
      <c r="M57" s="1795">
        <f t="shared" si="120"/>
        <v>12937.212</v>
      </c>
      <c r="N57" s="1795">
        <f t="shared" si="120"/>
        <v>12937.212</v>
      </c>
      <c r="O57" s="1795">
        <f t="shared" si="120"/>
        <v>12937.212</v>
      </c>
      <c r="P57" s="1795">
        <f t="shared" si="120"/>
        <v>12937.212</v>
      </c>
      <c r="Q57" s="1795">
        <f t="shared" si="120"/>
        <v>12937.212</v>
      </c>
      <c r="R57" s="1795">
        <f t="shared" si="120"/>
        <v>12937.212</v>
      </c>
      <c r="S57" s="1755"/>
      <c r="T57" s="1795">
        <f t="shared" ref="T57:AJ57" si="121">3090*4.1868</f>
        <v>12937.212</v>
      </c>
      <c r="U57" s="1795">
        <f t="shared" si="121"/>
        <v>12937.212</v>
      </c>
      <c r="V57" s="1795">
        <f t="shared" si="121"/>
        <v>12937.212</v>
      </c>
      <c r="W57" s="1795">
        <f t="shared" si="121"/>
        <v>12937.212</v>
      </c>
      <c r="X57" s="1795">
        <f t="shared" si="121"/>
        <v>12937.212</v>
      </c>
      <c r="Y57" s="1795">
        <f t="shared" si="121"/>
        <v>12937.212</v>
      </c>
      <c r="Z57" s="1795">
        <f t="shared" si="121"/>
        <v>12937.212</v>
      </c>
      <c r="AA57" s="1795">
        <f t="shared" si="121"/>
        <v>12937.212</v>
      </c>
      <c r="AB57" s="1795">
        <f t="shared" si="121"/>
        <v>12937.212</v>
      </c>
      <c r="AC57" s="1795">
        <f t="shared" si="121"/>
        <v>12937.212</v>
      </c>
      <c r="AD57" s="1795">
        <f t="shared" si="121"/>
        <v>12937.212</v>
      </c>
      <c r="AE57" s="1795">
        <f t="shared" si="121"/>
        <v>12937.212</v>
      </c>
      <c r="AF57" s="1795">
        <f t="shared" si="121"/>
        <v>12937.212</v>
      </c>
      <c r="AG57" s="1795">
        <f t="shared" si="121"/>
        <v>12937.212</v>
      </c>
      <c r="AH57" s="1795">
        <f t="shared" si="121"/>
        <v>12937.212</v>
      </c>
      <c r="AI57" s="1795">
        <f t="shared" si="121"/>
        <v>12937.212</v>
      </c>
      <c r="AJ57" s="1795">
        <f t="shared" si="121"/>
        <v>12937.212</v>
      </c>
      <c r="AK57" s="1755"/>
      <c r="AL57" s="1795">
        <f t="shared" ref="AL57:BB57" si="122">3090*4.1868</f>
        <v>12937.212</v>
      </c>
      <c r="AM57" s="1795">
        <f t="shared" si="122"/>
        <v>12937.212</v>
      </c>
      <c r="AN57" s="1795">
        <f t="shared" si="122"/>
        <v>12937.212</v>
      </c>
      <c r="AO57" s="1795">
        <f t="shared" si="122"/>
        <v>12937.212</v>
      </c>
      <c r="AP57" s="1795">
        <f t="shared" si="122"/>
        <v>12937.212</v>
      </c>
      <c r="AQ57" s="1795">
        <f t="shared" si="122"/>
        <v>12937.212</v>
      </c>
      <c r="AR57" s="1795">
        <f t="shared" si="122"/>
        <v>12937.212</v>
      </c>
      <c r="AS57" s="1795">
        <f t="shared" si="122"/>
        <v>12937.212</v>
      </c>
      <c r="AT57" s="1795">
        <f t="shared" si="122"/>
        <v>12937.212</v>
      </c>
      <c r="AU57" s="1795">
        <f t="shared" si="122"/>
        <v>12937.212</v>
      </c>
      <c r="AV57" s="1795">
        <f t="shared" si="122"/>
        <v>12937.212</v>
      </c>
      <c r="AW57" s="1795">
        <f t="shared" si="122"/>
        <v>12937.212</v>
      </c>
      <c r="AX57" s="1795">
        <f t="shared" si="122"/>
        <v>12937.212</v>
      </c>
      <c r="AY57" s="1795">
        <f t="shared" si="122"/>
        <v>12937.212</v>
      </c>
      <c r="AZ57" s="1795">
        <f t="shared" si="122"/>
        <v>12937.212</v>
      </c>
      <c r="BA57" s="1795">
        <f t="shared" si="122"/>
        <v>12937.212</v>
      </c>
      <c r="BB57" s="1795">
        <f t="shared" si="122"/>
        <v>12937.212</v>
      </c>
      <c r="BC57" s="1755"/>
      <c r="BD57" s="1795">
        <f t="shared" ref="BD57:BT57" si="123">3090*4.1868</f>
        <v>12937.212</v>
      </c>
      <c r="BE57" s="1795">
        <f t="shared" si="123"/>
        <v>12937.212</v>
      </c>
      <c r="BF57" s="1795">
        <f t="shared" si="123"/>
        <v>12937.212</v>
      </c>
      <c r="BG57" s="1795">
        <f t="shared" si="123"/>
        <v>12937.212</v>
      </c>
      <c r="BH57" s="1795">
        <f t="shared" si="123"/>
        <v>12937.212</v>
      </c>
      <c r="BI57" s="1795">
        <f t="shared" si="123"/>
        <v>12937.212</v>
      </c>
      <c r="BJ57" s="1795">
        <f t="shared" si="123"/>
        <v>12937.212</v>
      </c>
      <c r="BK57" s="1795">
        <f t="shared" si="123"/>
        <v>12937.212</v>
      </c>
      <c r="BL57" s="1795">
        <f t="shared" si="123"/>
        <v>12937.212</v>
      </c>
      <c r="BM57" s="1795">
        <f t="shared" si="123"/>
        <v>12937.212</v>
      </c>
      <c r="BN57" s="1795">
        <f t="shared" si="123"/>
        <v>12937.212</v>
      </c>
      <c r="BO57" s="1795">
        <f t="shared" si="123"/>
        <v>12937.212</v>
      </c>
      <c r="BP57" s="1795">
        <f t="shared" si="123"/>
        <v>12937.212</v>
      </c>
      <c r="BQ57" s="1795">
        <f t="shared" si="123"/>
        <v>12937.212</v>
      </c>
      <c r="BR57" s="1795">
        <f t="shared" si="123"/>
        <v>12937.212</v>
      </c>
      <c r="BS57" s="1795">
        <f t="shared" si="123"/>
        <v>12937.212</v>
      </c>
      <c r="BT57" s="1795">
        <f t="shared" si="123"/>
        <v>12937.212</v>
      </c>
      <c r="BU57" s="1755"/>
      <c r="BV57" s="1795">
        <f>3090*4.1868</f>
        <v>12937.212</v>
      </c>
      <c r="BW57" s="1795">
        <f>3090*4.1868</f>
        <v>12937.212</v>
      </c>
      <c r="BX57" s="1795">
        <f>3090*4.1868</f>
        <v>12937.212</v>
      </c>
      <c r="BY57" s="1795">
        <f>3090*4.1868</f>
        <v>12937.212</v>
      </c>
      <c r="BZ57" s="1748">
        <f t="shared" si="81"/>
        <v>12937.212</v>
      </c>
      <c r="CA57" s="1748">
        <f t="shared" si="82"/>
        <v>12937.212</v>
      </c>
      <c r="CB57" s="1748">
        <f t="shared" si="83"/>
        <v>12937.212</v>
      </c>
      <c r="CC57" s="1749">
        <f t="shared" si="84"/>
        <v>12937.212</v>
      </c>
      <c r="CD57" s="1683">
        <f t="shared" si="86"/>
        <v>12937.212</v>
      </c>
      <c r="CE57" s="1684">
        <f t="shared" si="86"/>
        <v>12937.212</v>
      </c>
      <c r="CF57" s="1685">
        <f t="shared" si="86"/>
        <v>12937.212</v>
      </c>
      <c r="CG57" s="1685">
        <f t="shared" si="86"/>
        <v>12937.212</v>
      </c>
      <c r="CH57" s="1685">
        <f t="shared" si="86"/>
        <v>12937.212</v>
      </c>
      <c r="CI57" s="1685">
        <f t="shared" si="86"/>
        <v>12937.212</v>
      </c>
      <c r="CJ57" s="1685">
        <f t="shared" si="86"/>
        <v>12937.212</v>
      </c>
      <c r="CK57" s="1686">
        <f t="shared" si="86"/>
        <v>12937.212</v>
      </c>
      <c r="CL57" s="1686">
        <f t="shared" si="86"/>
        <v>12937.212</v>
      </c>
      <c r="CM57" s="1686">
        <f t="shared" si="86"/>
        <v>12937.212</v>
      </c>
      <c r="CN57" s="1685">
        <f t="shared" si="86"/>
        <v>12937.212</v>
      </c>
      <c r="CO57" s="1685">
        <f t="shared" si="86"/>
        <v>12937.212</v>
      </c>
      <c r="CP57" s="1685">
        <f t="shared" si="86"/>
        <v>12937.212</v>
      </c>
      <c r="CQ57" s="1685">
        <f t="shared" si="86"/>
        <v>12937.212</v>
      </c>
      <c r="CR57" s="1685">
        <f t="shared" si="86"/>
        <v>12937.212</v>
      </c>
      <c r="CS57" s="1684">
        <f t="shared" si="86"/>
        <v>12937.212</v>
      </c>
      <c r="CT57" s="1687">
        <f t="shared" si="86"/>
        <v>12937.212</v>
      </c>
      <c r="CU57" s="1696">
        <f t="shared" si="87"/>
        <v>12937.212</v>
      </c>
      <c r="CV57" s="1697">
        <f t="shared" si="88"/>
        <v>12937.212</v>
      </c>
      <c r="CW57" s="1698">
        <f t="shared" si="89"/>
        <v>12937.212</v>
      </c>
      <c r="CX57" s="1698">
        <f t="shared" si="90"/>
        <v>12937.212</v>
      </c>
      <c r="CY57" s="1698">
        <f t="shared" si="91"/>
        <v>12937.212</v>
      </c>
      <c r="CZ57" s="1698">
        <f t="shared" si="92"/>
        <v>12937.212</v>
      </c>
      <c r="DA57" s="1698">
        <f t="shared" si="93"/>
        <v>12937.212</v>
      </c>
      <c r="DB57" s="1699">
        <f t="shared" si="94"/>
        <v>12937.212</v>
      </c>
      <c r="DC57" s="1699">
        <f t="shared" si="95"/>
        <v>12937.212</v>
      </c>
      <c r="DD57" s="1699">
        <f t="shared" si="96"/>
        <v>12937.212</v>
      </c>
      <c r="DE57" s="1698">
        <f t="shared" si="97"/>
        <v>12937.212</v>
      </c>
      <c r="DF57" s="1698">
        <f t="shared" si="98"/>
        <v>12937.212</v>
      </c>
      <c r="DG57" s="1698">
        <f t="shared" si="99"/>
        <v>12937.212</v>
      </c>
      <c r="DH57" s="1698">
        <f t="shared" si="100"/>
        <v>12937.212</v>
      </c>
      <c r="DI57" s="1698">
        <f t="shared" si="101"/>
        <v>12937.212</v>
      </c>
      <c r="DJ57" s="1697">
        <f t="shared" si="102"/>
        <v>12937.212</v>
      </c>
      <c r="DK57" s="1696">
        <f t="shared" si="103"/>
        <v>12937.212</v>
      </c>
      <c r="DL57" s="1750">
        <f t="shared" si="104"/>
        <v>17</v>
      </c>
      <c r="DM57" s="1386">
        <f t="shared" si="105"/>
        <v>17</v>
      </c>
      <c r="DN57" s="1386">
        <f t="shared" si="106"/>
        <v>17</v>
      </c>
      <c r="DO57" s="1386">
        <f t="shared" si="107"/>
        <v>17</v>
      </c>
      <c r="DP57" s="1756"/>
      <c r="DQ57" s="1427"/>
      <c r="DR57" s="1427"/>
      <c r="DS57" s="1757"/>
      <c r="DT57" s="1758"/>
      <c r="DU57" s="1707"/>
    </row>
    <row r="58" spans="1:125" ht="12.75" customHeight="1">
      <c r="A58" s="1732" t="s">
        <v>257</v>
      </c>
      <c r="B58" s="1759"/>
      <c r="C58" s="1759"/>
      <c r="D58" s="1759"/>
      <c r="E58" s="1759"/>
      <c r="F58" s="1759"/>
      <c r="G58" s="1759"/>
      <c r="H58" s="1759"/>
      <c r="I58" s="1759"/>
      <c r="J58" s="1759"/>
      <c r="K58" s="1759"/>
      <c r="L58" s="1759"/>
      <c r="M58" s="1759"/>
      <c r="N58" s="1759"/>
      <c r="O58" s="1759"/>
      <c r="P58" s="1759"/>
      <c r="Q58" s="1759"/>
      <c r="R58" s="1759"/>
      <c r="S58" s="1755"/>
      <c r="T58" s="1759"/>
      <c r="U58" s="1759"/>
      <c r="V58" s="1759"/>
      <c r="W58" s="1759"/>
      <c r="X58" s="1759"/>
      <c r="Y58" s="1759"/>
      <c r="Z58" s="1759"/>
      <c r="AA58" s="1759"/>
      <c r="AB58" s="1759"/>
      <c r="AC58" s="1759"/>
      <c r="AD58" s="1759"/>
      <c r="AE58" s="1759"/>
      <c r="AF58" s="1759"/>
      <c r="AG58" s="1759"/>
      <c r="AH58" s="1759"/>
      <c r="AI58" s="1759"/>
      <c r="AJ58" s="1759"/>
      <c r="AK58" s="1755"/>
      <c r="AL58" s="1759"/>
      <c r="AM58" s="1759"/>
      <c r="AN58" s="1759"/>
      <c r="AO58" s="1759"/>
      <c r="AP58" s="1759"/>
      <c r="AQ58" s="1759"/>
      <c r="AR58" s="1759"/>
      <c r="AS58" s="1759"/>
      <c r="AT58" s="1759"/>
      <c r="AU58" s="1759"/>
      <c r="AV58" s="1759"/>
      <c r="AW58" s="1759"/>
      <c r="AX58" s="1759"/>
      <c r="AY58" s="1759"/>
      <c r="AZ58" s="1759"/>
      <c r="BA58" s="1759"/>
      <c r="BB58" s="1759"/>
      <c r="BC58" s="1755"/>
      <c r="BD58" s="1759"/>
      <c r="BE58" s="1759"/>
      <c r="BF58" s="1759"/>
      <c r="BG58" s="1759"/>
      <c r="BH58" s="1759"/>
      <c r="BI58" s="1759"/>
      <c r="BJ58" s="1759"/>
      <c r="BK58" s="1759"/>
      <c r="BL58" s="1759"/>
      <c r="BM58" s="1759"/>
      <c r="BN58" s="1759"/>
      <c r="BO58" s="1759"/>
      <c r="BP58" s="1759"/>
      <c r="BQ58" s="1759"/>
      <c r="BR58" s="1759"/>
      <c r="BS58" s="1759"/>
      <c r="BT58" s="1759"/>
      <c r="BU58" s="1755"/>
      <c r="BV58" s="1759"/>
      <c r="BW58" s="1759"/>
      <c r="BX58" s="1759"/>
      <c r="BY58" s="1759"/>
      <c r="BZ58" s="1748" t="str">
        <f t="shared" si="81"/>
        <v/>
      </c>
      <c r="CA58" s="1748" t="str">
        <f t="shared" si="82"/>
        <v/>
      </c>
      <c r="CB58" s="1748" t="str">
        <f t="shared" si="83"/>
        <v/>
      </c>
      <c r="CC58" s="1749" t="str">
        <f t="shared" si="84"/>
        <v/>
      </c>
      <c r="CD58" s="1683" t="str">
        <f t="shared" si="86"/>
        <v/>
      </c>
      <c r="CE58" s="1684" t="str">
        <f t="shared" si="86"/>
        <v/>
      </c>
      <c r="CF58" s="1685" t="str">
        <f t="shared" si="86"/>
        <v/>
      </c>
      <c r="CG58" s="1685" t="str">
        <f t="shared" si="86"/>
        <v/>
      </c>
      <c r="CH58" s="1685" t="str">
        <f t="shared" si="86"/>
        <v/>
      </c>
      <c r="CI58" s="1685" t="str">
        <f t="shared" si="86"/>
        <v/>
      </c>
      <c r="CJ58" s="1685" t="str">
        <f t="shared" si="86"/>
        <v/>
      </c>
      <c r="CK58" s="1686" t="str">
        <f t="shared" si="86"/>
        <v/>
      </c>
      <c r="CL58" s="1686" t="str">
        <f t="shared" si="86"/>
        <v/>
      </c>
      <c r="CM58" s="1686" t="str">
        <f t="shared" si="86"/>
        <v/>
      </c>
      <c r="CN58" s="1685" t="str">
        <f t="shared" si="86"/>
        <v/>
      </c>
      <c r="CO58" s="1685" t="str">
        <f t="shared" si="86"/>
        <v/>
      </c>
      <c r="CP58" s="1685" t="str">
        <f t="shared" si="86"/>
        <v/>
      </c>
      <c r="CQ58" s="1685" t="str">
        <f t="shared" si="86"/>
        <v/>
      </c>
      <c r="CR58" s="1685" t="str">
        <f t="shared" si="86"/>
        <v/>
      </c>
      <c r="CS58" s="1684" t="str">
        <f t="shared" si="86"/>
        <v/>
      </c>
      <c r="CT58" s="1687" t="str">
        <f t="shared" si="86"/>
        <v/>
      </c>
      <c r="CU58" s="1696" t="str">
        <f t="shared" si="87"/>
        <v/>
      </c>
      <c r="CV58" s="1697" t="str">
        <f t="shared" si="88"/>
        <v/>
      </c>
      <c r="CW58" s="1698" t="str">
        <f t="shared" si="89"/>
        <v/>
      </c>
      <c r="CX58" s="1698" t="str">
        <f t="shared" si="90"/>
        <v/>
      </c>
      <c r="CY58" s="1698" t="str">
        <f t="shared" si="91"/>
        <v/>
      </c>
      <c r="CZ58" s="1698" t="str">
        <f t="shared" si="92"/>
        <v/>
      </c>
      <c r="DA58" s="1698" t="str">
        <f t="shared" si="93"/>
        <v/>
      </c>
      <c r="DB58" s="1699" t="str">
        <f t="shared" si="94"/>
        <v/>
      </c>
      <c r="DC58" s="1699" t="str">
        <f t="shared" si="95"/>
        <v/>
      </c>
      <c r="DD58" s="1699" t="str">
        <f t="shared" si="96"/>
        <v/>
      </c>
      <c r="DE58" s="1698" t="str">
        <f t="shared" si="97"/>
        <v/>
      </c>
      <c r="DF58" s="1698" t="str">
        <f t="shared" si="98"/>
        <v/>
      </c>
      <c r="DG58" s="1698" t="str">
        <f t="shared" si="99"/>
        <v/>
      </c>
      <c r="DH58" s="1698" t="str">
        <f t="shared" si="100"/>
        <v/>
      </c>
      <c r="DI58" s="1698" t="str">
        <f t="shared" si="101"/>
        <v/>
      </c>
      <c r="DJ58" s="1697" t="str">
        <f t="shared" si="102"/>
        <v/>
      </c>
      <c r="DK58" s="1696" t="str">
        <f t="shared" si="103"/>
        <v/>
      </c>
      <c r="DL58" s="1750">
        <f t="shared" si="104"/>
        <v>0</v>
      </c>
      <c r="DM58" s="1386">
        <f t="shared" si="105"/>
        <v>0</v>
      </c>
      <c r="DN58" s="1386">
        <f t="shared" si="106"/>
        <v>0</v>
      </c>
      <c r="DO58" s="1386">
        <f t="shared" si="107"/>
        <v>0</v>
      </c>
      <c r="DP58" s="1760" t="str">
        <f>IF(SUM(BV58)&gt;0,(BV56-DP61-SUM(BV61)*(DP61=""))*'Exp factors'!C$21,"")</f>
        <v/>
      </c>
      <c r="DQ58" s="1497" t="str">
        <f>IF(SUM(BW58)&gt;0,(BW56-DQ61-SUM(BW61)*(DQ61=""))*'Exp factors'!D$21,"")</f>
        <v/>
      </c>
      <c r="DR58" s="1497" t="str">
        <f>IF(SUM(BX58)&gt;0,(BX56-DR61-SUM(BX61)*(DR61=""))*'Exp factors'!E$21,"")</f>
        <v/>
      </c>
      <c r="DS58" s="1761" t="str">
        <f>IF(SUM(BY58)&gt;0,(BY56-DS61-SUM(BY61)*(DS61=""))*'Exp factors'!F$21,"")</f>
        <v/>
      </c>
      <c r="DT58" s="1758"/>
      <c r="DU58" s="1707"/>
    </row>
    <row r="59" spans="1:125" ht="12.75" customHeight="1">
      <c r="A59" s="1762" t="s">
        <v>181</v>
      </c>
      <c r="B59" s="1763"/>
      <c r="C59" s="1763"/>
      <c r="D59" s="1763"/>
      <c r="E59" s="1763"/>
      <c r="F59" s="1763"/>
      <c r="G59" s="1763"/>
      <c r="H59" s="1763"/>
      <c r="I59" s="1763"/>
      <c r="J59" s="1763"/>
      <c r="K59" s="1763"/>
      <c r="L59" s="1763"/>
      <c r="M59" s="1763"/>
      <c r="N59" s="1763"/>
      <c r="O59" s="1763"/>
      <c r="P59" s="1763"/>
      <c r="Q59" s="1763"/>
      <c r="R59" s="1763"/>
      <c r="S59" s="1755"/>
      <c r="T59" s="1763"/>
      <c r="U59" s="1763"/>
      <c r="V59" s="1763"/>
      <c r="W59" s="1763"/>
      <c r="X59" s="1763"/>
      <c r="Y59" s="1763"/>
      <c r="Z59" s="1763"/>
      <c r="AA59" s="1763"/>
      <c r="AB59" s="1763"/>
      <c r="AC59" s="1763"/>
      <c r="AD59" s="1763"/>
      <c r="AE59" s="1763"/>
      <c r="AF59" s="1763"/>
      <c r="AG59" s="1763"/>
      <c r="AH59" s="1763"/>
      <c r="AI59" s="1763"/>
      <c r="AJ59" s="1763"/>
      <c r="AK59" s="1755"/>
      <c r="AL59" s="1763"/>
      <c r="AM59" s="1763"/>
      <c r="AN59" s="1763"/>
      <c r="AO59" s="1763"/>
      <c r="AP59" s="1763"/>
      <c r="AQ59" s="1763"/>
      <c r="AR59" s="1763"/>
      <c r="AS59" s="1763"/>
      <c r="AT59" s="1763"/>
      <c r="AU59" s="1763"/>
      <c r="AV59" s="1763"/>
      <c r="AW59" s="1763"/>
      <c r="AX59" s="1763"/>
      <c r="AY59" s="1763"/>
      <c r="AZ59" s="1763"/>
      <c r="BA59" s="1763"/>
      <c r="BB59" s="1763"/>
      <c r="BC59" s="1755"/>
      <c r="BD59" s="1763"/>
      <c r="BE59" s="1763"/>
      <c r="BF59" s="1763"/>
      <c r="BG59" s="1763"/>
      <c r="BH59" s="1763"/>
      <c r="BI59" s="1763"/>
      <c r="BJ59" s="1763"/>
      <c r="BK59" s="1763"/>
      <c r="BL59" s="1763"/>
      <c r="BM59" s="1763"/>
      <c r="BN59" s="1763"/>
      <c r="BO59" s="1763"/>
      <c r="BP59" s="1763"/>
      <c r="BQ59" s="1763"/>
      <c r="BR59" s="1763"/>
      <c r="BS59" s="1763"/>
      <c r="BT59" s="1763"/>
      <c r="BU59" s="1755"/>
      <c r="BV59" s="1763"/>
      <c r="BW59" s="1763"/>
      <c r="BX59" s="1763"/>
      <c r="BY59" s="1763"/>
      <c r="BZ59" s="1748" t="str">
        <f t="shared" si="81"/>
        <v/>
      </c>
      <c r="CA59" s="1748" t="str">
        <f t="shared" si="82"/>
        <v/>
      </c>
      <c r="CB59" s="1748" t="str">
        <f t="shared" si="83"/>
        <v/>
      </c>
      <c r="CC59" s="1749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 t="str">
        <f t="shared" si="86"/>
        <v/>
      </c>
      <c r="CL59" s="1686" t="str">
        <f t="shared" si="86"/>
        <v/>
      </c>
      <c r="CM59" s="1686" t="str">
        <f t="shared" si="86"/>
        <v/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1696" t="str">
        <f t="shared" si="87"/>
        <v/>
      </c>
      <c r="CV59" s="1697" t="str">
        <f t="shared" si="88"/>
        <v/>
      </c>
      <c r="CW59" s="1698" t="str">
        <f t="shared" si="89"/>
        <v/>
      </c>
      <c r="CX59" s="1698" t="str">
        <f t="shared" si="90"/>
        <v/>
      </c>
      <c r="CY59" s="1698" t="str">
        <f t="shared" si="91"/>
        <v/>
      </c>
      <c r="CZ59" s="1698" t="str">
        <f t="shared" si="92"/>
        <v/>
      </c>
      <c r="DA59" s="1698" t="str">
        <f t="shared" si="93"/>
        <v/>
      </c>
      <c r="DB59" s="1699" t="str">
        <f t="shared" si="94"/>
        <v/>
      </c>
      <c r="DC59" s="1699" t="str">
        <f t="shared" si="95"/>
        <v/>
      </c>
      <c r="DD59" s="1699" t="str">
        <f t="shared" si="96"/>
        <v/>
      </c>
      <c r="DE59" s="1698" t="str">
        <f t="shared" si="97"/>
        <v/>
      </c>
      <c r="DF59" s="1698" t="str">
        <f t="shared" si="98"/>
        <v/>
      </c>
      <c r="DG59" s="1698" t="str">
        <f t="shared" si="99"/>
        <v/>
      </c>
      <c r="DH59" s="1698" t="str">
        <f t="shared" si="100"/>
        <v/>
      </c>
      <c r="DI59" s="1698" t="str">
        <f t="shared" si="101"/>
        <v/>
      </c>
      <c r="DJ59" s="1697" t="str">
        <f t="shared" si="102"/>
        <v/>
      </c>
      <c r="DK59" s="1696" t="str">
        <f t="shared" si="103"/>
        <v/>
      </c>
      <c r="DL59" s="1750">
        <f t="shared" si="104"/>
        <v>0</v>
      </c>
      <c r="DM59" s="1386">
        <f t="shared" si="105"/>
        <v>0</v>
      </c>
      <c r="DN59" s="1386">
        <f t="shared" si="106"/>
        <v>0</v>
      </c>
      <c r="DO59" s="1386">
        <f t="shared" si="107"/>
        <v>0</v>
      </c>
      <c r="DP59" s="1756"/>
      <c r="DQ59" s="1427"/>
      <c r="DR59" s="1427"/>
      <c r="DS59" s="1757"/>
      <c r="DT59" s="1758"/>
      <c r="DU59" s="1707"/>
    </row>
    <row r="60" spans="1:125" ht="12.75" customHeight="1">
      <c r="A60" s="1762" t="s">
        <v>183</v>
      </c>
      <c r="B60" s="1355" t="str">
        <f t="shared" ref="B60:R60" si="124">IF(B58="","",B58*B59)</f>
        <v/>
      </c>
      <c r="C60" s="1355" t="str">
        <f t="shared" si="124"/>
        <v/>
      </c>
      <c r="D60" s="1355" t="str">
        <f t="shared" si="124"/>
        <v/>
      </c>
      <c r="E60" s="1355" t="str">
        <f t="shared" si="124"/>
        <v/>
      </c>
      <c r="F60" s="1355" t="str">
        <f t="shared" si="124"/>
        <v/>
      </c>
      <c r="G60" s="1355" t="str">
        <f t="shared" si="124"/>
        <v/>
      </c>
      <c r="H60" s="1355" t="str">
        <f t="shared" si="124"/>
        <v/>
      </c>
      <c r="I60" s="1355" t="str">
        <f t="shared" si="124"/>
        <v/>
      </c>
      <c r="J60" s="1355" t="str">
        <f t="shared" si="124"/>
        <v/>
      </c>
      <c r="K60" s="1355" t="str">
        <f t="shared" si="124"/>
        <v/>
      </c>
      <c r="L60" s="1355" t="str">
        <f t="shared" si="124"/>
        <v/>
      </c>
      <c r="M60" s="1355" t="str">
        <f t="shared" si="124"/>
        <v/>
      </c>
      <c r="N60" s="1355" t="str">
        <f t="shared" si="124"/>
        <v/>
      </c>
      <c r="O60" s="1355" t="str">
        <f t="shared" si="124"/>
        <v/>
      </c>
      <c r="P60" s="1355" t="str">
        <f t="shared" si="124"/>
        <v/>
      </c>
      <c r="Q60" s="1355" t="str">
        <f t="shared" si="124"/>
        <v/>
      </c>
      <c r="R60" s="1355" t="str">
        <f t="shared" si="124"/>
        <v/>
      </c>
      <c r="S60" s="1765"/>
      <c r="T60" s="1355" t="str">
        <f t="shared" ref="T60:AJ60" si="125">IF(T58="","",T58*T59)</f>
        <v/>
      </c>
      <c r="U60" s="1355" t="str">
        <f t="shared" si="125"/>
        <v/>
      </c>
      <c r="V60" s="1355" t="str">
        <f t="shared" si="125"/>
        <v/>
      </c>
      <c r="W60" s="1355" t="str">
        <f t="shared" si="125"/>
        <v/>
      </c>
      <c r="X60" s="1355" t="str">
        <f t="shared" si="125"/>
        <v/>
      </c>
      <c r="Y60" s="1355" t="str">
        <f t="shared" si="125"/>
        <v/>
      </c>
      <c r="Z60" s="1355" t="str">
        <f t="shared" si="125"/>
        <v/>
      </c>
      <c r="AA60" s="1355" t="str">
        <f t="shared" si="125"/>
        <v/>
      </c>
      <c r="AB60" s="1355" t="str">
        <f t="shared" si="125"/>
        <v/>
      </c>
      <c r="AC60" s="1355" t="str">
        <f t="shared" si="125"/>
        <v/>
      </c>
      <c r="AD60" s="1355" t="str">
        <f t="shared" si="125"/>
        <v/>
      </c>
      <c r="AE60" s="1355" t="str">
        <f t="shared" si="125"/>
        <v/>
      </c>
      <c r="AF60" s="1355" t="str">
        <f t="shared" si="125"/>
        <v/>
      </c>
      <c r="AG60" s="1355" t="str">
        <f t="shared" si="125"/>
        <v/>
      </c>
      <c r="AH60" s="1355" t="str">
        <f t="shared" si="125"/>
        <v/>
      </c>
      <c r="AI60" s="1355" t="str">
        <f t="shared" si="125"/>
        <v/>
      </c>
      <c r="AJ60" s="1355" t="str">
        <f t="shared" si="125"/>
        <v/>
      </c>
      <c r="AK60" s="1765"/>
      <c r="AL60" s="1355" t="str">
        <f t="shared" ref="AL60:BB60" si="126">IF(AL58="","",AL58*AL59)</f>
        <v/>
      </c>
      <c r="AM60" s="1355" t="str">
        <f t="shared" si="126"/>
        <v/>
      </c>
      <c r="AN60" s="1355" t="str">
        <f t="shared" si="126"/>
        <v/>
      </c>
      <c r="AO60" s="1355" t="str">
        <f t="shared" si="126"/>
        <v/>
      </c>
      <c r="AP60" s="1355" t="str">
        <f t="shared" si="126"/>
        <v/>
      </c>
      <c r="AQ60" s="1355" t="str">
        <f t="shared" si="126"/>
        <v/>
      </c>
      <c r="AR60" s="1355" t="str">
        <f t="shared" si="126"/>
        <v/>
      </c>
      <c r="AS60" s="1355" t="str">
        <f t="shared" si="126"/>
        <v/>
      </c>
      <c r="AT60" s="1355" t="str">
        <f t="shared" si="126"/>
        <v/>
      </c>
      <c r="AU60" s="1355" t="str">
        <f t="shared" si="126"/>
        <v/>
      </c>
      <c r="AV60" s="1355" t="str">
        <f t="shared" si="126"/>
        <v/>
      </c>
      <c r="AW60" s="1355" t="str">
        <f t="shared" si="126"/>
        <v/>
      </c>
      <c r="AX60" s="1355" t="str">
        <f t="shared" si="126"/>
        <v/>
      </c>
      <c r="AY60" s="1355" t="str">
        <f t="shared" si="126"/>
        <v/>
      </c>
      <c r="AZ60" s="1355" t="str">
        <f t="shared" si="126"/>
        <v/>
      </c>
      <c r="BA60" s="1355" t="str">
        <f t="shared" si="126"/>
        <v/>
      </c>
      <c r="BB60" s="1355" t="str">
        <f t="shared" si="126"/>
        <v/>
      </c>
      <c r="BC60" s="1765"/>
      <c r="BD60" s="1355" t="str">
        <f t="shared" ref="BD60:BT60" si="127">IF(BD58="","",BD58*BD59)</f>
        <v/>
      </c>
      <c r="BE60" s="1355" t="str">
        <f t="shared" si="127"/>
        <v/>
      </c>
      <c r="BF60" s="1355" t="str">
        <f t="shared" si="127"/>
        <v/>
      </c>
      <c r="BG60" s="1355" t="str">
        <f t="shared" si="127"/>
        <v/>
      </c>
      <c r="BH60" s="1355" t="str">
        <f t="shared" si="127"/>
        <v/>
      </c>
      <c r="BI60" s="1355" t="str">
        <f t="shared" si="127"/>
        <v/>
      </c>
      <c r="BJ60" s="1355" t="str">
        <f t="shared" si="127"/>
        <v/>
      </c>
      <c r="BK60" s="1355" t="str">
        <f t="shared" si="127"/>
        <v/>
      </c>
      <c r="BL60" s="1355" t="str">
        <f t="shared" si="127"/>
        <v/>
      </c>
      <c r="BM60" s="1355" t="str">
        <f t="shared" si="127"/>
        <v/>
      </c>
      <c r="BN60" s="1355" t="str">
        <f t="shared" si="127"/>
        <v/>
      </c>
      <c r="BO60" s="1355" t="str">
        <f t="shared" si="127"/>
        <v/>
      </c>
      <c r="BP60" s="1355" t="str">
        <f t="shared" si="127"/>
        <v/>
      </c>
      <c r="BQ60" s="1355" t="str">
        <f t="shared" si="127"/>
        <v/>
      </c>
      <c r="BR60" s="1355" t="str">
        <f t="shared" si="127"/>
        <v/>
      </c>
      <c r="BS60" s="1355" t="str">
        <f t="shared" si="127"/>
        <v/>
      </c>
      <c r="BT60" s="1355" t="str">
        <f t="shared" si="127"/>
        <v/>
      </c>
      <c r="BU60" s="1765"/>
      <c r="BV60" s="1355" t="str">
        <f>IF(BV58="","",BV58*BV59)</f>
        <v/>
      </c>
      <c r="BW60" s="1355" t="str">
        <f>IF(BW58="","",BW58*BW59)</f>
        <v/>
      </c>
      <c r="BX60" s="1355" t="str">
        <f>IF(BX58="","",BX58*BX59)</f>
        <v/>
      </c>
      <c r="BY60" s="1355" t="str">
        <f>IF(BY58="","",BY58*BY59)</f>
        <v/>
      </c>
      <c r="BZ60" s="1748" t="str">
        <f t="shared" si="81"/>
        <v/>
      </c>
      <c r="CA60" s="1748" t="str">
        <f t="shared" si="82"/>
        <v/>
      </c>
      <c r="CB60" s="1748" t="str">
        <f t="shared" si="83"/>
        <v/>
      </c>
      <c r="CC60" s="1749" t="str">
        <f t="shared" si="84"/>
        <v/>
      </c>
      <c r="CD60" s="1683" t="str">
        <f t="shared" si="86"/>
        <v/>
      </c>
      <c r="CE60" s="1684" t="str">
        <f t="shared" si="86"/>
        <v/>
      </c>
      <c r="CF60" s="1685" t="str">
        <f t="shared" si="86"/>
        <v/>
      </c>
      <c r="CG60" s="1685" t="str">
        <f t="shared" si="86"/>
        <v/>
      </c>
      <c r="CH60" s="1685" t="str">
        <f t="shared" si="86"/>
        <v/>
      </c>
      <c r="CI60" s="1685" t="str">
        <f t="shared" si="86"/>
        <v/>
      </c>
      <c r="CJ60" s="1685" t="str">
        <f t="shared" si="86"/>
        <v/>
      </c>
      <c r="CK60" s="1686" t="str">
        <f t="shared" si="86"/>
        <v/>
      </c>
      <c r="CL60" s="1686" t="str">
        <f t="shared" si="86"/>
        <v/>
      </c>
      <c r="CM60" s="1686" t="str">
        <f t="shared" si="86"/>
        <v/>
      </c>
      <c r="CN60" s="1685" t="str">
        <f t="shared" si="86"/>
        <v/>
      </c>
      <c r="CO60" s="1685" t="str">
        <f t="shared" si="86"/>
        <v/>
      </c>
      <c r="CP60" s="1685" t="str">
        <f t="shared" si="86"/>
        <v/>
      </c>
      <c r="CQ60" s="1685" t="str">
        <f t="shared" si="86"/>
        <v/>
      </c>
      <c r="CR60" s="1685" t="str">
        <f t="shared" si="86"/>
        <v/>
      </c>
      <c r="CS60" s="1684" t="str">
        <f t="shared" si="86"/>
        <v/>
      </c>
      <c r="CT60" s="1687" t="str">
        <f t="shared" si="86"/>
        <v/>
      </c>
      <c r="CU60" s="1696" t="str">
        <f t="shared" si="87"/>
        <v/>
      </c>
      <c r="CV60" s="1697" t="str">
        <f t="shared" si="88"/>
        <v/>
      </c>
      <c r="CW60" s="1698" t="str">
        <f t="shared" si="89"/>
        <v/>
      </c>
      <c r="CX60" s="1698" t="str">
        <f t="shared" si="90"/>
        <v/>
      </c>
      <c r="CY60" s="1698" t="str">
        <f t="shared" si="91"/>
        <v/>
      </c>
      <c r="CZ60" s="1698" t="str">
        <f t="shared" si="92"/>
        <v/>
      </c>
      <c r="DA60" s="1698" t="str">
        <f t="shared" si="93"/>
        <v/>
      </c>
      <c r="DB60" s="1699" t="str">
        <f t="shared" si="94"/>
        <v/>
      </c>
      <c r="DC60" s="1699" t="str">
        <f t="shared" si="95"/>
        <v/>
      </c>
      <c r="DD60" s="1699" t="str">
        <f t="shared" si="96"/>
        <v/>
      </c>
      <c r="DE60" s="1698" t="str">
        <f t="shared" si="97"/>
        <v/>
      </c>
      <c r="DF60" s="1698" t="str">
        <f t="shared" si="98"/>
        <v/>
      </c>
      <c r="DG60" s="1698" t="str">
        <f t="shared" si="99"/>
        <v/>
      </c>
      <c r="DH60" s="1698" t="str">
        <f t="shared" si="100"/>
        <v/>
      </c>
      <c r="DI60" s="1698" t="str">
        <f t="shared" si="101"/>
        <v/>
      </c>
      <c r="DJ60" s="1697" t="str">
        <f t="shared" si="102"/>
        <v/>
      </c>
      <c r="DK60" s="1696" t="str">
        <f t="shared" si="103"/>
        <v/>
      </c>
      <c r="DL60" s="1750">
        <f t="shared" si="104"/>
        <v>0</v>
      </c>
      <c r="DM60" s="1386">
        <f t="shared" si="105"/>
        <v>0</v>
      </c>
      <c r="DN60" s="1386">
        <f t="shared" si="106"/>
        <v>0</v>
      </c>
      <c r="DO60" s="1386">
        <f t="shared" si="107"/>
        <v>0</v>
      </c>
      <c r="DP60" s="1766" t="str">
        <f>IF(DP58="","",DP58*BV59)</f>
        <v/>
      </c>
      <c r="DQ60" s="1463" t="str">
        <f>IF(DQ58="","",DQ58*BW59)</f>
        <v/>
      </c>
      <c r="DR60" s="1463" t="str">
        <f>IF(DR58="","",DR58*BX59)</f>
        <v/>
      </c>
      <c r="DS60" s="1767" t="str">
        <f>IF(DS58="","",DS58*BY59)</f>
        <v/>
      </c>
      <c r="DT60" s="1758"/>
      <c r="DU60" s="1707"/>
    </row>
    <row r="61" spans="1:125" ht="12.75" customHeight="1">
      <c r="A61" s="1762" t="s">
        <v>258</v>
      </c>
      <c r="B61" s="1768"/>
      <c r="C61" s="1768"/>
      <c r="D61" s="1768"/>
      <c r="E61" s="1768"/>
      <c r="F61" s="1768"/>
      <c r="G61" s="1768"/>
      <c r="H61" s="1768"/>
      <c r="I61" s="1768"/>
      <c r="J61" s="1768"/>
      <c r="K61" s="1768"/>
      <c r="L61" s="1768"/>
      <c r="M61" s="1768"/>
      <c r="N61" s="1768"/>
      <c r="O61" s="1768"/>
      <c r="P61" s="1768"/>
      <c r="Q61" s="1768"/>
      <c r="R61" s="1768"/>
      <c r="S61" s="1747"/>
      <c r="T61" s="1768"/>
      <c r="U61" s="1768"/>
      <c r="V61" s="1768"/>
      <c r="W61" s="1768"/>
      <c r="X61" s="1768"/>
      <c r="Y61" s="1768"/>
      <c r="Z61" s="1768"/>
      <c r="AA61" s="1768"/>
      <c r="AB61" s="1768"/>
      <c r="AC61" s="1768"/>
      <c r="AD61" s="1768"/>
      <c r="AE61" s="1768"/>
      <c r="AF61" s="1768"/>
      <c r="AG61" s="1768"/>
      <c r="AH61" s="1768"/>
      <c r="AI61" s="1768"/>
      <c r="AJ61" s="1768"/>
      <c r="AK61" s="1747"/>
      <c r="AL61" s="1768"/>
      <c r="AM61" s="1768"/>
      <c r="AN61" s="1768"/>
      <c r="AO61" s="1768"/>
      <c r="AP61" s="1768"/>
      <c r="AQ61" s="1768"/>
      <c r="AR61" s="1768"/>
      <c r="AS61" s="1768"/>
      <c r="AT61" s="1768"/>
      <c r="AU61" s="1768"/>
      <c r="AV61" s="1768"/>
      <c r="AW61" s="1768"/>
      <c r="AX61" s="1768"/>
      <c r="AY61" s="1768"/>
      <c r="AZ61" s="1768"/>
      <c r="BA61" s="1768"/>
      <c r="BB61" s="1768"/>
      <c r="BC61" s="1747"/>
      <c r="BD61" s="1768"/>
      <c r="BE61" s="1768"/>
      <c r="BF61" s="1768"/>
      <c r="BG61" s="1768"/>
      <c r="BH61" s="1768"/>
      <c r="BI61" s="1768"/>
      <c r="BJ61" s="1768"/>
      <c r="BK61" s="1768"/>
      <c r="BL61" s="1768"/>
      <c r="BM61" s="1768"/>
      <c r="BN61" s="1768"/>
      <c r="BO61" s="1768"/>
      <c r="BP61" s="1768"/>
      <c r="BQ61" s="1768"/>
      <c r="BR61" s="1768"/>
      <c r="BS61" s="1768"/>
      <c r="BT61" s="1768"/>
      <c r="BU61" s="1747"/>
      <c r="BV61" s="1768"/>
      <c r="BW61" s="1768"/>
      <c r="BX61" s="1768"/>
      <c r="BY61" s="1768"/>
      <c r="BZ61" s="1748" t="str">
        <f t="shared" si="81"/>
        <v/>
      </c>
      <c r="CA61" s="1748" t="str">
        <f t="shared" si="82"/>
        <v/>
      </c>
      <c r="CB61" s="1748" t="str">
        <f t="shared" si="83"/>
        <v/>
      </c>
      <c r="CC61" s="1749" t="str">
        <f t="shared" si="84"/>
        <v/>
      </c>
      <c r="CD61" s="1683" t="str">
        <f t="shared" si="86"/>
        <v/>
      </c>
      <c r="CE61" s="1684" t="str">
        <f t="shared" si="86"/>
        <v/>
      </c>
      <c r="CF61" s="1685" t="str">
        <f t="shared" si="86"/>
        <v/>
      </c>
      <c r="CG61" s="1685" t="str">
        <f t="shared" si="86"/>
        <v/>
      </c>
      <c r="CH61" s="1685" t="str">
        <f t="shared" si="86"/>
        <v/>
      </c>
      <c r="CI61" s="1685" t="str">
        <f t="shared" si="86"/>
        <v/>
      </c>
      <c r="CJ61" s="1685" t="str">
        <f t="shared" si="86"/>
        <v/>
      </c>
      <c r="CK61" s="1686" t="str">
        <f t="shared" si="86"/>
        <v/>
      </c>
      <c r="CL61" s="1686" t="str">
        <f t="shared" si="86"/>
        <v/>
      </c>
      <c r="CM61" s="1686" t="str">
        <f t="shared" si="86"/>
        <v/>
      </c>
      <c r="CN61" s="1685" t="str">
        <f t="shared" si="86"/>
        <v/>
      </c>
      <c r="CO61" s="1685" t="str">
        <f t="shared" si="86"/>
        <v/>
      </c>
      <c r="CP61" s="1685" t="str">
        <f t="shared" si="86"/>
        <v/>
      </c>
      <c r="CQ61" s="1685" t="str">
        <f t="shared" si="86"/>
        <v/>
      </c>
      <c r="CR61" s="1685" t="str">
        <f t="shared" si="86"/>
        <v/>
      </c>
      <c r="CS61" s="1684" t="str">
        <f t="shared" si="86"/>
        <v/>
      </c>
      <c r="CT61" s="1687" t="str">
        <f t="shared" si="86"/>
        <v/>
      </c>
      <c r="CU61" s="1696" t="str">
        <f t="shared" si="87"/>
        <v/>
      </c>
      <c r="CV61" s="1697" t="str">
        <f t="shared" si="88"/>
        <v/>
      </c>
      <c r="CW61" s="1698" t="str">
        <f t="shared" si="89"/>
        <v/>
      </c>
      <c r="CX61" s="1698" t="str">
        <f t="shared" si="90"/>
        <v/>
      </c>
      <c r="CY61" s="1698" t="str">
        <f t="shared" si="91"/>
        <v/>
      </c>
      <c r="CZ61" s="1698" t="str">
        <f t="shared" si="92"/>
        <v/>
      </c>
      <c r="DA61" s="1698" t="str">
        <f t="shared" si="93"/>
        <v/>
      </c>
      <c r="DB61" s="1699" t="str">
        <f t="shared" si="94"/>
        <v/>
      </c>
      <c r="DC61" s="1699" t="str">
        <f t="shared" si="95"/>
        <v/>
      </c>
      <c r="DD61" s="1699" t="str">
        <f t="shared" si="96"/>
        <v/>
      </c>
      <c r="DE61" s="1698" t="str">
        <f t="shared" si="97"/>
        <v/>
      </c>
      <c r="DF61" s="1698" t="str">
        <f t="shared" si="98"/>
        <v/>
      </c>
      <c r="DG61" s="1698" t="str">
        <f t="shared" si="99"/>
        <v/>
      </c>
      <c r="DH61" s="1698" t="str">
        <f t="shared" si="100"/>
        <v/>
      </c>
      <c r="DI61" s="1698" t="str">
        <f t="shared" si="101"/>
        <v/>
      </c>
      <c r="DJ61" s="1697" t="str">
        <f t="shared" si="102"/>
        <v/>
      </c>
      <c r="DK61" s="1696" t="str">
        <f t="shared" si="103"/>
        <v/>
      </c>
      <c r="DL61" s="1750">
        <f t="shared" si="104"/>
        <v>0</v>
      </c>
      <c r="DM61" s="1386">
        <f t="shared" si="105"/>
        <v>0</v>
      </c>
      <c r="DN61" s="1386">
        <f t="shared" si="106"/>
        <v>0</v>
      </c>
      <c r="DO61" s="1386">
        <f t="shared" si="107"/>
        <v>0</v>
      </c>
      <c r="DP61" s="1769"/>
      <c r="DQ61" s="1492"/>
      <c r="DR61" s="1492"/>
      <c r="DS61" s="1770"/>
      <c r="DT61" s="1758"/>
      <c r="DU61" s="1707"/>
    </row>
    <row r="62" spans="1:125" ht="12.75" customHeight="1">
      <c r="A62" s="1771" t="s">
        <v>252</v>
      </c>
      <c r="B62" s="1354" t="str">
        <f t="shared" ref="B62:R62" si="128">IF(B56="","",(B56-B58-B61)*B57/B$7/365/$G$1)</f>
        <v/>
      </c>
      <c r="C62" s="1354" t="str">
        <f t="shared" si="128"/>
        <v/>
      </c>
      <c r="D62" s="1354" t="str">
        <f t="shared" si="128"/>
        <v/>
      </c>
      <c r="E62" s="1354" t="str">
        <f t="shared" si="128"/>
        <v/>
      </c>
      <c r="F62" s="1354" t="str">
        <f t="shared" si="128"/>
        <v/>
      </c>
      <c r="G62" s="1354" t="str">
        <f t="shared" si="128"/>
        <v/>
      </c>
      <c r="H62" s="1354" t="str">
        <f t="shared" si="128"/>
        <v/>
      </c>
      <c r="I62" s="1354" t="str">
        <f t="shared" si="128"/>
        <v/>
      </c>
      <c r="J62" s="1354" t="str">
        <f t="shared" si="128"/>
        <v/>
      </c>
      <c r="K62" s="1354" t="str">
        <f t="shared" si="128"/>
        <v/>
      </c>
      <c r="L62" s="1354" t="str">
        <f t="shared" si="128"/>
        <v/>
      </c>
      <c r="M62" s="1354" t="str">
        <f t="shared" si="128"/>
        <v/>
      </c>
      <c r="N62" s="1354" t="str">
        <f t="shared" si="128"/>
        <v/>
      </c>
      <c r="O62" s="1354" t="str">
        <f t="shared" si="128"/>
        <v/>
      </c>
      <c r="P62" s="1354" t="str">
        <f t="shared" si="128"/>
        <v/>
      </c>
      <c r="Q62" s="1354" t="str">
        <f t="shared" si="128"/>
        <v/>
      </c>
      <c r="R62" s="1354" t="str">
        <f t="shared" si="128"/>
        <v/>
      </c>
      <c r="S62" s="1772"/>
      <c r="T62" s="1354" t="str">
        <f t="shared" ref="T62:AJ62" si="129">IF(T56="","",(T56-T58-T61)*T57/T$7/365/$G$1)</f>
        <v/>
      </c>
      <c r="U62" s="1354" t="str">
        <f t="shared" si="129"/>
        <v/>
      </c>
      <c r="V62" s="1354" t="str">
        <f t="shared" si="129"/>
        <v/>
      </c>
      <c r="W62" s="1354" t="str">
        <f t="shared" si="129"/>
        <v/>
      </c>
      <c r="X62" s="1354" t="str">
        <f t="shared" si="129"/>
        <v/>
      </c>
      <c r="Y62" s="1354" t="str">
        <f t="shared" si="129"/>
        <v/>
      </c>
      <c r="Z62" s="1354" t="str">
        <f t="shared" si="129"/>
        <v/>
      </c>
      <c r="AA62" s="1354" t="str">
        <f t="shared" si="129"/>
        <v/>
      </c>
      <c r="AB62" s="1354" t="str">
        <f t="shared" si="129"/>
        <v/>
      </c>
      <c r="AC62" s="1354" t="str">
        <f t="shared" si="129"/>
        <v/>
      </c>
      <c r="AD62" s="1354" t="str">
        <f t="shared" si="129"/>
        <v/>
      </c>
      <c r="AE62" s="1354" t="str">
        <f t="shared" si="129"/>
        <v/>
      </c>
      <c r="AF62" s="1354" t="str">
        <f t="shared" si="129"/>
        <v/>
      </c>
      <c r="AG62" s="1354" t="str">
        <f t="shared" si="129"/>
        <v/>
      </c>
      <c r="AH62" s="1354" t="str">
        <f t="shared" si="129"/>
        <v/>
      </c>
      <c r="AI62" s="1354" t="str">
        <f t="shared" si="129"/>
        <v/>
      </c>
      <c r="AJ62" s="1354" t="str">
        <f t="shared" si="129"/>
        <v/>
      </c>
      <c r="AK62" s="1772"/>
      <c r="AL62" s="1354" t="str">
        <f t="shared" ref="AL62:BB62" si="130">IF(AL56="","",(AL56-AL58-AL61)*AL57/AL$7/365/$G$1)</f>
        <v/>
      </c>
      <c r="AM62" s="1354" t="str">
        <f t="shared" si="130"/>
        <v/>
      </c>
      <c r="AN62" s="1354" t="str">
        <f t="shared" si="130"/>
        <v/>
      </c>
      <c r="AO62" s="1354" t="str">
        <f t="shared" si="130"/>
        <v/>
      </c>
      <c r="AP62" s="1354" t="str">
        <f t="shared" si="130"/>
        <v/>
      </c>
      <c r="AQ62" s="1354" t="str">
        <f t="shared" si="130"/>
        <v/>
      </c>
      <c r="AR62" s="1354" t="str">
        <f t="shared" si="130"/>
        <v/>
      </c>
      <c r="AS62" s="1354" t="str">
        <f t="shared" si="130"/>
        <v/>
      </c>
      <c r="AT62" s="1354" t="str">
        <f t="shared" si="130"/>
        <v/>
      </c>
      <c r="AU62" s="1354" t="str">
        <f t="shared" si="130"/>
        <v/>
      </c>
      <c r="AV62" s="1354" t="str">
        <f t="shared" si="130"/>
        <v/>
      </c>
      <c r="AW62" s="1354" t="str">
        <f t="shared" si="130"/>
        <v/>
      </c>
      <c r="AX62" s="1354" t="str">
        <f t="shared" si="130"/>
        <v/>
      </c>
      <c r="AY62" s="1354" t="str">
        <f t="shared" si="130"/>
        <v/>
      </c>
      <c r="AZ62" s="1354" t="str">
        <f t="shared" si="130"/>
        <v/>
      </c>
      <c r="BA62" s="1354" t="str">
        <f t="shared" si="130"/>
        <v/>
      </c>
      <c r="BB62" s="1354" t="str">
        <f t="shared" si="130"/>
        <v/>
      </c>
      <c r="BC62" s="1772"/>
      <c r="BD62" s="1354" t="str">
        <f t="shared" ref="BD62:BT62" si="131">IF(BD56="","",(BD56-BD58-BD61)*BD57/BD$7/365/$G$1)</f>
        <v/>
      </c>
      <c r="BE62" s="1354" t="str">
        <f t="shared" si="131"/>
        <v/>
      </c>
      <c r="BF62" s="1354" t="str">
        <f t="shared" si="131"/>
        <v/>
      </c>
      <c r="BG62" s="1354" t="str">
        <f t="shared" si="131"/>
        <v/>
      </c>
      <c r="BH62" s="1354" t="str">
        <f t="shared" si="131"/>
        <v/>
      </c>
      <c r="BI62" s="1354" t="str">
        <f t="shared" si="131"/>
        <v/>
      </c>
      <c r="BJ62" s="1354" t="str">
        <f t="shared" si="131"/>
        <v/>
      </c>
      <c r="BK62" s="1354" t="str">
        <f t="shared" si="131"/>
        <v/>
      </c>
      <c r="BL62" s="1354" t="str">
        <f t="shared" si="131"/>
        <v/>
      </c>
      <c r="BM62" s="1354" t="str">
        <f t="shared" si="131"/>
        <v/>
      </c>
      <c r="BN62" s="1354" t="str">
        <f t="shared" si="131"/>
        <v/>
      </c>
      <c r="BO62" s="1354" t="str">
        <f t="shared" si="131"/>
        <v/>
      </c>
      <c r="BP62" s="1354" t="str">
        <f t="shared" si="131"/>
        <v/>
      </c>
      <c r="BQ62" s="1354" t="str">
        <f t="shared" si="131"/>
        <v/>
      </c>
      <c r="BR62" s="1354" t="str">
        <f t="shared" si="131"/>
        <v/>
      </c>
      <c r="BS62" s="1354" t="str">
        <f t="shared" si="131"/>
        <v/>
      </c>
      <c r="BT62" s="1354" t="str">
        <f t="shared" si="131"/>
        <v/>
      </c>
      <c r="BU62" s="1772"/>
      <c r="BV62" s="1354" t="str">
        <f>IF(BV56="","",(BV56-BV58-BV61)*BV57/BV$7/365/$G$1)</f>
        <v/>
      </c>
      <c r="BW62" s="1354" t="str">
        <f>IF(BW56="","",(BW56-BW58-BW61)*BW57/BW$7/365/$G$1)</f>
        <v/>
      </c>
      <c r="BX62" s="1354" t="str">
        <f>IF(BX56="","",(BX56-BX58-BX61)*BX57/BX$7/365/$G$1)</f>
        <v/>
      </c>
      <c r="BY62" s="1354" t="str">
        <f>IF(BY56="","",(BY56-BY58-BY61)*BY57/BY$7/365/$G$1)</f>
        <v/>
      </c>
      <c r="BZ62" s="1773" t="str">
        <f t="shared" si="81"/>
        <v/>
      </c>
      <c r="CA62" s="1773" t="str">
        <f t="shared" si="82"/>
        <v/>
      </c>
      <c r="CB62" s="1773" t="str">
        <f t="shared" si="83"/>
        <v/>
      </c>
      <c r="CC62" s="1774" t="str">
        <f t="shared" si="84"/>
        <v/>
      </c>
      <c r="CD62" s="1700" t="str">
        <f t="shared" si="86"/>
        <v/>
      </c>
      <c r="CE62" s="1701" t="str">
        <f t="shared" si="86"/>
        <v/>
      </c>
      <c r="CF62" s="1702" t="str">
        <f t="shared" si="86"/>
        <v/>
      </c>
      <c r="CG62" s="1702" t="str">
        <f t="shared" si="86"/>
        <v/>
      </c>
      <c r="CH62" s="1702" t="str">
        <f t="shared" si="86"/>
        <v/>
      </c>
      <c r="CI62" s="1702" t="str">
        <f t="shared" si="86"/>
        <v/>
      </c>
      <c r="CJ62" s="1702" t="str">
        <f t="shared" si="86"/>
        <v/>
      </c>
      <c r="CK62" s="1703" t="str">
        <f t="shared" si="86"/>
        <v/>
      </c>
      <c r="CL62" s="1703" t="str">
        <f t="shared" si="86"/>
        <v/>
      </c>
      <c r="CM62" s="1703" t="str">
        <f t="shared" si="86"/>
        <v/>
      </c>
      <c r="CN62" s="1702" t="str">
        <f t="shared" si="86"/>
        <v/>
      </c>
      <c r="CO62" s="1702" t="str">
        <f t="shared" si="86"/>
        <v/>
      </c>
      <c r="CP62" s="1702" t="str">
        <f t="shared" si="86"/>
        <v/>
      </c>
      <c r="CQ62" s="1702" t="str">
        <f t="shared" si="86"/>
        <v/>
      </c>
      <c r="CR62" s="1702" t="str">
        <f t="shared" si="86"/>
        <v/>
      </c>
      <c r="CS62" s="1701" t="str">
        <f t="shared" si="86"/>
        <v/>
      </c>
      <c r="CT62" s="1704" t="str">
        <f t="shared" si="86"/>
        <v/>
      </c>
      <c r="CU62" s="1705" t="str">
        <f t="shared" si="87"/>
        <v/>
      </c>
      <c r="CV62" s="1701" t="str">
        <f t="shared" si="88"/>
        <v/>
      </c>
      <c r="CW62" s="1702" t="str">
        <f t="shared" si="89"/>
        <v/>
      </c>
      <c r="CX62" s="1702" t="str">
        <f t="shared" si="90"/>
        <v/>
      </c>
      <c r="CY62" s="1702" t="str">
        <f t="shared" si="91"/>
        <v/>
      </c>
      <c r="CZ62" s="1702" t="str">
        <f t="shared" si="92"/>
        <v/>
      </c>
      <c r="DA62" s="1702" t="str">
        <f t="shared" si="93"/>
        <v/>
      </c>
      <c r="DB62" s="1703" t="str">
        <f t="shared" si="94"/>
        <v/>
      </c>
      <c r="DC62" s="1703" t="str">
        <f t="shared" si="95"/>
        <v/>
      </c>
      <c r="DD62" s="1703" t="str">
        <f t="shared" si="96"/>
        <v/>
      </c>
      <c r="DE62" s="1702" t="str">
        <f t="shared" si="97"/>
        <v/>
      </c>
      <c r="DF62" s="1702" t="str">
        <f t="shared" si="98"/>
        <v/>
      </c>
      <c r="DG62" s="1702" t="str">
        <f t="shared" si="99"/>
        <v/>
      </c>
      <c r="DH62" s="1702" t="str">
        <f t="shared" si="100"/>
        <v/>
      </c>
      <c r="DI62" s="1702" t="str">
        <f t="shared" si="101"/>
        <v/>
      </c>
      <c r="DJ62" s="1701" t="str">
        <f t="shared" si="102"/>
        <v/>
      </c>
      <c r="DK62" s="1705" t="str">
        <f t="shared" si="103"/>
        <v/>
      </c>
      <c r="DL62" s="1750">
        <f t="shared" si="104"/>
        <v>0</v>
      </c>
      <c r="DM62" s="1386">
        <f t="shared" si="105"/>
        <v>0</v>
      </c>
      <c r="DN62" s="1386">
        <f t="shared" si="106"/>
        <v>0</v>
      </c>
      <c r="DO62" s="1386">
        <f t="shared" si="107"/>
        <v>0</v>
      </c>
      <c r="DP62" s="1775" t="str">
        <f>IF(DP56="","",(DP56+SUM(BV56)*(DP56="")-SUM(DP58)-DP61-SUM(BV61)*(DP61=""))*BV57/DP$7/365/$G$1)</f>
        <v/>
      </c>
      <c r="DQ62" s="1354" t="str">
        <f>IF(DQ56="","",(DQ56+SUM(BW56)*(DQ56="")-SUM(DQ58)-DQ61-SUM(BW61)*(DQ61=""))*BW57/DQ$7/365/$G$1)</f>
        <v/>
      </c>
      <c r="DR62" s="1354" t="str">
        <f>IF(DR56="","",(DR56+SUM(BX56)*(DR56="")-SUM(DR58)-DR61-SUM(BX61)*(DR61=""))*BX57/DR$7/365/$G$1)</f>
        <v/>
      </c>
      <c r="DS62" s="1776" t="str">
        <f>IF(DS56="","",(DS56+SUM(BY56)*(DS56="")-SUM(DS58)-DS61-SUM(BY61)*(DS61=""))*BY57/DS$7/365/$G$1)</f>
        <v/>
      </c>
      <c r="DT62" s="1758"/>
      <c r="DU62" s="1707"/>
    </row>
    <row r="63" spans="1:125" ht="12.75" customHeight="1">
      <c r="A63" s="1745" t="s">
        <v>497</v>
      </c>
      <c r="B63" s="1746"/>
      <c r="C63" s="1746"/>
      <c r="D63" s="1746"/>
      <c r="E63" s="1746"/>
      <c r="F63" s="1746"/>
      <c r="G63" s="1746"/>
      <c r="H63" s="1746"/>
      <c r="I63" s="1746"/>
      <c r="J63" s="1746"/>
      <c r="K63" s="1746"/>
      <c r="L63" s="1746"/>
      <c r="M63" s="1746"/>
      <c r="N63" s="1746"/>
      <c r="O63" s="1746"/>
      <c r="P63" s="1746"/>
      <c r="Q63" s="1746"/>
      <c r="R63" s="1746"/>
      <c r="S63" s="1747"/>
      <c r="T63" s="1746">
        <v>72</v>
      </c>
      <c r="U63" s="1746"/>
      <c r="V63" s="1746"/>
      <c r="W63" s="1746"/>
      <c r="X63" s="1746"/>
      <c r="Y63" s="1746"/>
      <c r="Z63" s="1746"/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7"/>
      <c r="AL63" s="1746"/>
      <c r="AM63" s="1746"/>
      <c r="AN63" s="1746"/>
      <c r="AO63" s="1746">
        <v>18</v>
      </c>
      <c r="AP63" s="1746"/>
      <c r="AQ63" s="1746"/>
      <c r="AR63" s="1746"/>
      <c r="AS63" s="1746"/>
      <c r="AT63" s="1746"/>
      <c r="AU63" s="1746"/>
      <c r="AV63" s="1746"/>
      <c r="AW63" s="1746"/>
      <c r="AX63" s="1746"/>
      <c r="AY63" s="1746"/>
      <c r="AZ63" s="1746"/>
      <c r="BA63" s="1746"/>
      <c r="BB63" s="1746"/>
      <c r="BC63" s="1747"/>
      <c r="BD63" s="1746"/>
      <c r="BE63" s="1746"/>
      <c r="BF63" s="1746"/>
      <c r="BG63" s="1746">
        <v>30</v>
      </c>
      <c r="BH63" s="1746">
        <v>80</v>
      </c>
      <c r="BI63" s="1746"/>
      <c r="BJ63" s="1746">
        <v>40</v>
      </c>
      <c r="BK63" s="1746"/>
      <c r="BL63" s="1746"/>
      <c r="BM63" s="1746">
        <v>30</v>
      </c>
      <c r="BN63" s="1746"/>
      <c r="BO63" s="1746"/>
      <c r="BP63" s="1746"/>
      <c r="BQ63" s="1746"/>
      <c r="BR63" s="1746"/>
      <c r="BS63" s="1746"/>
      <c r="BT63" s="1746"/>
      <c r="BU63" s="1747"/>
      <c r="BV63" s="1746"/>
      <c r="BW63" s="1746"/>
      <c r="BX63" s="1746"/>
      <c r="BY63" s="1746">
        <v>40</v>
      </c>
      <c r="BZ63" s="1748" t="str">
        <f t="shared" si="81"/>
        <v/>
      </c>
      <c r="CA63" s="1748" t="str">
        <f t="shared" si="82"/>
        <v/>
      </c>
      <c r="CB63" s="1748" t="str">
        <f t="shared" si="83"/>
        <v/>
      </c>
      <c r="CC63" s="1749">
        <f t="shared" si="84"/>
        <v>35</v>
      </c>
      <c r="CD63" s="168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84" t="str">
        <f t="shared" si="132"/>
        <v/>
      </c>
      <c r="CF63" s="1685" t="str">
        <f t="shared" si="132"/>
        <v/>
      </c>
      <c r="CG63" s="1685" t="str">
        <f t="shared" si="132"/>
        <v/>
      </c>
      <c r="CH63" s="1685" t="str">
        <f t="shared" si="132"/>
        <v/>
      </c>
      <c r="CI63" s="1685" t="str">
        <f t="shared" si="132"/>
        <v/>
      </c>
      <c r="CJ63" s="1685" t="str">
        <f t="shared" si="132"/>
        <v/>
      </c>
      <c r="CK63" s="1686">
        <f t="shared" si="132"/>
        <v>30</v>
      </c>
      <c r="CL63" s="1686">
        <f t="shared" si="132"/>
        <v>30</v>
      </c>
      <c r="CM63" s="1686">
        <f t="shared" si="132"/>
        <v>40</v>
      </c>
      <c r="CN63" s="1685">
        <f t="shared" si="132"/>
        <v>80</v>
      </c>
      <c r="CO63" s="1685" t="str">
        <f t="shared" si="132"/>
        <v/>
      </c>
      <c r="CP63" s="1685" t="str">
        <f t="shared" si="132"/>
        <v/>
      </c>
      <c r="CQ63" s="1685" t="str">
        <f t="shared" si="132"/>
        <v/>
      </c>
      <c r="CR63" s="1685" t="str">
        <f t="shared" si="132"/>
        <v/>
      </c>
      <c r="CS63" s="1684" t="str">
        <f t="shared" si="132"/>
        <v/>
      </c>
      <c r="CT63" s="168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96" t="str">
        <f t="shared" si="87"/>
        <v/>
      </c>
      <c r="CV63" s="1697" t="str">
        <f t="shared" si="88"/>
        <v/>
      </c>
      <c r="CW63" s="1698" t="str">
        <f t="shared" si="89"/>
        <v/>
      </c>
      <c r="CX63" s="1698" t="str">
        <f t="shared" si="90"/>
        <v/>
      </c>
      <c r="CY63" s="1698" t="str">
        <f t="shared" si="91"/>
        <v/>
      </c>
      <c r="CZ63" s="1698" t="str">
        <f t="shared" si="92"/>
        <v/>
      </c>
      <c r="DA63" s="1698" t="str">
        <f t="shared" si="93"/>
        <v/>
      </c>
      <c r="DB63" s="1699">
        <f t="shared" si="94"/>
        <v>30</v>
      </c>
      <c r="DC63" s="1699">
        <f t="shared" si="95"/>
        <v>30</v>
      </c>
      <c r="DD63" s="1699">
        <f t="shared" si="96"/>
        <v>40</v>
      </c>
      <c r="DE63" s="1698">
        <f t="shared" si="97"/>
        <v>80</v>
      </c>
      <c r="DF63" s="1698" t="str">
        <f t="shared" si="98"/>
        <v/>
      </c>
      <c r="DG63" s="1698" t="str">
        <f t="shared" si="99"/>
        <v/>
      </c>
      <c r="DH63" s="1698" t="str">
        <f t="shared" si="100"/>
        <v/>
      </c>
      <c r="DI63" s="1698" t="str">
        <f t="shared" si="101"/>
        <v/>
      </c>
      <c r="DJ63" s="1697" t="str">
        <f t="shared" si="102"/>
        <v/>
      </c>
      <c r="DK63" s="1696" t="str">
        <f t="shared" si="103"/>
        <v/>
      </c>
      <c r="DL63" s="1750">
        <f t="shared" si="104"/>
        <v>0</v>
      </c>
      <c r="DM63" s="1386">
        <f t="shared" si="105"/>
        <v>1</v>
      </c>
      <c r="DN63" s="1386">
        <f t="shared" si="106"/>
        <v>1</v>
      </c>
      <c r="DO63" s="1386">
        <f t="shared" si="107"/>
        <v>4</v>
      </c>
      <c r="DP63" s="1777" t="str">
        <f>IF(SUM(BV63)&gt;0,BV63*'Exp factors'!C$21,"")</f>
        <v/>
      </c>
      <c r="DQ63" s="1452" t="str">
        <f>IF(SUM(BW63)&gt;0,BW63*'Exp factors'!D$21,"")</f>
        <v/>
      </c>
      <c r="DR63" s="1452" t="str">
        <f>IF(SUM(BX63)&gt;0,BX63*'Exp factors'!E$21,"")</f>
        <v/>
      </c>
      <c r="DS63" s="1778">
        <f>IF(SUM(BY63)&gt;0,BY63*'Exp factors'!F$21,"")</f>
        <v>50</v>
      </c>
      <c r="DT63" s="1758"/>
      <c r="DU63" s="1707"/>
    </row>
    <row r="64" spans="1:125" ht="12.75" customHeight="1">
      <c r="A64" s="1344" t="s">
        <v>256</v>
      </c>
      <c r="B64" s="1754"/>
      <c r="C64" s="1754"/>
      <c r="D64" s="1754"/>
      <c r="E64" s="1754"/>
      <c r="F64" s="1754"/>
      <c r="G64" s="1754"/>
      <c r="H64" s="1754"/>
      <c r="I64" s="1754"/>
      <c r="J64" s="1754"/>
      <c r="K64" s="1754"/>
      <c r="L64" s="1754"/>
      <c r="M64" s="1754"/>
      <c r="N64" s="1754"/>
      <c r="O64" s="1754"/>
      <c r="P64" s="1754"/>
      <c r="Q64" s="1754"/>
      <c r="R64" s="1754"/>
      <c r="S64" s="1755"/>
      <c r="T64" s="1754">
        <v>8460</v>
      </c>
      <c r="U64" s="1754">
        <v>8460</v>
      </c>
      <c r="V64" s="1754">
        <v>8460</v>
      </c>
      <c r="W64" s="1754">
        <v>8460</v>
      </c>
      <c r="X64" s="1754">
        <v>8460</v>
      </c>
      <c r="Y64" s="1754">
        <v>8460</v>
      </c>
      <c r="Z64" s="1754">
        <v>8460</v>
      </c>
      <c r="AA64" s="1754">
        <v>8460</v>
      </c>
      <c r="AB64" s="1754">
        <v>8460</v>
      </c>
      <c r="AC64" s="1754">
        <v>8460</v>
      </c>
      <c r="AD64" s="1754">
        <v>8460</v>
      </c>
      <c r="AE64" s="1754">
        <v>8460</v>
      </c>
      <c r="AF64" s="1754">
        <v>8460</v>
      </c>
      <c r="AG64" s="1754">
        <v>8460</v>
      </c>
      <c r="AH64" s="1754">
        <v>8460</v>
      </c>
      <c r="AI64" s="1754">
        <v>8460</v>
      </c>
      <c r="AJ64" s="1754">
        <v>8460</v>
      </c>
      <c r="AK64" s="1755"/>
      <c r="AL64" s="1754">
        <v>8460</v>
      </c>
      <c r="AM64" s="1754">
        <v>8460</v>
      </c>
      <c r="AN64" s="1754">
        <v>8460</v>
      </c>
      <c r="AO64" s="1754">
        <v>8460</v>
      </c>
      <c r="AP64" s="1754">
        <v>8460</v>
      </c>
      <c r="AQ64" s="1754">
        <v>8460</v>
      </c>
      <c r="AR64" s="1754">
        <v>8460</v>
      </c>
      <c r="AS64" s="1754">
        <v>8460</v>
      </c>
      <c r="AT64" s="1754">
        <v>8460</v>
      </c>
      <c r="AU64" s="1754">
        <v>8460</v>
      </c>
      <c r="AV64" s="1754">
        <v>8460</v>
      </c>
      <c r="AW64" s="1754">
        <v>8460</v>
      </c>
      <c r="AX64" s="1754">
        <v>8460</v>
      </c>
      <c r="AY64" s="1754">
        <v>8460</v>
      </c>
      <c r="AZ64" s="1754">
        <v>8460</v>
      </c>
      <c r="BA64" s="1754">
        <v>8460</v>
      </c>
      <c r="BB64" s="1754">
        <v>8460</v>
      </c>
      <c r="BC64" s="1755"/>
      <c r="BD64" s="1754">
        <v>8460</v>
      </c>
      <c r="BE64" s="1754">
        <v>8460</v>
      </c>
      <c r="BF64" s="1754">
        <v>8460</v>
      </c>
      <c r="BG64" s="1754">
        <v>8460</v>
      </c>
      <c r="BH64" s="1754">
        <v>8460</v>
      </c>
      <c r="BI64" s="1754">
        <v>8460</v>
      </c>
      <c r="BJ64" s="1754">
        <v>8460</v>
      </c>
      <c r="BK64" s="1754">
        <v>8460</v>
      </c>
      <c r="BL64" s="1754">
        <v>8460</v>
      </c>
      <c r="BM64" s="1754">
        <v>8460</v>
      </c>
      <c r="BN64" s="1754">
        <v>8460</v>
      </c>
      <c r="BO64" s="1754">
        <v>8460</v>
      </c>
      <c r="BP64" s="1754">
        <v>8460</v>
      </c>
      <c r="BQ64" s="1754">
        <v>8460</v>
      </c>
      <c r="BR64" s="1754">
        <v>8460</v>
      </c>
      <c r="BS64" s="1754">
        <v>8460</v>
      </c>
      <c r="BT64" s="1754">
        <v>8460</v>
      </c>
      <c r="BU64" s="1755"/>
      <c r="BV64" s="1754">
        <v>8460</v>
      </c>
      <c r="BW64" s="1754">
        <v>8460</v>
      </c>
      <c r="BX64" s="1754">
        <v>8460</v>
      </c>
      <c r="BY64" s="1754">
        <v>8460</v>
      </c>
      <c r="BZ64" s="1748" t="str">
        <f t="shared" si="81"/>
        <v/>
      </c>
      <c r="CA64" s="1748">
        <f t="shared" si="82"/>
        <v>8460</v>
      </c>
      <c r="CB64" s="1748">
        <f t="shared" si="83"/>
        <v>8460</v>
      </c>
      <c r="CC64" s="1749">
        <f t="shared" si="84"/>
        <v>8460</v>
      </c>
      <c r="CD64" s="1683">
        <f t="shared" si="133"/>
        <v>8460</v>
      </c>
      <c r="CE64" s="1684">
        <f t="shared" si="133"/>
        <v>8460</v>
      </c>
      <c r="CF64" s="1685">
        <f t="shared" si="133"/>
        <v>8460</v>
      </c>
      <c r="CG64" s="1685">
        <f t="shared" si="133"/>
        <v>8460</v>
      </c>
      <c r="CH64" s="1685">
        <f t="shared" si="133"/>
        <v>8460</v>
      </c>
      <c r="CI64" s="1685">
        <f t="shared" si="133"/>
        <v>8460</v>
      </c>
      <c r="CJ64" s="1685">
        <f t="shared" si="133"/>
        <v>8460</v>
      </c>
      <c r="CK64" s="1686">
        <f t="shared" si="133"/>
        <v>8460</v>
      </c>
      <c r="CL64" s="1686">
        <f t="shared" si="133"/>
        <v>8460</v>
      </c>
      <c r="CM64" s="1686">
        <f t="shared" si="133"/>
        <v>8460</v>
      </c>
      <c r="CN64" s="1685">
        <f t="shared" si="133"/>
        <v>8460</v>
      </c>
      <c r="CO64" s="1685">
        <f t="shared" si="133"/>
        <v>8460</v>
      </c>
      <c r="CP64" s="1685">
        <f t="shared" si="133"/>
        <v>8460</v>
      </c>
      <c r="CQ64" s="1685">
        <f t="shared" si="133"/>
        <v>8460</v>
      </c>
      <c r="CR64" s="1685">
        <f t="shared" si="133"/>
        <v>8460</v>
      </c>
      <c r="CS64" s="1684">
        <f t="shared" si="133"/>
        <v>8460</v>
      </c>
      <c r="CT64" s="1687">
        <f t="shared" si="133"/>
        <v>8460</v>
      </c>
      <c r="CU64" s="1696">
        <f t="shared" si="87"/>
        <v>8460</v>
      </c>
      <c r="CV64" s="1697">
        <f t="shared" si="88"/>
        <v>8460</v>
      </c>
      <c r="CW64" s="1698">
        <f t="shared" si="89"/>
        <v>8460</v>
      </c>
      <c r="CX64" s="1698">
        <f t="shared" si="90"/>
        <v>8460</v>
      </c>
      <c r="CY64" s="1698">
        <f t="shared" si="91"/>
        <v>8460</v>
      </c>
      <c r="CZ64" s="1698">
        <f t="shared" si="92"/>
        <v>8460</v>
      </c>
      <c r="DA64" s="1698">
        <f t="shared" si="93"/>
        <v>8460</v>
      </c>
      <c r="DB64" s="1699">
        <f t="shared" si="94"/>
        <v>8460</v>
      </c>
      <c r="DC64" s="1699">
        <f t="shared" si="95"/>
        <v>8460</v>
      </c>
      <c r="DD64" s="1699">
        <f t="shared" si="96"/>
        <v>8460</v>
      </c>
      <c r="DE64" s="1698">
        <f t="shared" si="97"/>
        <v>8460</v>
      </c>
      <c r="DF64" s="1698">
        <f t="shared" si="98"/>
        <v>8460</v>
      </c>
      <c r="DG64" s="1698">
        <f t="shared" si="99"/>
        <v>8460</v>
      </c>
      <c r="DH64" s="1698">
        <f t="shared" si="100"/>
        <v>8460</v>
      </c>
      <c r="DI64" s="1698">
        <f t="shared" si="101"/>
        <v>8460</v>
      </c>
      <c r="DJ64" s="1697">
        <f t="shared" si="102"/>
        <v>8460</v>
      </c>
      <c r="DK64" s="1696">
        <f t="shared" si="103"/>
        <v>8460</v>
      </c>
      <c r="DL64" s="1750">
        <f t="shared" si="104"/>
        <v>0</v>
      </c>
      <c r="DM64" s="1386">
        <f t="shared" si="105"/>
        <v>17</v>
      </c>
      <c r="DN64" s="1386">
        <f t="shared" si="106"/>
        <v>17</v>
      </c>
      <c r="DO64" s="1386">
        <f t="shared" si="107"/>
        <v>17</v>
      </c>
      <c r="DP64" s="1756"/>
      <c r="DQ64" s="1427"/>
      <c r="DR64" s="1427"/>
      <c r="DS64" s="1757"/>
      <c r="DT64" s="1758"/>
      <c r="DU64" s="1707"/>
    </row>
    <row r="65" spans="1:125" ht="12.75" customHeight="1">
      <c r="A65" s="1732" t="s">
        <v>257</v>
      </c>
      <c r="B65" s="1759"/>
      <c r="C65" s="1759"/>
      <c r="D65" s="1759"/>
      <c r="E65" s="1759"/>
      <c r="F65" s="1759"/>
      <c r="G65" s="1759"/>
      <c r="H65" s="1759"/>
      <c r="I65" s="1759"/>
      <c r="J65" s="1759"/>
      <c r="K65" s="1759"/>
      <c r="L65" s="1759"/>
      <c r="M65" s="1759"/>
      <c r="N65" s="1759"/>
      <c r="O65" s="1759"/>
      <c r="P65" s="1759"/>
      <c r="Q65" s="1759"/>
      <c r="R65" s="1759"/>
      <c r="S65" s="1755"/>
      <c r="T65" s="1759">
        <v>0</v>
      </c>
      <c r="U65" s="1759"/>
      <c r="V65" s="1759"/>
      <c r="W65" s="1759"/>
      <c r="X65" s="1759"/>
      <c r="Y65" s="1759"/>
      <c r="Z65" s="1759"/>
      <c r="AA65" s="1759"/>
      <c r="AB65" s="1759"/>
      <c r="AC65" s="1759"/>
      <c r="AD65" s="1759"/>
      <c r="AE65" s="1759"/>
      <c r="AF65" s="1759"/>
      <c r="AG65" s="1759"/>
      <c r="AH65" s="1759"/>
      <c r="AI65" s="1759"/>
      <c r="AJ65" s="1759"/>
      <c r="AK65" s="1755"/>
      <c r="AL65" s="1759"/>
      <c r="AM65" s="1759"/>
      <c r="AN65" s="1759"/>
      <c r="AO65" s="1759">
        <v>0</v>
      </c>
      <c r="AP65" s="1759"/>
      <c r="AQ65" s="1759"/>
      <c r="AR65" s="1759"/>
      <c r="AS65" s="1759"/>
      <c r="AT65" s="1759"/>
      <c r="AU65" s="1759"/>
      <c r="AV65" s="1759"/>
      <c r="AW65" s="1759"/>
      <c r="AX65" s="1759"/>
      <c r="AY65" s="1759"/>
      <c r="AZ65" s="1759"/>
      <c r="BA65" s="1759"/>
      <c r="BB65" s="1759"/>
      <c r="BC65" s="1755"/>
      <c r="BD65" s="1759"/>
      <c r="BE65" s="1759"/>
      <c r="BF65" s="1759"/>
      <c r="BG65" s="1759">
        <v>0</v>
      </c>
      <c r="BH65" s="1759">
        <v>0</v>
      </c>
      <c r="BI65" s="1759"/>
      <c r="BJ65" s="1759">
        <v>0</v>
      </c>
      <c r="BK65" s="1759"/>
      <c r="BL65" s="1759"/>
      <c r="BM65" s="1759">
        <v>0</v>
      </c>
      <c r="BN65" s="1759"/>
      <c r="BO65" s="1759"/>
      <c r="BP65" s="1759"/>
      <c r="BQ65" s="1759"/>
      <c r="BR65" s="1759"/>
      <c r="BS65" s="1759"/>
      <c r="BT65" s="1759"/>
      <c r="BU65" s="1755"/>
      <c r="BV65" s="1759"/>
      <c r="BW65" s="1759"/>
      <c r="BX65" s="1759"/>
      <c r="BY65" s="1759"/>
      <c r="BZ65" s="1748" t="str">
        <f t="shared" si="81"/>
        <v/>
      </c>
      <c r="CA65" s="1748" t="str">
        <f t="shared" si="82"/>
        <v/>
      </c>
      <c r="CB65" s="1748" t="str">
        <f t="shared" si="83"/>
        <v/>
      </c>
      <c r="CC65" s="1749">
        <f t="shared" si="84"/>
        <v>0</v>
      </c>
      <c r="CD65" s="1683" t="str">
        <f t="shared" si="133"/>
        <v/>
      </c>
      <c r="CE65" s="1684" t="str">
        <f t="shared" si="133"/>
        <v/>
      </c>
      <c r="CF65" s="1685" t="str">
        <f t="shared" si="133"/>
        <v/>
      </c>
      <c r="CG65" s="1685" t="str">
        <f t="shared" si="133"/>
        <v/>
      </c>
      <c r="CH65" s="1685" t="str">
        <f t="shared" si="133"/>
        <v/>
      </c>
      <c r="CI65" s="1685" t="str">
        <f t="shared" si="133"/>
        <v/>
      </c>
      <c r="CJ65" s="1685" t="str">
        <f t="shared" si="133"/>
        <v/>
      </c>
      <c r="CK65" s="1686">
        <f t="shared" si="133"/>
        <v>0</v>
      </c>
      <c r="CL65" s="1686">
        <f t="shared" si="133"/>
        <v>0</v>
      </c>
      <c r="CM65" s="1686">
        <f t="shared" si="133"/>
        <v>0</v>
      </c>
      <c r="CN65" s="1685">
        <f t="shared" si="133"/>
        <v>0</v>
      </c>
      <c r="CO65" s="1685" t="str">
        <f t="shared" si="133"/>
        <v/>
      </c>
      <c r="CP65" s="1685" t="str">
        <f t="shared" si="133"/>
        <v/>
      </c>
      <c r="CQ65" s="1685" t="str">
        <f t="shared" si="133"/>
        <v/>
      </c>
      <c r="CR65" s="1685" t="str">
        <f t="shared" si="133"/>
        <v/>
      </c>
      <c r="CS65" s="1684" t="str">
        <f t="shared" si="133"/>
        <v/>
      </c>
      <c r="CT65" s="1687" t="str">
        <f t="shared" si="133"/>
        <v/>
      </c>
      <c r="CU65" s="1696" t="str">
        <f t="shared" si="87"/>
        <v/>
      </c>
      <c r="CV65" s="1697" t="str">
        <f t="shared" si="88"/>
        <v/>
      </c>
      <c r="CW65" s="1698" t="str">
        <f t="shared" si="89"/>
        <v/>
      </c>
      <c r="CX65" s="1698" t="str">
        <f t="shared" si="90"/>
        <v/>
      </c>
      <c r="CY65" s="1698" t="str">
        <f t="shared" si="91"/>
        <v/>
      </c>
      <c r="CZ65" s="1698" t="str">
        <f t="shared" si="92"/>
        <v/>
      </c>
      <c r="DA65" s="1698" t="str">
        <f t="shared" si="93"/>
        <v/>
      </c>
      <c r="DB65" s="1699">
        <f t="shared" si="94"/>
        <v>0</v>
      </c>
      <c r="DC65" s="1699">
        <f t="shared" si="95"/>
        <v>0</v>
      </c>
      <c r="DD65" s="1699">
        <f t="shared" si="96"/>
        <v>0</v>
      </c>
      <c r="DE65" s="1698">
        <f t="shared" si="97"/>
        <v>0</v>
      </c>
      <c r="DF65" s="1698" t="str">
        <f t="shared" si="98"/>
        <v/>
      </c>
      <c r="DG65" s="1698" t="str">
        <f t="shared" si="99"/>
        <v/>
      </c>
      <c r="DH65" s="1698" t="str">
        <f t="shared" si="100"/>
        <v/>
      </c>
      <c r="DI65" s="1698" t="str">
        <f t="shared" si="101"/>
        <v/>
      </c>
      <c r="DJ65" s="1697" t="str">
        <f t="shared" si="102"/>
        <v/>
      </c>
      <c r="DK65" s="1696" t="str">
        <f t="shared" si="103"/>
        <v/>
      </c>
      <c r="DL65" s="1750">
        <f t="shared" si="104"/>
        <v>0</v>
      </c>
      <c r="DM65" s="1386">
        <f t="shared" si="105"/>
        <v>1</v>
      </c>
      <c r="DN65" s="1386">
        <f t="shared" si="106"/>
        <v>1</v>
      </c>
      <c r="DO65" s="1386">
        <f t="shared" si="107"/>
        <v>4</v>
      </c>
      <c r="DP65" s="1760" t="str">
        <f>IF(SUM(BV65)&gt;0,(BV63-DP68-SUM(BV68)*(DP68=""))*'Exp factors'!C$21,"")</f>
        <v/>
      </c>
      <c r="DQ65" s="1497" t="str">
        <f>IF(SUM(BW65)&gt;0,(BW63-DQ68-SUM(BW68)*(DQ68=""))*'Exp factors'!D$21,"")</f>
        <v/>
      </c>
      <c r="DR65" s="1497" t="str">
        <f>IF(SUM(BX65)&gt;0,(BX63-DR68-SUM(BX68)*(DR68=""))*'Exp factors'!E$21,"")</f>
        <v/>
      </c>
      <c r="DS65" s="1761" t="str">
        <f>IF(SUM(BY65)&gt;0,(BY63-DS68-SUM(BY68)*(DS68=""))*'Exp factors'!F$21,"")</f>
        <v/>
      </c>
      <c r="DT65" s="1758"/>
      <c r="DU65" s="1707"/>
    </row>
    <row r="66" spans="1:125" ht="12.75" customHeight="1">
      <c r="A66" s="1762" t="s">
        <v>181</v>
      </c>
      <c r="B66" s="1763"/>
      <c r="C66" s="1763"/>
      <c r="D66" s="1763"/>
      <c r="E66" s="1763"/>
      <c r="F66" s="1763"/>
      <c r="G66" s="1763"/>
      <c r="H66" s="1763"/>
      <c r="I66" s="1763"/>
      <c r="J66" s="1763"/>
      <c r="K66" s="1763"/>
      <c r="L66" s="1763"/>
      <c r="M66" s="1763"/>
      <c r="N66" s="1763"/>
      <c r="O66" s="1763"/>
      <c r="P66" s="1763"/>
      <c r="Q66" s="1763"/>
      <c r="R66" s="1763"/>
      <c r="S66" s="1755"/>
      <c r="T66" s="1763"/>
      <c r="U66" s="1763"/>
      <c r="V66" s="1763"/>
      <c r="W66" s="1763"/>
      <c r="X66" s="1763"/>
      <c r="Y66" s="1763"/>
      <c r="Z66" s="1763"/>
      <c r="AA66" s="1763"/>
      <c r="AB66" s="1763"/>
      <c r="AC66" s="1763"/>
      <c r="AD66" s="1763"/>
      <c r="AE66" s="1763"/>
      <c r="AF66" s="1763"/>
      <c r="AG66" s="1763"/>
      <c r="AH66" s="1763"/>
      <c r="AI66" s="1763"/>
      <c r="AJ66" s="1763"/>
      <c r="AK66" s="1755"/>
      <c r="AL66" s="1763"/>
      <c r="AM66" s="1763"/>
      <c r="AN66" s="1763"/>
      <c r="AO66" s="1763"/>
      <c r="AP66" s="1763"/>
      <c r="AQ66" s="1763"/>
      <c r="AR66" s="1763"/>
      <c r="AS66" s="1763"/>
      <c r="AT66" s="1763"/>
      <c r="AU66" s="1763"/>
      <c r="AV66" s="1763"/>
      <c r="AW66" s="1763"/>
      <c r="AX66" s="1763"/>
      <c r="AY66" s="1763"/>
      <c r="AZ66" s="1763"/>
      <c r="BA66" s="1763"/>
      <c r="BB66" s="1763"/>
      <c r="BC66" s="1755"/>
      <c r="BD66" s="1763"/>
      <c r="BE66" s="1763"/>
      <c r="BF66" s="1763"/>
      <c r="BG66" s="1763">
        <v>0</v>
      </c>
      <c r="BH66" s="1763">
        <v>0</v>
      </c>
      <c r="BI66" s="1763"/>
      <c r="BJ66" s="1763">
        <v>0</v>
      </c>
      <c r="BK66" s="1763"/>
      <c r="BL66" s="1763"/>
      <c r="BM66" s="1763"/>
      <c r="BN66" s="1763"/>
      <c r="BO66" s="1763"/>
      <c r="BP66" s="1763"/>
      <c r="BQ66" s="1763"/>
      <c r="BR66" s="1763"/>
      <c r="BS66" s="1763"/>
      <c r="BT66" s="1763"/>
      <c r="BU66" s="1755"/>
      <c r="BV66" s="1763"/>
      <c r="BW66" s="1763"/>
      <c r="BX66" s="1763"/>
      <c r="BY66" s="1763"/>
      <c r="BZ66" s="1748" t="str">
        <f t="shared" si="81"/>
        <v/>
      </c>
      <c r="CA66" s="1748" t="str">
        <f t="shared" si="82"/>
        <v/>
      </c>
      <c r="CB66" s="1748" t="str">
        <f t="shared" si="83"/>
        <v/>
      </c>
      <c r="CC66" s="1749">
        <f t="shared" si="84"/>
        <v>0</v>
      </c>
      <c r="CD66" s="1683" t="str">
        <f t="shared" si="133"/>
        <v/>
      </c>
      <c r="CE66" s="1684" t="str">
        <f t="shared" si="133"/>
        <v/>
      </c>
      <c r="CF66" s="1685" t="str">
        <f t="shared" si="133"/>
        <v/>
      </c>
      <c r="CG66" s="1685" t="str">
        <f t="shared" si="133"/>
        <v/>
      </c>
      <c r="CH66" s="1685" t="str">
        <f t="shared" si="133"/>
        <v/>
      </c>
      <c r="CI66" s="1685" t="str">
        <f t="shared" si="133"/>
        <v/>
      </c>
      <c r="CJ66" s="1685" t="str">
        <f t="shared" si="133"/>
        <v/>
      </c>
      <c r="CK66" s="1686">
        <f t="shared" si="133"/>
        <v>0</v>
      </c>
      <c r="CL66" s="1686">
        <f t="shared" si="133"/>
        <v>0</v>
      </c>
      <c r="CM66" s="1686">
        <f t="shared" si="133"/>
        <v>0</v>
      </c>
      <c r="CN66" s="1685" t="str">
        <f t="shared" si="133"/>
        <v/>
      </c>
      <c r="CO66" s="1685" t="str">
        <f t="shared" si="133"/>
        <v/>
      </c>
      <c r="CP66" s="1685" t="str">
        <f t="shared" si="133"/>
        <v/>
      </c>
      <c r="CQ66" s="1685" t="str">
        <f t="shared" si="133"/>
        <v/>
      </c>
      <c r="CR66" s="1685" t="str">
        <f t="shared" si="133"/>
        <v/>
      </c>
      <c r="CS66" s="1684" t="str">
        <f t="shared" si="133"/>
        <v/>
      </c>
      <c r="CT66" s="1687" t="str">
        <f t="shared" si="133"/>
        <v/>
      </c>
      <c r="CU66" s="1696" t="str">
        <f t="shared" si="87"/>
        <v/>
      </c>
      <c r="CV66" s="1697" t="str">
        <f t="shared" si="88"/>
        <v/>
      </c>
      <c r="CW66" s="1698" t="str">
        <f t="shared" si="89"/>
        <v/>
      </c>
      <c r="CX66" s="1698" t="str">
        <f t="shared" si="90"/>
        <v/>
      </c>
      <c r="CY66" s="1698" t="str">
        <f t="shared" si="91"/>
        <v/>
      </c>
      <c r="CZ66" s="1698" t="str">
        <f t="shared" si="92"/>
        <v/>
      </c>
      <c r="DA66" s="1698" t="str">
        <f t="shared" si="93"/>
        <v/>
      </c>
      <c r="DB66" s="1699">
        <f t="shared" si="94"/>
        <v>0</v>
      </c>
      <c r="DC66" s="1699">
        <f t="shared" si="95"/>
        <v>0</v>
      </c>
      <c r="DD66" s="1699">
        <f t="shared" si="96"/>
        <v>0</v>
      </c>
      <c r="DE66" s="1698" t="str">
        <f t="shared" si="97"/>
        <v/>
      </c>
      <c r="DF66" s="1698" t="str">
        <f t="shared" si="98"/>
        <v/>
      </c>
      <c r="DG66" s="1698" t="str">
        <f t="shared" si="99"/>
        <v/>
      </c>
      <c r="DH66" s="1698" t="str">
        <f t="shared" si="100"/>
        <v/>
      </c>
      <c r="DI66" s="1698" t="str">
        <f t="shared" si="101"/>
        <v/>
      </c>
      <c r="DJ66" s="1697" t="str">
        <f t="shared" si="102"/>
        <v/>
      </c>
      <c r="DK66" s="1696" t="str">
        <f t="shared" si="103"/>
        <v/>
      </c>
      <c r="DL66" s="1750">
        <f t="shared" si="104"/>
        <v>0</v>
      </c>
      <c r="DM66" s="1386">
        <f t="shared" si="105"/>
        <v>0</v>
      </c>
      <c r="DN66" s="1386">
        <f t="shared" si="106"/>
        <v>0</v>
      </c>
      <c r="DO66" s="1386">
        <f t="shared" si="107"/>
        <v>3</v>
      </c>
      <c r="DP66" s="1756"/>
      <c r="DQ66" s="1427"/>
      <c r="DR66" s="1427"/>
      <c r="DS66" s="1757"/>
      <c r="DT66" s="1758"/>
      <c r="DU66" s="1707"/>
    </row>
    <row r="67" spans="1:125" ht="12.75" customHeight="1">
      <c r="A67" s="1762" t="s">
        <v>183</v>
      </c>
      <c r="B67" s="1355" t="str">
        <f t="shared" ref="B67:R67" si="134">IF(B65="","",B65*B66)</f>
        <v/>
      </c>
      <c r="C67" s="1355" t="str">
        <f t="shared" si="134"/>
        <v/>
      </c>
      <c r="D67" s="1355" t="str">
        <f t="shared" si="134"/>
        <v/>
      </c>
      <c r="E67" s="1355" t="str">
        <f t="shared" si="134"/>
        <v/>
      </c>
      <c r="F67" s="1355" t="str">
        <f t="shared" si="134"/>
        <v/>
      </c>
      <c r="G67" s="1355" t="str">
        <f t="shared" si="134"/>
        <v/>
      </c>
      <c r="H67" s="1355" t="str">
        <f t="shared" si="134"/>
        <v/>
      </c>
      <c r="I67" s="1355" t="str">
        <f t="shared" si="134"/>
        <v/>
      </c>
      <c r="J67" s="1355" t="str">
        <f t="shared" si="134"/>
        <v/>
      </c>
      <c r="K67" s="1355" t="str">
        <f t="shared" si="134"/>
        <v/>
      </c>
      <c r="L67" s="1355" t="str">
        <f t="shared" si="134"/>
        <v/>
      </c>
      <c r="M67" s="1355" t="str">
        <f t="shared" si="134"/>
        <v/>
      </c>
      <c r="N67" s="1355" t="str">
        <f t="shared" si="134"/>
        <v/>
      </c>
      <c r="O67" s="1355" t="str">
        <f t="shared" si="134"/>
        <v/>
      </c>
      <c r="P67" s="1355" t="str">
        <f t="shared" si="134"/>
        <v/>
      </c>
      <c r="Q67" s="1355" t="str">
        <f t="shared" si="134"/>
        <v/>
      </c>
      <c r="R67" s="1355" t="str">
        <f t="shared" si="134"/>
        <v/>
      </c>
      <c r="S67" s="1765"/>
      <c r="T67" s="1355">
        <f t="shared" ref="T67:AJ67" si="135">IF(T65="","",T65*T66)</f>
        <v>0</v>
      </c>
      <c r="U67" s="1355" t="str">
        <f t="shared" si="135"/>
        <v/>
      </c>
      <c r="V67" s="1355" t="str">
        <f t="shared" si="135"/>
        <v/>
      </c>
      <c r="W67" s="1355" t="str">
        <f t="shared" si="135"/>
        <v/>
      </c>
      <c r="X67" s="1355" t="str">
        <f t="shared" si="135"/>
        <v/>
      </c>
      <c r="Y67" s="1355" t="str">
        <f t="shared" si="135"/>
        <v/>
      </c>
      <c r="Z67" s="1355" t="str">
        <f t="shared" si="135"/>
        <v/>
      </c>
      <c r="AA67" s="1355" t="str">
        <f t="shared" si="135"/>
        <v/>
      </c>
      <c r="AB67" s="1355" t="str">
        <f t="shared" si="135"/>
        <v/>
      </c>
      <c r="AC67" s="1355" t="str">
        <f t="shared" si="135"/>
        <v/>
      </c>
      <c r="AD67" s="1355" t="str">
        <f t="shared" si="135"/>
        <v/>
      </c>
      <c r="AE67" s="1355" t="str">
        <f t="shared" si="135"/>
        <v/>
      </c>
      <c r="AF67" s="1355" t="str">
        <f t="shared" si="135"/>
        <v/>
      </c>
      <c r="AG67" s="1355" t="str">
        <f t="shared" si="135"/>
        <v/>
      </c>
      <c r="AH67" s="1355" t="str">
        <f t="shared" si="135"/>
        <v/>
      </c>
      <c r="AI67" s="1355" t="str">
        <f t="shared" si="135"/>
        <v/>
      </c>
      <c r="AJ67" s="1355" t="str">
        <f t="shared" si="135"/>
        <v/>
      </c>
      <c r="AK67" s="1765"/>
      <c r="AL67" s="1355" t="str">
        <f t="shared" ref="AL67:BB67" si="136">IF(AL65="","",AL65*AL66)</f>
        <v/>
      </c>
      <c r="AM67" s="1355" t="str">
        <f t="shared" si="136"/>
        <v/>
      </c>
      <c r="AN67" s="1355" t="str">
        <f t="shared" si="136"/>
        <v/>
      </c>
      <c r="AO67" s="1355">
        <f t="shared" si="136"/>
        <v>0</v>
      </c>
      <c r="AP67" s="1355" t="str">
        <f t="shared" si="136"/>
        <v/>
      </c>
      <c r="AQ67" s="1355" t="str">
        <f t="shared" si="136"/>
        <v/>
      </c>
      <c r="AR67" s="1355" t="str">
        <f t="shared" si="136"/>
        <v/>
      </c>
      <c r="AS67" s="1355" t="str">
        <f t="shared" si="136"/>
        <v/>
      </c>
      <c r="AT67" s="1355" t="str">
        <f t="shared" si="136"/>
        <v/>
      </c>
      <c r="AU67" s="1355" t="str">
        <f t="shared" si="136"/>
        <v/>
      </c>
      <c r="AV67" s="1355" t="str">
        <f t="shared" si="136"/>
        <v/>
      </c>
      <c r="AW67" s="1355" t="str">
        <f t="shared" si="136"/>
        <v/>
      </c>
      <c r="AX67" s="1355" t="str">
        <f t="shared" si="136"/>
        <v/>
      </c>
      <c r="AY67" s="1355" t="str">
        <f t="shared" si="136"/>
        <v/>
      </c>
      <c r="AZ67" s="1355" t="str">
        <f t="shared" si="136"/>
        <v/>
      </c>
      <c r="BA67" s="1355" t="str">
        <f t="shared" si="136"/>
        <v/>
      </c>
      <c r="BB67" s="1355" t="str">
        <f t="shared" si="136"/>
        <v/>
      </c>
      <c r="BC67" s="1765"/>
      <c r="BD67" s="1355" t="str">
        <f t="shared" ref="BD67:BT67" si="137">IF(BD65="","",BD65*BD66)</f>
        <v/>
      </c>
      <c r="BE67" s="1355" t="str">
        <f t="shared" si="137"/>
        <v/>
      </c>
      <c r="BF67" s="1355" t="str">
        <f t="shared" si="137"/>
        <v/>
      </c>
      <c r="BG67" s="1355">
        <f t="shared" si="137"/>
        <v>0</v>
      </c>
      <c r="BH67" s="1355">
        <f t="shared" si="137"/>
        <v>0</v>
      </c>
      <c r="BI67" s="1355" t="str">
        <f t="shared" si="137"/>
        <v/>
      </c>
      <c r="BJ67" s="1355">
        <f t="shared" si="137"/>
        <v>0</v>
      </c>
      <c r="BK67" s="1355" t="str">
        <f t="shared" si="137"/>
        <v/>
      </c>
      <c r="BL67" s="1355" t="str">
        <f t="shared" si="137"/>
        <v/>
      </c>
      <c r="BM67" s="1355">
        <f t="shared" si="137"/>
        <v>0</v>
      </c>
      <c r="BN67" s="1355" t="str">
        <f t="shared" si="137"/>
        <v/>
      </c>
      <c r="BO67" s="1355" t="str">
        <f t="shared" si="137"/>
        <v/>
      </c>
      <c r="BP67" s="1355" t="str">
        <f t="shared" si="137"/>
        <v/>
      </c>
      <c r="BQ67" s="1355" t="str">
        <f t="shared" si="137"/>
        <v/>
      </c>
      <c r="BR67" s="1355" t="str">
        <f t="shared" si="137"/>
        <v/>
      </c>
      <c r="BS67" s="1355" t="str">
        <f t="shared" si="137"/>
        <v/>
      </c>
      <c r="BT67" s="1355" t="str">
        <f t="shared" si="137"/>
        <v/>
      </c>
      <c r="BU67" s="1765"/>
      <c r="BV67" s="1355" t="str">
        <f>IF(BV65="","",BV65*BV66)</f>
        <v/>
      </c>
      <c r="BW67" s="1355" t="str">
        <f>IF(BW65="","",BW65*BW66)</f>
        <v/>
      </c>
      <c r="BX67" s="1355" t="str">
        <f>IF(BX65="","",BX65*BX66)</f>
        <v/>
      </c>
      <c r="BY67" s="1355" t="str">
        <f>IF(BY65="","",BY65*BY66)</f>
        <v/>
      </c>
      <c r="BZ67" s="1748" t="str">
        <f t="shared" si="81"/>
        <v/>
      </c>
      <c r="CA67" s="1748" t="str">
        <f t="shared" si="82"/>
        <v/>
      </c>
      <c r="CB67" s="1748" t="str">
        <f t="shared" si="83"/>
        <v/>
      </c>
      <c r="CC67" s="1749">
        <f t="shared" si="84"/>
        <v>0</v>
      </c>
      <c r="CD67" s="1683" t="str">
        <f t="shared" si="133"/>
        <v/>
      </c>
      <c r="CE67" s="1684" t="str">
        <f t="shared" si="133"/>
        <v/>
      </c>
      <c r="CF67" s="1685" t="str">
        <f t="shared" si="133"/>
        <v/>
      </c>
      <c r="CG67" s="1685" t="str">
        <f t="shared" si="133"/>
        <v/>
      </c>
      <c r="CH67" s="1685" t="str">
        <f t="shared" si="133"/>
        <v/>
      </c>
      <c r="CI67" s="1685" t="str">
        <f t="shared" si="133"/>
        <v/>
      </c>
      <c r="CJ67" s="1685" t="str">
        <f t="shared" si="133"/>
        <v/>
      </c>
      <c r="CK67" s="1686">
        <f t="shared" si="133"/>
        <v>0</v>
      </c>
      <c r="CL67" s="1686">
        <f t="shared" si="133"/>
        <v>0</v>
      </c>
      <c r="CM67" s="1686">
        <f t="shared" si="133"/>
        <v>0</v>
      </c>
      <c r="CN67" s="1685">
        <f t="shared" si="133"/>
        <v>0</v>
      </c>
      <c r="CO67" s="1685" t="str">
        <f t="shared" si="133"/>
        <v/>
      </c>
      <c r="CP67" s="1685" t="str">
        <f t="shared" si="133"/>
        <v/>
      </c>
      <c r="CQ67" s="1685" t="str">
        <f t="shared" si="133"/>
        <v/>
      </c>
      <c r="CR67" s="1685" t="str">
        <f t="shared" si="133"/>
        <v/>
      </c>
      <c r="CS67" s="1684" t="str">
        <f t="shared" si="133"/>
        <v/>
      </c>
      <c r="CT67" s="1687" t="str">
        <f t="shared" si="133"/>
        <v/>
      </c>
      <c r="CU67" s="1696" t="str">
        <f t="shared" si="87"/>
        <v/>
      </c>
      <c r="CV67" s="1697" t="str">
        <f t="shared" si="88"/>
        <v/>
      </c>
      <c r="CW67" s="1698" t="str">
        <f t="shared" si="89"/>
        <v/>
      </c>
      <c r="CX67" s="1698" t="str">
        <f t="shared" si="90"/>
        <v/>
      </c>
      <c r="CY67" s="1698" t="str">
        <f t="shared" si="91"/>
        <v/>
      </c>
      <c r="CZ67" s="1698" t="str">
        <f t="shared" si="92"/>
        <v/>
      </c>
      <c r="DA67" s="1698" t="str">
        <f t="shared" si="93"/>
        <v/>
      </c>
      <c r="DB67" s="1699">
        <f t="shared" si="94"/>
        <v>0</v>
      </c>
      <c r="DC67" s="1699">
        <f t="shared" si="95"/>
        <v>0</v>
      </c>
      <c r="DD67" s="1699">
        <f t="shared" si="96"/>
        <v>0</v>
      </c>
      <c r="DE67" s="1698">
        <f t="shared" si="97"/>
        <v>0</v>
      </c>
      <c r="DF67" s="1698" t="str">
        <f t="shared" si="98"/>
        <v/>
      </c>
      <c r="DG67" s="1698" t="str">
        <f t="shared" si="99"/>
        <v/>
      </c>
      <c r="DH67" s="1698" t="str">
        <f t="shared" si="100"/>
        <v/>
      </c>
      <c r="DI67" s="1698" t="str">
        <f t="shared" si="101"/>
        <v/>
      </c>
      <c r="DJ67" s="1697" t="str">
        <f t="shared" si="102"/>
        <v/>
      </c>
      <c r="DK67" s="1696" t="str">
        <f t="shared" si="103"/>
        <v/>
      </c>
      <c r="DL67" s="1750">
        <f t="shared" si="104"/>
        <v>0</v>
      </c>
      <c r="DM67" s="1386">
        <f t="shared" si="105"/>
        <v>1</v>
      </c>
      <c r="DN67" s="1386">
        <f t="shared" si="106"/>
        <v>1</v>
      </c>
      <c r="DO67" s="1386">
        <f t="shared" si="107"/>
        <v>4</v>
      </c>
      <c r="DP67" s="1766" t="str">
        <f>IF(DP65="","",DP65*BV66)</f>
        <v/>
      </c>
      <c r="DQ67" s="1463" t="str">
        <f>IF(DQ65="","",DQ65*BW66)</f>
        <v/>
      </c>
      <c r="DR67" s="1463" t="str">
        <f>IF(DR65="","",DR65*BX66)</f>
        <v/>
      </c>
      <c r="DS67" s="1767" t="str">
        <f>IF(DS65="","",DS65*BY66)</f>
        <v/>
      </c>
      <c r="DT67" s="1758"/>
      <c r="DU67" s="1707"/>
    </row>
    <row r="68" spans="1:125" ht="12.75" customHeight="1">
      <c r="A68" s="1762" t="s">
        <v>258</v>
      </c>
      <c r="B68" s="1768"/>
      <c r="C68" s="1768"/>
      <c r="D68" s="1768"/>
      <c r="E68" s="1768"/>
      <c r="F68" s="1768"/>
      <c r="G68" s="1768"/>
      <c r="H68" s="1768"/>
      <c r="I68" s="1768"/>
      <c r="J68" s="1768"/>
      <c r="K68" s="1768"/>
      <c r="L68" s="1768"/>
      <c r="M68" s="1768"/>
      <c r="N68" s="1768"/>
      <c r="O68" s="1768"/>
      <c r="P68" s="1768"/>
      <c r="Q68" s="1768"/>
      <c r="R68" s="1768"/>
      <c r="S68" s="1747"/>
      <c r="T68" s="1768">
        <v>0</v>
      </c>
      <c r="U68" s="1768"/>
      <c r="V68" s="1768"/>
      <c r="W68" s="1768"/>
      <c r="X68" s="1768"/>
      <c r="Y68" s="1768"/>
      <c r="Z68" s="1768"/>
      <c r="AA68" s="1768"/>
      <c r="AB68" s="1768"/>
      <c r="AC68" s="1768"/>
      <c r="AD68" s="1768"/>
      <c r="AE68" s="1768"/>
      <c r="AF68" s="1768"/>
      <c r="AG68" s="1768"/>
      <c r="AH68" s="1768"/>
      <c r="AI68" s="1768"/>
      <c r="AJ68" s="1768"/>
      <c r="AK68" s="1747"/>
      <c r="AL68" s="1768"/>
      <c r="AM68" s="1768"/>
      <c r="AN68" s="1768"/>
      <c r="AO68" s="1768">
        <v>0</v>
      </c>
      <c r="AP68" s="1768"/>
      <c r="AQ68" s="1768"/>
      <c r="AR68" s="1768"/>
      <c r="AS68" s="1768"/>
      <c r="AT68" s="1768"/>
      <c r="AU68" s="1768"/>
      <c r="AV68" s="1768"/>
      <c r="AW68" s="1768"/>
      <c r="AX68" s="1768"/>
      <c r="AY68" s="1768"/>
      <c r="AZ68" s="1768"/>
      <c r="BA68" s="1768"/>
      <c r="BB68" s="1768"/>
      <c r="BC68" s="1747"/>
      <c r="BD68" s="1768"/>
      <c r="BE68" s="1768"/>
      <c r="BF68" s="1768"/>
      <c r="BG68" s="1768"/>
      <c r="BH68" s="1768"/>
      <c r="BI68" s="1768"/>
      <c r="BJ68" s="1768"/>
      <c r="BK68" s="1768"/>
      <c r="BL68" s="1768"/>
      <c r="BM68" s="1768"/>
      <c r="BN68" s="1768"/>
      <c r="BO68" s="1768"/>
      <c r="BP68" s="1768"/>
      <c r="BQ68" s="1768"/>
      <c r="BR68" s="1768"/>
      <c r="BS68" s="1768"/>
      <c r="BT68" s="1768"/>
      <c r="BU68" s="1747"/>
      <c r="BV68" s="1768"/>
      <c r="BW68" s="1768"/>
      <c r="BX68" s="1768"/>
      <c r="BY68" s="1768"/>
      <c r="BZ68" s="1748" t="str">
        <f t="shared" si="81"/>
        <v/>
      </c>
      <c r="CA68" s="1748" t="str">
        <f t="shared" si="82"/>
        <v/>
      </c>
      <c r="CB68" s="1748" t="str">
        <f t="shared" si="83"/>
        <v/>
      </c>
      <c r="CC68" s="1749" t="str">
        <f t="shared" si="84"/>
        <v/>
      </c>
      <c r="CD68" s="1683" t="str">
        <f t="shared" si="133"/>
        <v/>
      </c>
      <c r="CE68" s="1684" t="str">
        <f t="shared" si="133"/>
        <v/>
      </c>
      <c r="CF68" s="1685" t="str">
        <f t="shared" si="133"/>
        <v/>
      </c>
      <c r="CG68" s="1685" t="str">
        <f t="shared" si="133"/>
        <v/>
      </c>
      <c r="CH68" s="1685" t="str">
        <f t="shared" si="133"/>
        <v/>
      </c>
      <c r="CI68" s="1685" t="str">
        <f t="shared" si="133"/>
        <v/>
      </c>
      <c r="CJ68" s="1685" t="str">
        <f t="shared" si="133"/>
        <v/>
      </c>
      <c r="CK68" s="1686" t="str">
        <f t="shared" si="133"/>
        <v/>
      </c>
      <c r="CL68" s="1686" t="str">
        <f t="shared" si="133"/>
        <v/>
      </c>
      <c r="CM68" s="1686" t="str">
        <f t="shared" si="133"/>
        <v/>
      </c>
      <c r="CN68" s="1685" t="str">
        <f t="shared" si="133"/>
        <v/>
      </c>
      <c r="CO68" s="1685" t="str">
        <f t="shared" si="133"/>
        <v/>
      </c>
      <c r="CP68" s="1685" t="str">
        <f t="shared" si="133"/>
        <v/>
      </c>
      <c r="CQ68" s="1685" t="str">
        <f t="shared" si="133"/>
        <v/>
      </c>
      <c r="CR68" s="1685" t="str">
        <f t="shared" si="133"/>
        <v/>
      </c>
      <c r="CS68" s="1684" t="str">
        <f t="shared" si="133"/>
        <v/>
      </c>
      <c r="CT68" s="1687" t="str">
        <f t="shared" si="133"/>
        <v/>
      </c>
      <c r="CU68" s="1696" t="str">
        <f t="shared" si="87"/>
        <v/>
      </c>
      <c r="CV68" s="1697" t="str">
        <f t="shared" si="88"/>
        <v/>
      </c>
      <c r="CW68" s="1698" t="str">
        <f t="shared" si="89"/>
        <v/>
      </c>
      <c r="CX68" s="1698" t="str">
        <f t="shared" si="90"/>
        <v/>
      </c>
      <c r="CY68" s="1698" t="str">
        <f t="shared" si="91"/>
        <v/>
      </c>
      <c r="CZ68" s="1698" t="str">
        <f t="shared" si="92"/>
        <v/>
      </c>
      <c r="DA68" s="1698" t="str">
        <f t="shared" si="93"/>
        <v/>
      </c>
      <c r="DB68" s="1699" t="str">
        <f t="shared" si="94"/>
        <v/>
      </c>
      <c r="DC68" s="1699" t="str">
        <f t="shared" si="95"/>
        <v/>
      </c>
      <c r="DD68" s="1699" t="str">
        <f t="shared" si="96"/>
        <v/>
      </c>
      <c r="DE68" s="1698" t="str">
        <f t="shared" si="97"/>
        <v/>
      </c>
      <c r="DF68" s="1698" t="str">
        <f t="shared" si="98"/>
        <v/>
      </c>
      <c r="DG68" s="1698" t="str">
        <f t="shared" si="99"/>
        <v/>
      </c>
      <c r="DH68" s="1698" t="str">
        <f t="shared" si="100"/>
        <v/>
      </c>
      <c r="DI68" s="1698" t="str">
        <f t="shared" si="101"/>
        <v/>
      </c>
      <c r="DJ68" s="1697" t="str">
        <f t="shared" si="102"/>
        <v/>
      </c>
      <c r="DK68" s="1696" t="str">
        <f t="shared" si="103"/>
        <v/>
      </c>
      <c r="DL68" s="1750">
        <f t="shared" si="104"/>
        <v>0</v>
      </c>
      <c r="DM68" s="1386">
        <f t="shared" si="105"/>
        <v>1</v>
      </c>
      <c r="DN68" s="1386">
        <f t="shared" si="106"/>
        <v>1</v>
      </c>
      <c r="DO68" s="1386">
        <f t="shared" si="107"/>
        <v>0</v>
      </c>
      <c r="DP68" s="1769"/>
      <c r="DQ68" s="1492"/>
      <c r="DR68" s="1492"/>
      <c r="DS68" s="1770"/>
      <c r="DT68" s="1758"/>
      <c r="DU68" s="1707"/>
    </row>
    <row r="69" spans="1:125" ht="12.75" customHeight="1">
      <c r="A69" s="1771" t="s">
        <v>252</v>
      </c>
      <c r="B69" s="1354" t="str">
        <f t="shared" ref="B69:R69" si="138">IF(B63="","",(B63-B65-B68)*B64/B$7/365/$G$1)</f>
        <v/>
      </c>
      <c r="C69" s="1354" t="str">
        <f t="shared" si="138"/>
        <v/>
      </c>
      <c r="D69" s="1354" t="str">
        <f t="shared" si="138"/>
        <v/>
      </c>
      <c r="E69" s="1354" t="str">
        <f t="shared" si="138"/>
        <v/>
      </c>
      <c r="F69" s="1354" t="str">
        <f t="shared" si="138"/>
        <v/>
      </c>
      <c r="G69" s="1354" t="str">
        <f t="shared" si="138"/>
        <v/>
      </c>
      <c r="H69" s="1354" t="str">
        <f t="shared" si="138"/>
        <v/>
      </c>
      <c r="I69" s="1354" t="str">
        <f t="shared" si="138"/>
        <v/>
      </c>
      <c r="J69" s="1354" t="str">
        <f t="shared" si="138"/>
        <v/>
      </c>
      <c r="K69" s="1354" t="str">
        <f t="shared" si="138"/>
        <v/>
      </c>
      <c r="L69" s="1354" t="str">
        <f t="shared" si="138"/>
        <v/>
      </c>
      <c r="M69" s="1354" t="str">
        <f t="shared" si="138"/>
        <v/>
      </c>
      <c r="N69" s="1354" t="str">
        <f t="shared" si="138"/>
        <v/>
      </c>
      <c r="O69" s="1354" t="str">
        <f t="shared" si="138"/>
        <v/>
      </c>
      <c r="P69" s="1354" t="str">
        <f t="shared" si="138"/>
        <v/>
      </c>
      <c r="Q69" s="1354" t="str">
        <f t="shared" si="138"/>
        <v/>
      </c>
      <c r="R69" s="1354" t="str">
        <f t="shared" si="138"/>
        <v/>
      </c>
      <c r="S69" s="1772"/>
      <c r="T69" s="1354">
        <f t="shared" ref="T69:AJ69" si="139">IF(T63="","",(T63-T65-T68)*T64/T$7/365/$G$1)</f>
        <v>2.3704856787048569E-2</v>
      </c>
      <c r="U69" s="1354" t="str">
        <f t="shared" si="139"/>
        <v/>
      </c>
      <c r="V69" s="1354" t="str">
        <f t="shared" si="139"/>
        <v/>
      </c>
      <c r="W69" s="1354" t="str">
        <f t="shared" si="139"/>
        <v/>
      </c>
      <c r="X69" s="1354" t="str">
        <f t="shared" si="139"/>
        <v/>
      </c>
      <c r="Y69" s="1354" t="str">
        <f t="shared" si="139"/>
        <v/>
      </c>
      <c r="Z69" s="1354" t="str">
        <f t="shared" si="139"/>
        <v/>
      </c>
      <c r="AA69" s="1354" t="str">
        <f t="shared" si="139"/>
        <v/>
      </c>
      <c r="AB69" s="1354" t="str">
        <f t="shared" si="139"/>
        <v/>
      </c>
      <c r="AC69" s="1354" t="str">
        <f t="shared" si="139"/>
        <v/>
      </c>
      <c r="AD69" s="1354" t="str">
        <f t="shared" si="139"/>
        <v/>
      </c>
      <c r="AE69" s="1354" t="str">
        <f t="shared" si="139"/>
        <v/>
      </c>
      <c r="AF69" s="1354" t="str">
        <f t="shared" si="139"/>
        <v/>
      </c>
      <c r="AG69" s="1354" t="str">
        <f t="shared" si="139"/>
        <v/>
      </c>
      <c r="AH69" s="1354" t="str">
        <f t="shared" si="139"/>
        <v/>
      </c>
      <c r="AI69" s="1354" t="str">
        <f t="shared" si="139"/>
        <v/>
      </c>
      <c r="AJ69" s="1354" t="str">
        <f t="shared" si="139"/>
        <v/>
      </c>
      <c r="AK69" s="1772"/>
      <c r="AL69" s="1354" t="str">
        <f t="shared" ref="AL69:BB69" si="140">IF(AL63="","",(AL63-AL65-AL68)*AL64/AL$7/365/$G$1)</f>
        <v/>
      </c>
      <c r="AM69" s="1354" t="str">
        <f t="shared" si="140"/>
        <v/>
      </c>
      <c r="AN69" s="1354" t="str">
        <f t="shared" si="140"/>
        <v/>
      </c>
      <c r="AO69" s="1354">
        <f t="shared" si="140"/>
        <v>4.7409713574097139E-3</v>
      </c>
      <c r="AP69" s="1354" t="str">
        <f t="shared" si="140"/>
        <v/>
      </c>
      <c r="AQ69" s="1354" t="str">
        <f t="shared" si="140"/>
        <v/>
      </c>
      <c r="AR69" s="1354" t="str">
        <f t="shared" si="140"/>
        <v/>
      </c>
      <c r="AS69" s="1354" t="str">
        <f t="shared" si="140"/>
        <v/>
      </c>
      <c r="AT69" s="1354" t="str">
        <f t="shared" si="140"/>
        <v/>
      </c>
      <c r="AU69" s="1354" t="str">
        <f t="shared" si="140"/>
        <v/>
      </c>
      <c r="AV69" s="1354" t="str">
        <f t="shared" si="140"/>
        <v/>
      </c>
      <c r="AW69" s="1354" t="str">
        <f t="shared" si="140"/>
        <v/>
      </c>
      <c r="AX69" s="1354" t="str">
        <f t="shared" si="140"/>
        <v/>
      </c>
      <c r="AY69" s="1354" t="str">
        <f t="shared" si="140"/>
        <v/>
      </c>
      <c r="AZ69" s="1354" t="str">
        <f t="shared" si="140"/>
        <v/>
      </c>
      <c r="BA69" s="1354" t="str">
        <f t="shared" si="140"/>
        <v/>
      </c>
      <c r="BB69" s="1354" t="str">
        <f t="shared" si="140"/>
        <v/>
      </c>
      <c r="BC69" s="1772"/>
      <c r="BD69" s="1354" t="str">
        <f t="shared" ref="BD69:BT69" si="141">IF(BD63="","",(BD63-BD65-BD68)*BD64/BD$7/365/$G$1)</f>
        <v/>
      </c>
      <c r="BE69" s="1354" t="str">
        <f t="shared" si="141"/>
        <v/>
      </c>
      <c r="BF69" s="1354" t="str">
        <f t="shared" si="141"/>
        <v/>
      </c>
      <c r="BG69" s="1354">
        <f t="shared" si="141"/>
        <v>1.1288027041451697E-2</v>
      </c>
      <c r="BH69" s="1354">
        <f t="shared" si="141"/>
        <v>1.9155439827918033E-2</v>
      </c>
      <c r="BI69" s="1354" t="str">
        <f t="shared" si="141"/>
        <v/>
      </c>
      <c r="BJ69" s="1354">
        <f t="shared" si="141"/>
        <v>1.316936488169365E-2</v>
      </c>
      <c r="BK69" s="1354" t="str">
        <f t="shared" si="141"/>
        <v/>
      </c>
      <c r="BL69" s="1354" t="str">
        <f t="shared" si="141"/>
        <v/>
      </c>
      <c r="BM69" s="1354">
        <f t="shared" si="141"/>
        <v>1.1288027041451697E-2</v>
      </c>
      <c r="BN69" s="1354" t="str">
        <f t="shared" si="141"/>
        <v/>
      </c>
      <c r="BO69" s="1354" t="str">
        <f t="shared" si="141"/>
        <v/>
      </c>
      <c r="BP69" s="1354" t="str">
        <f t="shared" si="141"/>
        <v/>
      </c>
      <c r="BQ69" s="1354" t="str">
        <f t="shared" si="141"/>
        <v/>
      </c>
      <c r="BR69" s="1354" t="str">
        <f t="shared" si="141"/>
        <v/>
      </c>
      <c r="BS69" s="1354" t="str">
        <f t="shared" si="141"/>
        <v/>
      </c>
      <c r="BT69" s="1354" t="str">
        <f t="shared" si="141"/>
        <v/>
      </c>
      <c r="BU69" s="1772"/>
      <c r="BV69" s="1354" t="str">
        <f>IF(BV63="","",(BV63-BV65-BV68)*BV64/BV$7/365/$G$1)</f>
        <v/>
      </c>
      <c r="BW69" s="1354" t="str">
        <f>IF(BW63="","",(BW63-BW65-BW68)*BW64/BW$7/365/$G$1)</f>
        <v/>
      </c>
      <c r="BX69" s="1354" t="str">
        <f>IF(BX63="","",(BX63-BX65-BX68)*BX64/BX$7/365/$G$1)</f>
        <v/>
      </c>
      <c r="BY69" s="1354">
        <f>IF(BY63="","",(BY63-BY65-BY68)*BY64/BY$7/365/$G$1)</f>
        <v>1.1706102117061022E-2</v>
      </c>
      <c r="BZ69" s="1773" t="str">
        <f t="shared" si="81"/>
        <v/>
      </c>
      <c r="CA69" s="1773" t="str">
        <f t="shared" si="82"/>
        <v/>
      </c>
      <c r="CB69" s="1773" t="str">
        <f t="shared" si="83"/>
        <v/>
      </c>
      <c r="CC69" s="1774">
        <f t="shared" si="84"/>
        <v>1.2228695961572675E-2</v>
      </c>
      <c r="CD69" s="1700" t="str">
        <f t="shared" si="133"/>
        <v/>
      </c>
      <c r="CE69" s="1701" t="str">
        <f t="shared" si="133"/>
        <v/>
      </c>
      <c r="CF69" s="1702" t="str">
        <f t="shared" si="133"/>
        <v/>
      </c>
      <c r="CG69" s="1702" t="str">
        <f t="shared" si="133"/>
        <v/>
      </c>
      <c r="CH69" s="1702" t="str">
        <f t="shared" si="133"/>
        <v/>
      </c>
      <c r="CI69" s="1702" t="str">
        <f t="shared" si="133"/>
        <v/>
      </c>
      <c r="CJ69" s="1702" t="str">
        <f t="shared" si="133"/>
        <v/>
      </c>
      <c r="CK69" s="1703">
        <f t="shared" si="133"/>
        <v>1.1288027041451697E-2</v>
      </c>
      <c r="CL69" s="1703">
        <f t="shared" si="133"/>
        <v>1.1288027041451697E-2</v>
      </c>
      <c r="CM69" s="1703">
        <f t="shared" si="133"/>
        <v>1.316936488169365E-2</v>
      </c>
      <c r="CN69" s="1702">
        <f t="shared" si="133"/>
        <v>1.9155439827918033E-2</v>
      </c>
      <c r="CO69" s="1702" t="str">
        <f t="shared" si="133"/>
        <v/>
      </c>
      <c r="CP69" s="1702" t="str">
        <f t="shared" si="133"/>
        <v/>
      </c>
      <c r="CQ69" s="1702" t="str">
        <f t="shared" si="133"/>
        <v/>
      </c>
      <c r="CR69" s="1702" t="str">
        <f t="shared" si="133"/>
        <v/>
      </c>
      <c r="CS69" s="1701" t="str">
        <f t="shared" si="133"/>
        <v/>
      </c>
      <c r="CT69" s="1704" t="str">
        <f t="shared" si="133"/>
        <v/>
      </c>
      <c r="CU69" s="1705" t="str">
        <f t="shared" si="87"/>
        <v/>
      </c>
      <c r="CV69" s="1701" t="str">
        <f t="shared" si="88"/>
        <v/>
      </c>
      <c r="CW69" s="1702" t="str">
        <f t="shared" si="89"/>
        <v/>
      </c>
      <c r="CX69" s="1702" t="str">
        <f t="shared" si="90"/>
        <v/>
      </c>
      <c r="CY69" s="1702" t="str">
        <f t="shared" si="91"/>
        <v/>
      </c>
      <c r="CZ69" s="1702" t="str">
        <f t="shared" si="92"/>
        <v/>
      </c>
      <c r="DA69" s="1702" t="str">
        <f t="shared" si="93"/>
        <v/>
      </c>
      <c r="DB69" s="1703">
        <f t="shared" si="94"/>
        <v>1.1288027041451697E-2</v>
      </c>
      <c r="DC69" s="1703">
        <f t="shared" si="95"/>
        <v>1.1288027041451697E-2</v>
      </c>
      <c r="DD69" s="1703">
        <f t="shared" si="96"/>
        <v>1.316936488169365E-2</v>
      </c>
      <c r="DE69" s="1702">
        <f t="shared" si="97"/>
        <v>1.9155439827918033E-2</v>
      </c>
      <c r="DF69" s="1702" t="str">
        <f t="shared" si="98"/>
        <v/>
      </c>
      <c r="DG69" s="1702" t="str">
        <f t="shared" si="99"/>
        <v/>
      </c>
      <c r="DH69" s="1702" t="str">
        <f t="shared" si="100"/>
        <v/>
      </c>
      <c r="DI69" s="1702" t="str">
        <f t="shared" si="101"/>
        <v/>
      </c>
      <c r="DJ69" s="1701" t="str">
        <f t="shared" si="102"/>
        <v/>
      </c>
      <c r="DK69" s="1705" t="str">
        <f t="shared" si="103"/>
        <v/>
      </c>
      <c r="DL69" s="1750">
        <f t="shared" si="104"/>
        <v>0</v>
      </c>
      <c r="DM69" s="1386">
        <f t="shared" si="105"/>
        <v>1</v>
      </c>
      <c r="DN69" s="1386">
        <f t="shared" si="106"/>
        <v>1</v>
      </c>
      <c r="DO69" s="1386">
        <f t="shared" si="107"/>
        <v>4</v>
      </c>
      <c r="DP69" s="1775" t="str">
        <f>IF(DP63="","",(DP63+SUM(BV63)*(DP63="")-SUM(DP65)-DP68-SUM(BV68)*(DP68=""))*BV64/DP$7/365/$G$1)</f>
        <v/>
      </c>
      <c r="DQ69" s="1354" t="str">
        <f>IF(DQ63="","",(DQ63+SUM(BW63)*(DQ63="")-SUM(DQ65)-DQ68-SUM(BW68)*(DQ68=""))*BW64/DQ$7/365/$G$1)</f>
        <v/>
      </c>
      <c r="DR69" s="1354" t="str">
        <f>IF(DR63="","",(DR63+SUM(BX63)*(DR63="")-SUM(DR65)-DR68-SUM(BX68)*(DR68=""))*BX64/DR$7/365/$G$1)</f>
        <v/>
      </c>
      <c r="DS69" s="1776">
        <f>IF(DS63="","",(DS63+SUM(BY63)*(DS63="")-SUM(DS65)-DS68-SUM(BY68)*(DS68=""))*BY64/DS$7/365/$G$1)</f>
        <v>1.4632627646326278E-2</v>
      </c>
      <c r="DT69" s="1758"/>
      <c r="DU69" s="1707"/>
    </row>
    <row r="70" spans="1:125" ht="12.75" customHeight="1">
      <c r="A70" s="1745" t="s">
        <v>498</v>
      </c>
      <c r="B70" s="1746"/>
      <c r="C70" s="1746"/>
      <c r="D70" s="1746"/>
      <c r="E70" s="1746"/>
      <c r="F70" s="1746"/>
      <c r="G70" s="1746"/>
      <c r="H70" s="1746"/>
      <c r="I70" s="1746"/>
      <c r="J70" s="1746"/>
      <c r="K70" s="1746"/>
      <c r="L70" s="1746"/>
      <c r="M70" s="1746"/>
      <c r="N70" s="1746"/>
      <c r="O70" s="1746"/>
      <c r="P70" s="1746"/>
      <c r="Q70" s="1746"/>
      <c r="R70" s="1746"/>
      <c r="S70" s="1747"/>
      <c r="T70" s="1746"/>
      <c r="U70" s="1746"/>
      <c r="V70" s="1746"/>
      <c r="W70" s="1746"/>
      <c r="X70" s="1746"/>
      <c r="Y70" s="1746"/>
      <c r="Z70" s="1746"/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7"/>
      <c r="AL70" s="1746"/>
      <c r="AM70" s="1746"/>
      <c r="AN70" s="1746"/>
      <c r="AO70" s="1746"/>
      <c r="AP70" s="1746"/>
      <c r="AQ70" s="1746"/>
      <c r="AR70" s="1746"/>
      <c r="AS70" s="1746"/>
      <c r="AT70" s="1746"/>
      <c r="AU70" s="1746"/>
      <c r="AV70" s="1746"/>
      <c r="AW70" s="1746"/>
      <c r="AX70" s="1746"/>
      <c r="AY70" s="1746"/>
      <c r="AZ70" s="1746"/>
      <c r="BA70" s="1746"/>
      <c r="BB70" s="1746"/>
      <c r="BC70" s="1747"/>
      <c r="BD70" s="1746"/>
      <c r="BE70" s="1746"/>
      <c r="BF70" s="1746"/>
      <c r="BG70" s="1746"/>
      <c r="BH70" s="1746"/>
      <c r="BI70" s="1746"/>
      <c r="BJ70" s="1746"/>
      <c r="BK70" s="1746"/>
      <c r="BL70" s="1746"/>
      <c r="BM70" s="1746"/>
      <c r="BN70" s="1746"/>
      <c r="BO70" s="1746"/>
      <c r="BP70" s="1746"/>
      <c r="BQ70" s="1746"/>
      <c r="BR70" s="1746"/>
      <c r="BS70" s="1746"/>
      <c r="BT70" s="1746"/>
      <c r="BU70" s="1747"/>
      <c r="BV70" s="1746"/>
      <c r="BW70" s="1746"/>
      <c r="BX70" s="1746"/>
      <c r="BY70" s="1746"/>
      <c r="BZ70" s="1748" t="str">
        <f t="shared" si="81"/>
        <v/>
      </c>
      <c r="CA70" s="1748" t="str">
        <f t="shared" si="82"/>
        <v/>
      </c>
      <c r="CB70" s="1748" t="str">
        <f t="shared" si="83"/>
        <v/>
      </c>
      <c r="CC70" s="1749" t="str">
        <f t="shared" si="84"/>
        <v/>
      </c>
      <c r="CD70" s="1683" t="str">
        <f t="shared" si="133"/>
        <v/>
      </c>
      <c r="CE70" s="1684" t="str">
        <f t="shared" si="133"/>
        <v/>
      </c>
      <c r="CF70" s="1685" t="str">
        <f t="shared" si="133"/>
        <v/>
      </c>
      <c r="CG70" s="1685" t="str">
        <f t="shared" si="133"/>
        <v/>
      </c>
      <c r="CH70" s="1685" t="str">
        <f t="shared" si="133"/>
        <v/>
      </c>
      <c r="CI70" s="1685" t="str">
        <f t="shared" si="133"/>
        <v/>
      </c>
      <c r="CJ70" s="1685" t="str">
        <f t="shared" si="133"/>
        <v/>
      </c>
      <c r="CK70" s="1686" t="str">
        <f t="shared" si="133"/>
        <v/>
      </c>
      <c r="CL70" s="1686" t="str">
        <f t="shared" si="133"/>
        <v/>
      </c>
      <c r="CM70" s="1686" t="str">
        <f t="shared" si="133"/>
        <v/>
      </c>
      <c r="CN70" s="1685" t="str">
        <f t="shared" si="133"/>
        <v/>
      </c>
      <c r="CO70" s="1685" t="str">
        <f t="shared" si="133"/>
        <v/>
      </c>
      <c r="CP70" s="1685" t="str">
        <f t="shared" si="133"/>
        <v/>
      </c>
      <c r="CQ70" s="1685" t="str">
        <f t="shared" si="133"/>
        <v/>
      </c>
      <c r="CR70" s="1685" t="str">
        <f t="shared" si="133"/>
        <v/>
      </c>
      <c r="CS70" s="1684" t="str">
        <f t="shared" si="133"/>
        <v/>
      </c>
      <c r="CT70" s="1687" t="str">
        <f t="shared" si="133"/>
        <v/>
      </c>
      <c r="CU70" s="1696" t="str">
        <f t="shared" si="87"/>
        <v/>
      </c>
      <c r="CV70" s="1697" t="str">
        <f t="shared" si="88"/>
        <v/>
      </c>
      <c r="CW70" s="1698" t="str">
        <f t="shared" si="89"/>
        <v/>
      </c>
      <c r="CX70" s="1698" t="str">
        <f t="shared" si="90"/>
        <v/>
      </c>
      <c r="CY70" s="1698" t="str">
        <f t="shared" si="91"/>
        <v/>
      </c>
      <c r="CZ70" s="1698" t="str">
        <f t="shared" si="92"/>
        <v/>
      </c>
      <c r="DA70" s="1698" t="str">
        <f t="shared" si="93"/>
        <v/>
      </c>
      <c r="DB70" s="1699" t="str">
        <f t="shared" si="94"/>
        <v/>
      </c>
      <c r="DC70" s="1699" t="str">
        <f t="shared" si="95"/>
        <v/>
      </c>
      <c r="DD70" s="1699" t="str">
        <f t="shared" si="96"/>
        <v/>
      </c>
      <c r="DE70" s="1698" t="str">
        <f t="shared" si="97"/>
        <v/>
      </c>
      <c r="DF70" s="1698" t="str">
        <f t="shared" si="98"/>
        <v/>
      </c>
      <c r="DG70" s="1698" t="str">
        <f t="shared" si="99"/>
        <v/>
      </c>
      <c r="DH70" s="1698" t="str">
        <f t="shared" si="100"/>
        <v/>
      </c>
      <c r="DI70" s="1698" t="str">
        <f t="shared" si="101"/>
        <v/>
      </c>
      <c r="DJ70" s="1697" t="str">
        <f t="shared" si="102"/>
        <v/>
      </c>
      <c r="DK70" s="1696" t="str">
        <f t="shared" si="103"/>
        <v/>
      </c>
      <c r="DL70" s="1750">
        <f t="shared" si="104"/>
        <v>0</v>
      </c>
      <c r="DM70" s="1386">
        <f t="shared" si="105"/>
        <v>0</v>
      </c>
      <c r="DN70" s="1386">
        <f t="shared" si="106"/>
        <v>0</v>
      </c>
      <c r="DO70" s="1386">
        <f t="shared" si="107"/>
        <v>0</v>
      </c>
      <c r="DP70" s="1777" t="str">
        <f>IF(SUM(BV70)&gt;0,BV70*'Exp factors'!C$21,"")</f>
        <v/>
      </c>
      <c r="DQ70" s="1452" t="str">
        <f>IF(SUM(BW70)&gt;0,BW70*'Exp factors'!D$21,"")</f>
        <v/>
      </c>
      <c r="DR70" s="1452" t="str">
        <f>IF(SUM(BX70)&gt;0,BX70*'Exp factors'!E$21,"")</f>
        <v/>
      </c>
      <c r="DS70" s="1778" t="str">
        <f>IF(SUM(BY70)&gt;0,BY70*'Exp factors'!F$21,"")</f>
        <v/>
      </c>
      <c r="DT70" s="1758"/>
      <c r="DU70" s="1707"/>
    </row>
    <row r="71" spans="1:125" ht="12.75" customHeight="1">
      <c r="A71" s="1344" t="s">
        <v>256</v>
      </c>
      <c r="B71" s="1754"/>
      <c r="C71" s="1754"/>
      <c r="D71" s="1754"/>
      <c r="E71" s="1754"/>
      <c r="F71" s="1754"/>
      <c r="G71" s="1754"/>
      <c r="H71" s="1754"/>
      <c r="I71" s="1754"/>
      <c r="J71" s="1754"/>
      <c r="K71" s="1754"/>
      <c r="L71" s="1754"/>
      <c r="M71" s="1754"/>
      <c r="N71" s="1754"/>
      <c r="O71" s="1754"/>
      <c r="P71" s="1754"/>
      <c r="Q71" s="1754"/>
      <c r="R71" s="1754"/>
      <c r="S71" s="1755"/>
      <c r="T71" s="1754"/>
      <c r="U71" s="1754"/>
      <c r="V71" s="1754"/>
      <c r="W71" s="1754"/>
      <c r="X71" s="1754"/>
      <c r="Y71" s="1754"/>
      <c r="Z71" s="1754"/>
      <c r="AA71" s="1754"/>
      <c r="AB71" s="1754"/>
      <c r="AC71" s="1754"/>
      <c r="AD71" s="1754"/>
      <c r="AE71" s="1754"/>
      <c r="AF71" s="1754"/>
      <c r="AG71" s="1754"/>
      <c r="AH71" s="1754"/>
      <c r="AI71" s="1754"/>
      <c r="AJ71" s="1754"/>
      <c r="AK71" s="1755"/>
      <c r="AL71" s="1754"/>
      <c r="AM71" s="1754"/>
      <c r="AN71" s="1754"/>
      <c r="AO71" s="1754"/>
      <c r="AP71" s="1754"/>
      <c r="AQ71" s="1754"/>
      <c r="AR71" s="1754"/>
      <c r="AS71" s="1754"/>
      <c r="AT71" s="1754"/>
      <c r="AU71" s="1754"/>
      <c r="AV71" s="1754"/>
      <c r="AW71" s="1754"/>
      <c r="AX71" s="1754"/>
      <c r="AY71" s="1754"/>
      <c r="AZ71" s="1754"/>
      <c r="BA71" s="1754"/>
      <c r="BB71" s="1754"/>
      <c r="BC71" s="1755"/>
      <c r="BD71" s="1754"/>
      <c r="BE71" s="1754"/>
      <c r="BF71" s="1754"/>
      <c r="BG71" s="1754"/>
      <c r="BH71" s="1754"/>
      <c r="BI71" s="1754"/>
      <c r="BJ71" s="1754"/>
      <c r="BK71" s="1754"/>
      <c r="BL71" s="1754"/>
      <c r="BM71" s="1754"/>
      <c r="BN71" s="1754"/>
      <c r="BO71" s="1754"/>
      <c r="BP71" s="1754"/>
      <c r="BQ71" s="1754"/>
      <c r="BR71" s="1754"/>
      <c r="BS71" s="1754"/>
      <c r="BT71" s="1754"/>
      <c r="BU71" s="1755"/>
      <c r="BV71" s="1754"/>
      <c r="BW71" s="1754"/>
      <c r="BX71" s="1754"/>
      <c r="BY71" s="1754"/>
      <c r="BZ71" s="1748" t="str">
        <f t="shared" si="81"/>
        <v/>
      </c>
      <c r="CA71" s="1748" t="str">
        <f t="shared" si="82"/>
        <v/>
      </c>
      <c r="CB71" s="1748" t="str">
        <f t="shared" si="83"/>
        <v/>
      </c>
      <c r="CC71" s="1749" t="str">
        <f t="shared" si="84"/>
        <v/>
      </c>
      <c r="CD71" s="1683" t="str">
        <f t="shared" si="133"/>
        <v/>
      </c>
      <c r="CE71" s="1684" t="str">
        <f t="shared" si="133"/>
        <v/>
      </c>
      <c r="CF71" s="1685" t="str">
        <f t="shared" si="133"/>
        <v/>
      </c>
      <c r="CG71" s="1685" t="str">
        <f t="shared" si="133"/>
        <v/>
      </c>
      <c r="CH71" s="1685" t="str">
        <f t="shared" si="133"/>
        <v/>
      </c>
      <c r="CI71" s="1685" t="str">
        <f t="shared" si="133"/>
        <v/>
      </c>
      <c r="CJ71" s="1685" t="str">
        <f t="shared" si="133"/>
        <v/>
      </c>
      <c r="CK71" s="1686" t="str">
        <f t="shared" si="133"/>
        <v/>
      </c>
      <c r="CL71" s="1686" t="str">
        <f t="shared" si="133"/>
        <v/>
      </c>
      <c r="CM71" s="1686" t="str">
        <f t="shared" si="133"/>
        <v/>
      </c>
      <c r="CN71" s="1685" t="str">
        <f t="shared" si="133"/>
        <v/>
      </c>
      <c r="CO71" s="1685" t="str">
        <f t="shared" si="133"/>
        <v/>
      </c>
      <c r="CP71" s="1685" t="str">
        <f t="shared" si="133"/>
        <v/>
      </c>
      <c r="CQ71" s="1685" t="str">
        <f t="shared" si="133"/>
        <v/>
      </c>
      <c r="CR71" s="1685" t="str">
        <f t="shared" si="133"/>
        <v/>
      </c>
      <c r="CS71" s="1684" t="str">
        <f t="shared" si="133"/>
        <v/>
      </c>
      <c r="CT71" s="1687" t="str">
        <f t="shared" si="133"/>
        <v/>
      </c>
      <c r="CU71" s="1696" t="str">
        <f t="shared" si="87"/>
        <v/>
      </c>
      <c r="CV71" s="1697" t="str">
        <f t="shared" si="88"/>
        <v/>
      </c>
      <c r="CW71" s="1698" t="str">
        <f t="shared" si="89"/>
        <v/>
      </c>
      <c r="CX71" s="1698" t="str">
        <f t="shared" si="90"/>
        <v/>
      </c>
      <c r="CY71" s="1698" t="str">
        <f t="shared" si="91"/>
        <v/>
      </c>
      <c r="CZ71" s="1698" t="str">
        <f t="shared" si="92"/>
        <v/>
      </c>
      <c r="DA71" s="1698" t="str">
        <f t="shared" si="93"/>
        <v/>
      </c>
      <c r="DB71" s="1699" t="str">
        <f t="shared" si="94"/>
        <v/>
      </c>
      <c r="DC71" s="1699" t="str">
        <f t="shared" si="95"/>
        <v/>
      </c>
      <c r="DD71" s="1699" t="str">
        <f t="shared" si="96"/>
        <v/>
      </c>
      <c r="DE71" s="1698" t="str">
        <f t="shared" si="97"/>
        <v/>
      </c>
      <c r="DF71" s="1698" t="str">
        <f t="shared" si="98"/>
        <v/>
      </c>
      <c r="DG71" s="1698" t="str">
        <f t="shared" si="99"/>
        <v/>
      </c>
      <c r="DH71" s="1698" t="str">
        <f t="shared" si="100"/>
        <v/>
      </c>
      <c r="DI71" s="1698" t="str">
        <f t="shared" si="101"/>
        <v/>
      </c>
      <c r="DJ71" s="1697" t="str">
        <f t="shared" si="102"/>
        <v/>
      </c>
      <c r="DK71" s="1696" t="str">
        <f t="shared" si="103"/>
        <v/>
      </c>
      <c r="DL71" s="1750">
        <f t="shared" si="104"/>
        <v>0</v>
      </c>
      <c r="DM71" s="1386">
        <f t="shared" si="105"/>
        <v>0</v>
      </c>
      <c r="DN71" s="1386">
        <f t="shared" si="106"/>
        <v>0</v>
      </c>
      <c r="DO71" s="1386">
        <f t="shared" si="107"/>
        <v>0</v>
      </c>
      <c r="DP71" s="1756"/>
      <c r="DQ71" s="1427"/>
      <c r="DR71" s="1427"/>
      <c r="DS71" s="1757"/>
      <c r="DT71" s="1758"/>
      <c r="DU71" s="1707"/>
    </row>
    <row r="72" spans="1:125" ht="12.75" customHeight="1">
      <c r="A72" s="1732" t="s">
        <v>257</v>
      </c>
      <c r="B72" s="1759"/>
      <c r="C72" s="1759"/>
      <c r="D72" s="1759"/>
      <c r="E72" s="1759"/>
      <c r="F72" s="1759"/>
      <c r="G72" s="1759"/>
      <c r="H72" s="1759"/>
      <c r="I72" s="1759"/>
      <c r="J72" s="1759"/>
      <c r="K72" s="1759"/>
      <c r="L72" s="1759"/>
      <c r="M72" s="1759"/>
      <c r="N72" s="1759"/>
      <c r="O72" s="1759"/>
      <c r="P72" s="1759"/>
      <c r="Q72" s="1759"/>
      <c r="R72" s="1759"/>
      <c r="S72" s="1755"/>
      <c r="T72" s="1759"/>
      <c r="U72" s="1759"/>
      <c r="V72" s="1759"/>
      <c r="W72" s="1759"/>
      <c r="X72" s="1759"/>
      <c r="Y72" s="1759"/>
      <c r="Z72" s="1759"/>
      <c r="AA72" s="1759"/>
      <c r="AB72" s="1759"/>
      <c r="AC72" s="1759"/>
      <c r="AD72" s="1759"/>
      <c r="AE72" s="1759"/>
      <c r="AF72" s="1759"/>
      <c r="AG72" s="1759"/>
      <c r="AH72" s="1759"/>
      <c r="AI72" s="1759"/>
      <c r="AJ72" s="1759"/>
      <c r="AK72" s="1755"/>
      <c r="AL72" s="1759"/>
      <c r="AM72" s="1759"/>
      <c r="AN72" s="1759"/>
      <c r="AO72" s="1759"/>
      <c r="AP72" s="1759"/>
      <c r="AQ72" s="1759"/>
      <c r="AR72" s="1759"/>
      <c r="AS72" s="1759"/>
      <c r="AT72" s="1759"/>
      <c r="AU72" s="1759"/>
      <c r="AV72" s="1759"/>
      <c r="AW72" s="1759"/>
      <c r="AX72" s="1759"/>
      <c r="AY72" s="1759"/>
      <c r="AZ72" s="1759"/>
      <c r="BA72" s="1759"/>
      <c r="BB72" s="1759"/>
      <c r="BC72" s="1755"/>
      <c r="BD72" s="1759"/>
      <c r="BE72" s="1759"/>
      <c r="BF72" s="1759"/>
      <c r="BG72" s="1759"/>
      <c r="BH72" s="1759"/>
      <c r="BI72" s="1759"/>
      <c r="BJ72" s="1759"/>
      <c r="BK72" s="1759"/>
      <c r="BL72" s="1759"/>
      <c r="BM72" s="1759"/>
      <c r="BN72" s="1759"/>
      <c r="BO72" s="1759"/>
      <c r="BP72" s="1759"/>
      <c r="BQ72" s="1759"/>
      <c r="BR72" s="1759"/>
      <c r="BS72" s="1759"/>
      <c r="BT72" s="1759"/>
      <c r="BU72" s="1755"/>
      <c r="BV72" s="1759"/>
      <c r="BW72" s="1759"/>
      <c r="BX72" s="1759"/>
      <c r="BY72" s="1759"/>
      <c r="BZ72" s="1748" t="str">
        <f t="shared" si="81"/>
        <v/>
      </c>
      <c r="CA72" s="1748" t="str">
        <f t="shared" si="82"/>
        <v/>
      </c>
      <c r="CB72" s="1748" t="str">
        <f t="shared" si="83"/>
        <v/>
      </c>
      <c r="CC72" s="1749" t="str">
        <f t="shared" si="84"/>
        <v/>
      </c>
      <c r="CD72" s="1683" t="str">
        <f t="shared" si="133"/>
        <v/>
      </c>
      <c r="CE72" s="1684" t="str">
        <f t="shared" si="133"/>
        <v/>
      </c>
      <c r="CF72" s="1685" t="str">
        <f t="shared" si="133"/>
        <v/>
      </c>
      <c r="CG72" s="1685" t="str">
        <f t="shared" si="133"/>
        <v/>
      </c>
      <c r="CH72" s="1685" t="str">
        <f t="shared" si="133"/>
        <v/>
      </c>
      <c r="CI72" s="1685" t="str">
        <f t="shared" si="133"/>
        <v/>
      </c>
      <c r="CJ72" s="1685" t="str">
        <f t="shared" si="133"/>
        <v/>
      </c>
      <c r="CK72" s="1686" t="str">
        <f t="shared" si="133"/>
        <v/>
      </c>
      <c r="CL72" s="1686" t="str">
        <f t="shared" si="133"/>
        <v/>
      </c>
      <c r="CM72" s="1686" t="str">
        <f t="shared" si="133"/>
        <v/>
      </c>
      <c r="CN72" s="1685" t="str">
        <f t="shared" si="133"/>
        <v/>
      </c>
      <c r="CO72" s="1685" t="str">
        <f t="shared" si="133"/>
        <v/>
      </c>
      <c r="CP72" s="1685" t="str">
        <f t="shared" si="133"/>
        <v/>
      </c>
      <c r="CQ72" s="1685" t="str">
        <f t="shared" si="133"/>
        <v/>
      </c>
      <c r="CR72" s="1685" t="str">
        <f t="shared" si="133"/>
        <v/>
      </c>
      <c r="CS72" s="1684" t="str">
        <f t="shared" si="133"/>
        <v/>
      </c>
      <c r="CT72" s="1687" t="str">
        <f t="shared" si="133"/>
        <v/>
      </c>
      <c r="CU72" s="1696" t="str">
        <f t="shared" si="87"/>
        <v/>
      </c>
      <c r="CV72" s="1697" t="str">
        <f t="shared" si="88"/>
        <v/>
      </c>
      <c r="CW72" s="1698" t="str">
        <f t="shared" si="89"/>
        <v/>
      </c>
      <c r="CX72" s="1698" t="str">
        <f t="shared" si="90"/>
        <v/>
      </c>
      <c r="CY72" s="1698" t="str">
        <f t="shared" si="91"/>
        <v/>
      </c>
      <c r="CZ72" s="1698" t="str">
        <f t="shared" si="92"/>
        <v/>
      </c>
      <c r="DA72" s="1698" t="str">
        <f t="shared" si="93"/>
        <v/>
      </c>
      <c r="DB72" s="1699" t="str">
        <f t="shared" si="94"/>
        <v/>
      </c>
      <c r="DC72" s="1699" t="str">
        <f t="shared" si="95"/>
        <v/>
      </c>
      <c r="DD72" s="1699" t="str">
        <f t="shared" si="96"/>
        <v/>
      </c>
      <c r="DE72" s="1698" t="str">
        <f t="shared" si="97"/>
        <v/>
      </c>
      <c r="DF72" s="1698" t="str">
        <f t="shared" si="98"/>
        <v/>
      </c>
      <c r="DG72" s="1698" t="str">
        <f t="shared" si="99"/>
        <v/>
      </c>
      <c r="DH72" s="1698" t="str">
        <f t="shared" si="100"/>
        <v/>
      </c>
      <c r="DI72" s="1698" t="str">
        <f t="shared" si="101"/>
        <v/>
      </c>
      <c r="DJ72" s="1697" t="str">
        <f t="shared" si="102"/>
        <v/>
      </c>
      <c r="DK72" s="1696" t="str">
        <f t="shared" si="103"/>
        <v/>
      </c>
      <c r="DL72" s="1750">
        <f t="shared" si="104"/>
        <v>0</v>
      </c>
      <c r="DM72" s="1386">
        <f t="shared" si="105"/>
        <v>0</v>
      </c>
      <c r="DN72" s="1386">
        <f t="shared" si="106"/>
        <v>0</v>
      </c>
      <c r="DO72" s="1386">
        <f t="shared" si="107"/>
        <v>0</v>
      </c>
      <c r="DP72" s="1760" t="str">
        <f>IF(SUM(BV72)&gt;0,(BV70-DP75-SUM(BV75)*(DP75=""))*'Exp factors'!C$21,"")</f>
        <v/>
      </c>
      <c r="DQ72" s="1497" t="str">
        <f>IF(SUM(BW72)&gt;0,(BW70-DQ75-SUM(BW75)*(DQ75=""))*'Exp factors'!D$21,"")</f>
        <v/>
      </c>
      <c r="DR72" s="1497" t="str">
        <f>IF(SUM(BX72)&gt;0,(BX70-DR75-SUM(BX75)*(DR75=""))*'Exp factors'!E$21,"")</f>
        <v/>
      </c>
      <c r="DS72" s="1761" t="str">
        <f>IF(SUM(BY72)&gt;0,(BY70-DS75-SUM(BY75)*(DS75=""))*'Exp factors'!F$21,"")</f>
        <v/>
      </c>
      <c r="DT72" s="1758"/>
      <c r="DU72" s="1707"/>
    </row>
    <row r="73" spans="1:125" ht="12.75" customHeight="1">
      <c r="A73" s="1762" t="s">
        <v>181</v>
      </c>
      <c r="B73" s="1763"/>
      <c r="C73" s="1763"/>
      <c r="D73" s="1763"/>
      <c r="E73" s="1763"/>
      <c r="F73" s="1763"/>
      <c r="G73" s="1763"/>
      <c r="H73" s="1763"/>
      <c r="I73" s="1763"/>
      <c r="J73" s="1763"/>
      <c r="K73" s="1763"/>
      <c r="L73" s="1763"/>
      <c r="M73" s="1763"/>
      <c r="N73" s="1763"/>
      <c r="O73" s="1763"/>
      <c r="P73" s="1763"/>
      <c r="Q73" s="1763"/>
      <c r="R73" s="1763"/>
      <c r="S73" s="1755"/>
      <c r="T73" s="1763"/>
      <c r="U73" s="1763"/>
      <c r="V73" s="1763"/>
      <c r="W73" s="1763"/>
      <c r="X73" s="1763"/>
      <c r="Y73" s="1763"/>
      <c r="Z73" s="1763"/>
      <c r="AA73" s="1763"/>
      <c r="AB73" s="1763"/>
      <c r="AC73" s="1763"/>
      <c r="AD73" s="1763"/>
      <c r="AE73" s="1763"/>
      <c r="AF73" s="1763"/>
      <c r="AG73" s="1763"/>
      <c r="AH73" s="1763"/>
      <c r="AI73" s="1763"/>
      <c r="AJ73" s="1763"/>
      <c r="AK73" s="1755"/>
      <c r="AL73" s="1763"/>
      <c r="AM73" s="1763"/>
      <c r="AN73" s="1763"/>
      <c r="AO73" s="1763"/>
      <c r="AP73" s="1763"/>
      <c r="AQ73" s="1763"/>
      <c r="AR73" s="1763"/>
      <c r="AS73" s="1763"/>
      <c r="AT73" s="1763"/>
      <c r="AU73" s="1763"/>
      <c r="AV73" s="1763"/>
      <c r="AW73" s="1763"/>
      <c r="AX73" s="1763"/>
      <c r="AY73" s="1763"/>
      <c r="AZ73" s="1763"/>
      <c r="BA73" s="1763"/>
      <c r="BB73" s="1763"/>
      <c r="BC73" s="1755"/>
      <c r="BD73" s="1763"/>
      <c r="BE73" s="1763"/>
      <c r="BF73" s="1763"/>
      <c r="BG73" s="1763"/>
      <c r="BH73" s="1763"/>
      <c r="BI73" s="1763"/>
      <c r="BJ73" s="1763"/>
      <c r="BK73" s="1763"/>
      <c r="BL73" s="1763"/>
      <c r="BM73" s="1763"/>
      <c r="BN73" s="1763"/>
      <c r="BO73" s="1763"/>
      <c r="BP73" s="1763"/>
      <c r="BQ73" s="1763"/>
      <c r="BR73" s="1763"/>
      <c r="BS73" s="1763"/>
      <c r="BT73" s="1763"/>
      <c r="BU73" s="1755"/>
      <c r="BV73" s="1763"/>
      <c r="BW73" s="1763"/>
      <c r="BX73" s="1763"/>
      <c r="BY73" s="1763"/>
      <c r="BZ73" s="1748" t="str">
        <f t="shared" si="81"/>
        <v/>
      </c>
      <c r="CA73" s="1748" t="str">
        <f t="shared" si="82"/>
        <v/>
      </c>
      <c r="CB73" s="1748" t="str">
        <f t="shared" si="83"/>
        <v/>
      </c>
      <c r="CC73" s="1749" t="str">
        <f t="shared" si="84"/>
        <v/>
      </c>
      <c r="CD73" s="1683" t="str">
        <f t="shared" si="133"/>
        <v/>
      </c>
      <c r="CE73" s="1684" t="str">
        <f t="shared" si="133"/>
        <v/>
      </c>
      <c r="CF73" s="1685" t="str">
        <f t="shared" si="133"/>
        <v/>
      </c>
      <c r="CG73" s="1685" t="str">
        <f t="shared" si="133"/>
        <v/>
      </c>
      <c r="CH73" s="1685" t="str">
        <f t="shared" si="133"/>
        <v/>
      </c>
      <c r="CI73" s="1685" t="str">
        <f t="shared" si="133"/>
        <v/>
      </c>
      <c r="CJ73" s="1685" t="str">
        <f t="shared" si="133"/>
        <v/>
      </c>
      <c r="CK73" s="1686" t="str">
        <f t="shared" si="133"/>
        <v/>
      </c>
      <c r="CL73" s="1686" t="str">
        <f t="shared" si="133"/>
        <v/>
      </c>
      <c r="CM73" s="1686" t="str">
        <f t="shared" si="133"/>
        <v/>
      </c>
      <c r="CN73" s="1685" t="str">
        <f t="shared" si="133"/>
        <v/>
      </c>
      <c r="CO73" s="1685" t="str">
        <f t="shared" si="133"/>
        <v/>
      </c>
      <c r="CP73" s="1685" t="str">
        <f t="shared" si="133"/>
        <v/>
      </c>
      <c r="CQ73" s="1685" t="str">
        <f t="shared" si="133"/>
        <v/>
      </c>
      <c r="CR73" s="1685" t="str">
        <f t="shared" si="133"/>
        <v/>
      </c>
      <c r="CS73" s="1684" t="str">
        <f t="shared" si="133"/>
        <v/>
      </c>
      <c r="CT73" s="1687" t="str">
        <f t="shared" si="133"/>
        <v/>
      </c>
      <c r="CU73" s="1696" t="str">
        <f t="shared" si="87"/>
        <v/>
      </c>
      <c r="CV73" s="1697" t="str">
        <f t="shared" si="88"/>
        <v/>
      </c>
      <c r="CW73" s="1698" t="str">
        <f t="shared" si="89"/>
        <v/>
      </c>
      <c r="CX73" s="1698" t="str">
        <f t="shared" si="90"/>
        <v/>
      </c>
      <c r="CY73" s="1698" t="str">
        <f t="shared" si="91"/>
        <v/>
      </c>
      <c r="CZ73" s="1698" t="str">
        <f t="shared" si="92"/>
        <v/>
      </c>
      <c r="DA73" s="1698" t="str">
        <f t="shared" si="93"/>
        <v/>
      </c>
      <c r="DB73" s="1699" t="str">
        <f t="shared" si="94"/>
        <v/>
      </c>
      <c r="DC73" s="1699" t="str">
        <f t="shared" si="95"/>
        <v/>
      </c>
      <c r="DD73" s="1699" t="str">
        <f t="shared" si="96"/>
        <v/>
      </c>
      <c r="DE73" s="1698" t="str">
        <f t="shared" si="97"/>
        <v/>
      </c>
      <c r="DF73" s="1698" t="str">
        <f t="shared" si="98"/>
        <v/>
      </c>
      <c r="DG73" s="1698" t="str">
        <f t="shared" si="99"/>
        <v/>
      </c>
      <c r="DH73" s="1698" t="str">
        <f t="shared" si="100"/>
        <v/>
      </c>
      <c r="DI73" s="1698" t="str">
        <f t="shared" si="101"/>
        <v/>
      </c>
      <c r="DJ73" s="1697" t="str">
        <f t="shared" si="102"/>
        <v/>
      </c>
      <c r="DK73" s="1696" t="str">
        <f t="shared" si="103"/>
        <v/>
      </c>
      <c r="DL73" s="1750">
        <f t="shared" si="104"/>
        <v>0</v>
      </c>
      <c r="DM73" s="1386">
        <f t="shared" si="105"/>
        <v>0</v>
      </c>
      <c r="DN73" s="1386">
        <f t="shared" si="106"/>
        <v>0</v>
      </c>
      <c r="DO73" s="1386">
        <f t="shared" si="107"/>
        <v>0</v>
      </c>
      <c r="DP73" s="1756"/>
      <c r="DQ73" s="1427"/>
      <c r="DR73" s="1427"/>
      <c r="DS73" s="1757"/>
      <c r="DT73" s="1758"/>
      <c r="DU73" s="1707"/>
    </row>
    <row r="74" spans="1:125" ht="12.75" customHeight="1">
      <c r="A74" s="1762" t="s">
        <v>183</v>
      </c>
      <c r="B74" s="1355" t="str">
        <f t="shared" ref="B74:R74" si="142">IF(B72="","",B72*B73)</f>
        <v/>
      </c>
      <c r="C74" s="1355" t="str">
        <f t="shared" si="142"/>
        <v/>
      </c>
      <c r="D74" s="1355" t="str">
        <f t="shared" si="142"/>
        <v/>
      </c>
      <c r="E74" s="1355" t="str">
        <f t="shared" si="142"/>
        <v/>
      </c>
      <c r="F74" s="1355" t="str">
        <f t="shared" si="142"/>
        <v/>
      </c>
      <c r="G74" s="1355" t="str">
        <f t="shared" si="142"/>
        <v/>
      </c>
      <c r="H74" s="1355" t="str">
        <f t="shared" si="142"/>
        <v/>
      </c>
      <c r="I74" s="1355" t="str">
        <f t="shared" si="142"/>
        <v/>
      </c>
      <c r="J74" s="1355" t="str">
        <f t="shared" si="142"/>
        <v/>
      </c>
      <c r="K74" s="1355" t="str">
        <f t="shared" si="142"/>
        <v/>
      </c>
      <c r="L74" s="1355" t="str">
        <f t="shared" si="142"/>
        <v/>
      </c>
      <c r="M74" s="1355" t="str">
        <f t="shared" si="142"/>
        <v/>
      </c>
      <c r="N74" s="1355" t="str">
        <f t="shared" si="142"/>
        <v/>
      </c>
      <c r="O74" s="1355" t="str">
        <f t="shared" si="142"/>
        <v/>
      </c>
      <c r="P74" s="1355" t="str">
        <f t="shared" si="142"/>
        <v/>
      </c>
      <c r="Q74" s="1355" t="str">
        <f t="shared" si="142"/>
        <v/>
      </c>
      <c r="R74" s="1355" t="str">
        <f t="shared" si="142"/>
        <v/>
      </c>
      <c r="S74" s="1765"/>
      <c r="T74" s="1355" t="str">
        <f t="shared" ref="T74:AJ74" si="143">IF(T72="","",T72*T73)</f>
        <v/>
      </c>
      <c r="U74" s="1355" t="str">
        <f t="shared" si="143"/>
        <v/>
      </c>
      <c r="V74" s="1355" t="str">
        <f t="shared" si="143"/>
        <v/>
      </c>
      <c r="W74" s="1355" t="str">
        <f t="shared" si="143"/>
        <v/>
      </c>
      <c r="X74" s="1355" t="str">
        <f t="shared" si="143"/>
        <v/>
      </c>
      <c r="Y74" s="1355" t="str">
        <f t="shared" si="143"/>
        <v/>
      </c>
      <c r="Z74" s="1355" t="str">
        <f t="shared" si="143"/>
        <v/>
      </c>
      <c r="AA74" s="1355" t="str">
        <f t="shared" si="143"/>
        <v/>
      </c>
      <c r="AB74" s="1355" t="str">
        <f t="shared" si="143"/>
        <v/>
      </c>
      <c r="AC74" s="1355" t="str">
        <f t="shared" si="143"/>
        <v/>
      </c>
      <c r="AD74" s="1355" t="str">
        <f t="shared" si="143"/>
        <v/>
      </c>
      <c r="AE74" s="1355" t="str">
        <f t="shared" si="143"/>
        <v/>
      </c>
      <c r="AF74" s="1355" t="str">
        <f t="shared" si="143"/>
        <v/>
      </c>
      <c r="AG74" s="1355" t="str">
        <f t="shared" si="143"/>
        <v/>
      </c>
      <c r="AH74" s="1355" t="str">
        <f t="shared" si="143"/>
        <v/>
      </c>
      <c r="AI74" s="1355" t="str">
        <f t="shared" si="143"/>
        <v/>
      </c>
      <c r="AJ74" s="1355" t="str">
        <f t="shared" si="143"/>
        <v/>
      </c>
      <c r="AK74" s="1765"/>
      <c r="AL74" s="1355" t="str">
        <f t="shared" ref="AL74:BB74" si="144">IF(AL72="","",AL72*AL73)</f>
        <v/>
      </c>
      <c r="AM74" s="1355" t="str">
        <f t="shared" si="144"/>
        <v/>
      </c>
      <c r="AN74" s="1355" t="str">
        <f t="shared" si="144"/>
        <v/>
      </c>
      <c r="AO74" s="1355" t="str">
        <f t="shared" si="144"/>
        <v/>
      </c>
      <c r="AP74" s="1355" t="str">
        <f t="shared" si="144"/>
        <v/>
      </c>
      <c r="AQ74" s="1355" t="str">
        <f t="shared" si="144"/>
        <v/>
      </c>
      <c r="AR74" s="1355" t="str">
        <f t="shared" si="144"/>
        <v/>
      </c>
      <c r="AS74" s="1355" t="str">
        <f t="shared" si="144"/>
        <v/>
      </c>
      <c r="AT74" s="1355" t="str">
        <f t="shared" si="144"/>
        <v/>
      </c>
      <c r="AU74" s="1355" t="str">
        <f t="shared" si="144"/>
        <v/>
      </c>
      <c r="AV74" s="1355" t="str">
        <f t="shared" si="144"/>
        <v/>
      </c>
      <c r="AW74" s="1355" t="str">
        <f t="shared" si="144"/>
        <v/>
      </c>
      <c r="AX74" s="1355" t="str">
        <f t="shared" si="144"/>
        <v/>
      </c>
      <c r="AY74" s="1355" t="str">
        <f t="shared" si="144"/>
        <v/>
      </c>
      <c r="AZ74" s="1355" t="str">
        <f t="shared" si="144"/>
        <v/>
      </c>
      <c r="BA74" s="1355" t="str">
        <f t="shared" si="144"/>
        <v/>
      </c>
      <c r="BB74" s="1355" t="str">
        <f t="shared" si="144"/>
        <v/>
      </c>
      <c r="BC74" s="1765"/>
      <c r="BD74" s="1355" t="str">
        <f t="shared" ref="BD74:BT74" si="145">IF(BD72="","",BD72*BD73)</f>
        <v/>
      </c>
      <c r="BE74" s="1355" t="str">
        <f t="shared" si="145"/>
        <v/>
      </c>
      <c r="BF74" s="1355" t="str">
        <f t="shared" si="145"/>
        <v/>
      </c>
      <c r="BG74" s="1355" t="str">
        <f t="shared" si="145"/>
        <v/>
      </c>
      <c r="BH74" s="1355" t="str">
        <f t="shared" si="145"/>
        <v/>
      </c>
      <c r="BI74" s="1355" t="str">
        <f t="shared" si="145"/>
        <v/>
      </c>
      <c r="BJ74" s="1355" t="str">
        <f t="shared" si="145"/>
        <v/>
      </c>
      <c r="BK74" s="1355" t="str">
        <f t="shared" si="145"/>
        <v/>
      </c>
      <c r="BL74" s="1355" t="str">
        <f t="shared" si="145"/>
        <v/>
      </c>
      <c r="BM74" s="1355" t="str">
        <f t="shared" si="145"/>
        <v/>
      </c>
      <c r="BN74" s="1355" t="str">
        <f t="shared" si="145"/>
        <v/>
      </c>
      <c r="BO74" s="1355" t="str">
        <f t="shared" si="145"/>
        <v/>
      </c>
      <c r="BP74" s="1355" t="str">
        <f t="shared" si="145"/>
        <v/>
      </c>
      <c r="BQ74" s="1355" t="str">
        <f t="shared" si="145"/>
        <v/>
      </c>
      <c r="BR74" s="1355" t="str">
        <f t="shared" si="145"/>
        <v/>
      </c>
      <c r="BS74" s="1355" t="str">
        <f t="shared" si="145"/>
        <v/>
      </c>
      <c r="BT74" s="1355" t="str">
        <f t="shared" si="145"/>
        <v/>
      </c>
      <c r="BU74" s="1765"/>
      <c r="BV74" s="1355" t="str">
        <f>IF(BV72="","",BV72*BV73)</f>
        <v/>
      </c>
      <c r="BW74" s="1355" t="str">
        <f>IF(BW72="","",BW72*BW73)</f>
        <v/>
      </c>
      <c r="BX74" s="1355" t="str">
        <f>IF(BX72="","",BX72*BX73)</f>
        <v/>
      </c>
      <c r="BY74" s="1355" t="str">
        <f>IF(BY72="","",BY72*BY73)</f>
        <v/>
      </c>
      <c r="BZ74" s="1748" t="str">
        <f t="shared" si="81"/>
        <v/>
      </c>
      <c r="CA74" s="1748" t="str">
        <f t="shared" si="82"/>
        <v/>
      </c>
      <c r="CB74" s="1748" t="str">
        <f t="shared" si="83"/>
        <v/>
      </c>
      <c r="CC74" s="1749" t="str">
        <f t="shared" si="84"/>
        <v/>
      </c>
      <c r="CD74" s="1683" t="str">
        <f t="shared" si="133"/>
        <v/>
      </c>
      <c r="CE74" s="1684" t="str">
        <f t="shared" si="133"/>
        <v/>
      </c>
      <c r="CF74" s="1685" t="str">
        <f t="shared" si="133"/>
        <v/>
      </c>
      <c r="CG74" s="1685" t="str">
        <f t="shared" si="133"/>
        <v/>
      </c>
      <c r="CH74" s="1685" t="str">
        <f t="shared" si="133"/>
        <v/>
      </c>
      <c r="CI74" s="1685" t="str">
        <f t="shared" si="133"/>
        <v/>
      </c>
      <c r="CJ74" s="1685" t="str">
        <f t="shared" si="133"/>
        <v/>
      </c>
      <c r="CK74" s="1686" t="str">
        <f t="shared" si="133"/>
        <v/>
      </c>
      <c r="CL74" s="1686" t="str">
        <f t="shared" si="133"/>
        <v/>
      </c>
      <c r="CM74" s="1686" t="str">
        <f t="shared" si="133"/>
        <v/>
      </c>
      <c r="CN74" s="1685" t="str">
        <f t="shared" si="133"/>
        <v/>
      </c>
      <c r="CO74" s="1685" t="str">
        <f t="shared" si="133"/>
        <v/>
      </c>
      <c r="CP74" s="1685" t="str">
        <f t="shared" si="133"/>
        <v/>
      </c>
      <c r="CQ74" s="1685" t="str">
        <f t="shared" si="133"/>
        <v/>
      </c>
      <c r="CR74" s="1685" t="str">
        <f t="shared" si="133"/>
        <v/>
      </c>
      <c r="CS74" s="1684" t="str">
        <f t="shared" si="133"/>
        <v/>
      </c>
      <c r="CT74" s="1687" t="str">
        <f t="shared" si="133"/>
        <v/>
      </c>
      <c r="CU74" s="1696" t="str">
        <f t="shared" si="87"/>
        <v/>
      </c>
      <c r="CV74" s="1697" t="str">
        <f t="shared" si="88"/>
        <v/>
      </c>
      <c r="CW74" s="1698" t="str">
        <f t="shared" si="89"/>
        <v/>
      </c>
      <c r="CX74" s="1698" t="str">
        <f t="shared" si="90"/>
        <v/>
      </c>
      <c r="CY74" s="1698" t="str">
        <f t="shared" si="91"/>
        <v/>
      </c>
      <c r="CZ74" s="1698" t="str">
        <f t="shared" si="92"/>
        <v/>
      </c>
      <c r="DA74" s="1698" t="str">
        <f t="shared" si="93"/>
        <v/>
      </c>
      <c r="DB74" s="1699" t="str">
        <f t="shared" si="94"/>
        <v/>
      </c>
      <c r="DC74" s="1699" t="str">
        <f t="shared" si="95"/>
        <v/>
      </c>
      <c r="DD74" s="1699" t="str">
        <f t="shared" si="96"/>
        <v/>
      </c>
      <c r="DE74" s="1698" t="str">
        <f t="shared" si="97"/>
        <v/>
      </c>
      <c r="DF74" s="1698" t="str">
        <f t="shared" si="98"/>
        <v/>
      </c>
      <c r="DG74" s="1698" t="str">
        <f t="shared" si="99"/>
        <v/>
      </c>
      <c r="DH74" s="1698" t="str">
        <f t="shared" si="100"/>
        <v/>
      </c>
      <c r="DI74" s="1698" t="str">
        <f t="shared" si="101"/>
        <v/>
      </c>
      <c r="DJ74" s="1697" t="str">
        <f t="shared" si="102"/>
        <v/>
      </c>
      <c r="DK74" s="1696" t="str">
        <f t="shared" si="103"/>
        <v/>
      </c>
      <c r="DL74" s="1750">
        <f t="shared" si="104"/>
        <v>0</v>
      </c>
      <c r="DM74" s="1386">
        <f t="shared" si="105"/>
        <v>0</v>
      </c>
      <c r="DN74" s="1386">
        <f t="shared" si="106"/>
        <v>0</v>
      </c>
      <c r="DO74" s="1386">
        <f t="shared" si="107"/>
        <v>0</v>
      </c>
      <c r="DP74" s="1766" t="str">
        <f>IF(DP72="","",DP72*BV73)</f>
        <v/>
      </c>
      <c r="DQ74" s="1463" t="str">
        <f>IF(DQ72="","",DQ72*BW73)</f>
        <v/>
      </c>
      <c r="DR74" s="1463" t="str">
        <f>IF(DR72="","",DR72*BX73)</f>
        <v/>
      </c>
      <c r="DS74" s="1767" t="str">
        <f>IF(DS72="","",DS72*BY73)</f>
        <v/>
      </c>
      <c r="DT74" s="1758"/>
      <c r="DU74" s="1707"/>
    </row>
    <row r="75" spans="1:125" ht="12.75" customHeight="1">
      <c r="A75" s="1762" t="s">
        <v>258</v>
      </c>
      <c r="B75" s="1768"/>
      <c r="C75" s="1768"/>
      <c r="D75" s="1768"/>
      <c r="E75" s="1768"/>
      <c r="F75" s="1768"/>
      <c r="G75" s="1768"/>
      <c r="H75" s="1768"/>
      <c r="I75" s="1768"/>
      <c r="J75" s="1768"/>
      <c r="K75" s="1768"/>
      <c r="L75" s="1768"/>
      <c r="M75" s="1768"/>
      <c r="N75" s="1768"/>
      <c r="O75" s="1768"/>
      <c r="P75" s="1768"/>
      <c r="Q75" s="1768"/>
      <c r="R75" s="1768"/>
      <c r="S75" s="1747"/>
      <c r="T75" s="1768"/>
      <c r="U75" s="1768"/>
      <c r="V75" s="1768"/>
      <c r="W75" s="1768"/>
      <c r="X75" s="1768"/>
      <c r="Y75" s="1768"/>
      <c r="Z75" s="1768"/>
      <c r="AA75" s="1768"/>
      <c r="AB75" s="1768"/>
      <c r="AC75" s="1768"/>
      <c r="AD75" s="1768"/>
      <c r="AE75" s="1768"/>
      <c r="AF75" s="1768"/>
      <c r="AG75" s="1768"/>
      <c r="AH75" s="1768"/>
      <c r="AI75" s="1768"/>
      <c r="AJ75" s="1768"/>
      <c r="AK75" s="1747"/>
      <c r="AL75" s="1768"/>
      <c r="AM75" s="1768"/>
      <c r="AN75" s="1768"/>
      <c r="AO75" s="1768"/>
      <c r="AP75" s="1768"/>
      <c r="AQ75" s="1768"/>
      <c r="AR75" s="1768"/>
      <c r="AS75" s="1768"/>
      <c r="AT75" s="1768"/>
      <c r="AU75" s="1768"/>
      <c r="AV75" s="1768"/>
      <c r="AW75" s="1768"/>
      <c r="AX75" s="1768"/>
      <c r="AY75" s="1768"/>
      <c r="AZ75" s="1768"/>
      <c r="BA75" s="1768"/>
      <c r="BB75" s="1768"/>
      <c r="BC75" s="1747"/>
      <c r="BD75" s="1768"/>
      <c r="BE75" s="1768"/>
      <c r="BF75" s="1768"/>
      <c r="BG75" s="1768"/>
      <c r="BH75" s="1768"/>
      <c r="BI75" s="1768"/>
      <c r="BJ75" s="1768"/>
      <c r="BK75" s="1768"/>
      <c r="BL75" s="1768"/>
      <c r="BM75" s="1768"/>
      <c r="BN75" s="1768"/>
      <c r="BO75" s="1768"/>
      <c r="BP75" s="1768"/>
      <c r="BQ75" s="1768"/>
      <c r="BR75" s="1768"/>
      <c r="BS75" s="1768"/>
      <c r="BT75" s="1768"/>
      <c r="BU75" s="1747"/>
      <c r="BV75" s="1768"/>
      <c r="BW75" s="1768"/>
      <c r="BX75" s="1768"/>
      <c r="BY75" s="1768"/>
      <c r="BZ75" s="1748" t="str">
        <f t="shared" si="81"/>
        <v/>
      </c>
      <c r="CA75" s="1748" t="str">
        <f t="shared" si="82"/>
        <v/>
      </c>
      <c r="CB75" s="1748" t="str">
        <f t="shared" si="83"/>
        <v/>
      </c>
      <c r="CC75" s="1749" t="str">
        <f t="shared" si="84"/>
        <v/>
      </c>
      <c r="CD75" s="1683" t="str">
        <f t="shared" si="133"/>
        <v/>
      </c>
      <c r="CE75" s="1684" t="str">
        <f t="shared" si="133"/>
        <v/>
      </c>
      <c r="CF75" s="1685" t="str">
        <f t="shared" si="133"/>
        <v/>
      </c>
      <c r="CG75" s="1685" t="str">
        <f t="shared" si="133"/>
        <v/>
      </c>
      <c r="CH75" s="1685" t="str">
        <f t="shared" si="133"/>
        <v/>
      </c>
      <c r="CI75" s="1685" t="str">
        <f t="shared" si="133"/>
        <v/>
      </c>
      <c r="CJ75" s="1685" t="str">
        <f t="shared" si="133"/>
        <v/>
      </c>
      <c r="CK75" s="1686" t="str">
        <f t="shared" si="133"/>
        <v/>
      </c>
      <c r="CL75" s="1686" t="str">
        <f t="shared" si="133"/>
        <v/>
      </c>
      <c r="CM75" s="1686" t="str">
        <f t="shared" si="133"/>
        <v/>
      </c>
      <c r="CN75" s="1685" t="str">
        <f t="shared" si="133"/>
        <v/>
      </c>
      <c r="CO75" s="1685" t="str">
        <f t="shared" si="133"/>
        <v/>
      </c>
      <c r="CP75" s="1685" t="str">
        <f t="shared" si="133"/>
        <v/>
      </c>
      <c r="CQ75" s="1685" t="str">
        <f t="shared" si="133"/>
        <v/>
      </c>
      <c r="CR75" s="1685" t="str">
        <f t="shared" si="133"/>
        <v/>
      </c>
      <c r="CS75" s="1684" t="str">
        <f t="shared" si="133"/>
        <v/>
      </c>
      <c r="CT75" s="1687" t="str">
        <f t="shared" si="133"/>
        <v/>
      </c>
      <c r="CU75" s="1696" t="str">
        <f t="shared" si="87"/>
        <v/>
      </c>
      <c r="CV75" s="1697" t="str">
        <f t="shared" si="88"/>
        <v/>
      </c>
      <c r="CW75" s="1698" t="str">
        <f t="shared" si="89"/>
        <v/>
      </c>
      <c r="CX75" s="1698" t="str">
        <f t="shared" si="90"/>
        <v/>
      </c>
      <c r="CY75" s="1698" t="str">
        <f t="shared" si="91"/>
        <v/>
      </c>
      <c r="CZ75" s="1698" t="str">
        <f t="shared" si="92"/>
        <v/>
      </c>
      <c r="DA75" s="1698" t="str">
        <f t="shared" si="93"/>
        <v/>
      </c>
      <c r="DB75" s="1699" t="str">
        <f t="shared" si="94"/>
        <v/>
      </c>
      <c r="DC75" s="1699" t="str">
        <f t="shared" si="95"/>
        <v/>
      </c>
      <c r="DD75" s="1699" t="str">
        <f t="shared" si="96"/>
        <v/>
      </c>
      <c r="DE75" s="1698" t="str">
        <f t="shared" si="97"/>
        <v/>
      </c>
      <c r="DF75" s="1698" t="str">
        <f t="shared" si="98"/>
        <v/>
      </c>
      <c r="DG75" s="1698" t="str">
        <f t="shared" si="99"/>
        <v/>
      </c>
      <c r="DH75" s="1698" t="str">
        <f t="shared" si="100"/>
        <v/>
      </c>
      <c r="DI75" s="1698" t="str">
        <f t="shared" si="101"/>
        <v/>
      </c>
      <c r="DJ75" s="1697" t="str">
        <f t="shared" si="102"/>
        <v/>
      </c>
      <c r="DK75" s="1696" t="str">
        <f t="shared" si="103"/>
        <v/>
      </c>
      <c r="DL75" s="1750">
        <f t="shared" si="104"/>
        <v>0</v>
      </c>
      <c r="DM75" s="1386">
        <f t="shared" si="105"/>
        <v>0</v>
      </c>
      <c r="DN75" s="1386">
        <f t="shared" si="106"/>
        <v>0</v>
      </c>
      <c r="DO75" s="1386">
        <f t="shared" si="107"/>
        <v>0</v>
      </c>
      <c r="DP75" s="1769"/>
      <c r="DQ75" s="1492"/>
      <c r="DR75" s="1492"/>
      <c r="DS75" s="1770"/>
      <c r="DT75" s="1758"/>
      <c r="DU75" s="1707"/>
    </row>
    <row r="76" spans="1:125" ht="12.75" customHeight="1">
      <c r="A76" s="1771" t="s">
        <v>252</v>
      </c>
      <c r="B76" s="1354" t="str">
        <f t="shared" ref="B76:R76" si="146">IF(B70="","",(B70-B72-B75)*B71/B$7/365/$G$1)</f>
        <v/>
      </c>
      <c r="C76" s="1354" t="str">
        <f t="shared" si="146"/>
        <v/>
      </c>
      <c r="D76" s="1354" t="str">
        <f t="shared" si="146"/>
        <v/>
      </c>
      <c r="E76" s="1354" t="str">
        <f t="shared" si="146"/>
        <v/>
      </c>
      <c r="F76" s="1354" t="str">
        <f t="shared" si="146"/>
        <v/>
      </c>
      <c r="G76" s="1354" t="str">
        <f t="shared" si="146"/>
        <v/>
      </c>
      <c r="H76" s="1354" t="str">
        <f t="shared" si="146"/>
        <v/>
      </c>
      <c r="I76" s="1354" t="str">
        <f t="shared" si="146"/>
        <v/>
      </c>
      <c r="J76" s="1354" t="str">
        <f t="shared" si="146"/>
        <v/>
      </c>
      <c r="K76" s="1354" t="str">
        <f t="shared" si="146"/>
        <v/>
      </c>
      <c r="L76" s="1354" t="str">
        <f t="shared" si="146"/>
        <v/>
      </c>
      <c r="M76" s="1354" t="str">
        <f t="shared" si="146"/>
        <v/>
      </c>
      <c r="N76" s="1354" t="str">
        <f t="shared" si="146"/>
        <v/>
      </c>
      <c r="O76" s="1354" t="str">
        <f t="shared" si="146"/>
        <v/>
      </c>
      <c r="P76" s="1354" t="str">
        <f t="shared" si="146"/>
        <v/>
      </c>
      <c r="Q76" s="1354" t="str">
        <f t="shared" si="146"/>
        <v/>
      </c>
      <c r="R76" s="1354" t="str">
        <f t="shared" si="146"/>
        <v/>
      </c>
      <c r="S76" s="1772"/>
      <c r="T76" s="1354" t="str">
        <f t="shared" ref="T76:AJ76" si="147">IF(T70="","",(T70-T72-T75)*T71/T$7/365/$G$1)</f>
        <v/>
      </c>
      <c r="U76" s="1354" t="str">
        <f t="shared" si="147"/>
        <v/>
      </c>
      <c r="V76" s="1354" t="str">
        <f t="shared" si="147"/>
        <v/>
      </c>
      <c r="W76" s="1354" t="str">
        <f t="shared" si="147"/>
        <v/>
      </c>
      <c r="X76" s="1354" t="str">
        <f t="shared" si="147"/>
        <v/>
      </c>
      <c r="Y76" s="1354" t="str">
        <f t="shared" si="147"/>
        <v/>
      </c>
      <c r="Z76" s="1354" t="str">
        <f t="shared" si="147"/>
        <v/>
      </c>
      <c r="AA76" s="1354" t="str">
        <f t="shared" si="147"/>
        <v/>
      </c>
      <c r="AB76" s="1354" t="str">
        <f t="shared" si="147"/>
        <v/>
      </c>
      <c r="AC76" s="1354" t="str">
        <f t="shared" si="147"/>
        <v/>
      </c>
      <c r="AD76" s="1354" t="str">
        <f t="shared" si="147"/>
        <v/>
      </c>
      <c r="AE76" s="1354" t="str">
        <f t="shared" si="147"/>
        <v/>
      </c>
      <c r="AF76" s="1354" t="str">
        <f t="shared" si="147"/>
        <v/>
      </c>
      <c r="AG76" s="1354" t="str">
        <f t="shared" si="147"/>
        <v/>
      </c>
      <c r="AH76" s="1354" t="str">
        <f t="shared" si="147"/>
        <v/>
      </c>
      <c r="AI76" s="1354" t="str">
        <f t="shared" si="147"/>
        <v/>
      </c>
      <c r="AJ76" s="1354" t="str">
        <f t="shared" si="147"/>
        <v/>
      </c>
      <c r="AK76" s="1772"/>
      <c r="AL76" s="1354" t="str">
        <f t="shared" ref="AL76:BB76" si="148">IF(AL70="","",(AL70-AL72-AL75)*AL71/AL$7/365/$G$1)</f>
        <v/>
      </c>
      <c r="AM76" s="1354" t="str">
        <f t="shared" si="148"/>
        <v/>
      </c>
      <c r="AN76" s="1354" t="str">
        <f t="shared" si="148"/>
        <v/>
      </c>
      <c r="AO76" s="1354" t="str">
        <f t="shared" si="148"/>
        <v/>
      </c>
      <c r="AP76" s="1354" t="str">
        <f t="shared" si="148"/>
        <v/>
      </c>
      <c r="AQ76" s="1354" t="str">
        <f t="shared" si="148"/>
        <v/>
      </c>
      <c r="AR76" s="1354" t="str">
        <f t="shared" si="148"/>
        <v/>
      </c>
      <c r="AS76" s="1354" t="str">
        <f t="shared" si="148"/>
        <v/>
      </c>
      <c r="AT76" s="1354" t="str">
        <f t="shared" si="148"/>
        <v/>
      </c>
      <c r="AU76" s="1354" t="str">
        <f t="shared" si="148"/>
        <v/>
      </c>
      <c r="AV76" s="1354" t="str">
        <f t="shared" si="148"/>
        <v/>
      </c>
      <c r="AW76" s="1354" t="str">
        <f t="shared" si="148"/>
        <v/>
      </c>
      <c r="AX76" s="1354" t="str">
        <f t="shared" si="148"/>
        <v/>
      </c>
      <c r="AY76" s="1354" t="str">
        <f t="shared" si="148"/>
        <v/>
      </c>
      <c r="AZ76" s="1354" t="str">
        <f t="shared" si="148"/>
        <v/>
      </c>
      <c r="BA76" s="1354" t="str">
        <f t="shared" si="148"/>
        <v/>
      </c>
      <c r="BB76" s="1354" t="str">
        <f t="shared" si="148"/>
        <v/>
      </c>
      <c r="BC76" s="1772"/>
      <c r="BD76" s="1354" t="str">
        <f t="shared" ref="BD76:BT76" si="149">IF(BD70="","",(BD70-BD72-BD75)*BD71/BD$7/365/$G$1)</f>
        <v/>
      </c>
      <c r="BE76" s="1354" t="str">
        <f t="shared" si="149"/>
        <v/>
      </c>
      <c r="BF76" s="1354" t="str">
        <f t="shared" si="149"/>
        <v/>
      </c>
      <c r="BG76" s="1354" t="str">
        <f t="shared" si="149"/>
        <v/>
      </c>
      <c r="BH76" s="1354" t="str">
        <f t="shared" si="149"/>
        <v/>
      </c>
      <c r="BI76" s="1354" t="str">
        <f t="shared" si="149"/>
        <v/>
      </c>
      <c r="BJ76" s="1354" t="str">
        <f t="shared" si="149"/>
        <v/>
      </c>
      <c r="BK76" s="1354" t="str">
        <f t="shared" si="149"/>
        <v/>
      </c>
      <c r="BL76" s="1354" t="str">
        <f t="shared" si="149"/>
        <v/>
      </c>
      <c r="BM76" s="1354" t="str">
        <f t="shared" si="149"/>
        <v/>
      </c>
      <c r="BN76" s="1354" t="str">
        <f t="shared" si="149"/>
        <v/>
      </c>
      <c r="BO76" s="1354" t="str">
        <f t="shared" si="149"/>
        <v/>
      </c>
      <c r="BP76" s="1354" t="str">
        <f t="shared" si="149"/>
        <v/>
      </c>
      <c r="BQ76" s="1354" t="str">
        <f t="shared" si="149"/>
        <v/>
      </c>
      <c r="BR76" s="1354" t="str">
        <f t="shared" si="149"/>
        <v/>
      </c>
      <c r="BS76" s="1354" t="str">
        <f t="shared" si="149"/>
        <v/>
      </c>
      <c r="BT76" s="1354" t="str">
        <f t="shared" si="149"/>
        <v/>
      </c>
      <c r="BU76" s="1772"/>
      <c r="BV76" s="1354" t="str">
        <f>IF(BV70="","",(BV70-BV72-BV75)*BV71/BV$7/365/$G$1)</f>
        <v/>
      </c>
      <c r="BW76" s="1354" t="str">
        <f>IF(BW70="","",(BW70-BW72-BW75)*BW71/BW$7/365/$G$1)</f>
        <v/>
      </c>
      <c r="BX76" s="1354" t="str">
        <f>IF(BX70="","",(BX70-BX72-BX75)*BX71/BX$7/365/$G$1)</f>
        <v/>
      </c>
      <c r="BY76" s="1354" t="str">
        <f>IF(BY70="","",(BY70-BY72-BY75)*BY71/BY$7/365/$G$1)</f>
        <v/>
      </c>
      <c r="BZ76" s="1773" t="str">
        <f t="shared" si="81"/>
        <v/>
      </c>
      <c r="CA76" s="1773" t="str">
        <f t="shared" si="82"/>
        <v/>
      </c>
      <c r="CB76" s="1773" t="str">
        <f t="shared" si="83"/>
        <v/>
      </c>
      <c r="CC76" s="1774" t="str">
        <f t="shared" si="84"/>
        <v/>
      </c>
      <c r="CD76" s="1700" t="str">
        <f t="shared" si="133"/>
        <v/>
      </c>
      <c r="CE76" s="1701" t="str">
        <f t="shared" si="133"/>
        <v/>
      </c>
      <c r="CF76" s="1702" t="str">
        <f t="shared" si="133"/>
        <v/>
      </c>
      <c r="CG76" s="1702" t="str">
        <f t="shared" si="133"/>
        <v/>
      </c>
      <c r="CH76" s="1702" t="str">
        <f t="shared" si="133"/>
        <v/>
      </c>
      <c r="CI76" s="1702" t="str">
        <f t="shared" si="133"/>
        <v/>
      </c>
      <c r="CJ76" s="1702" t="str">
        <f t="shared" si="133"/>
        <v/>
      </c>
      <c r="CK76" s="1703" t="str">
        <f t="shared" si="133"/>
        <v/>
      </c>
      <c r="CL76" s="1703" t="str">
        <f t="shared" si="133"/>
        <v/>
      </c>
      <c r="CM76" s="1703" t="str">
        <f t="shared" si="133"/>
        <v/>
      </c>
      <c r="CN76" s="1702" t="str">
        <f t="shared" si="133"/>
        <v/>
      </c>
      <c r="CO76" s="1702" t="str">
        <f t="shared" si="133"/>
        <v/>
      </c>
      <c r="CP76" s="1702" t="str">
        <f t="shared" si="133"/>
        <v/>
      </c>
      <c r="CQ76" s="1702" t="str">
        <f t="shared" si="133"/>
        <v/>
      </c>
      <c r="CR76" s="1702" t="str">
        <f t="shared" si="133"/>
        <v/>
      </c>
      <c r="CS76" s="1701" t="str">
        <f t="shared" si="133"/>
        <v/>
      </c>
      <c r="CT76" s="1704" t="str">
        <f t="shared" si="133"/>
        <v/>
      </c>
      <c r="CU76" s="1705" t="str">
        <f t="shared" si="87"/>
        <v/>
      </c>
      <c r="CV76" s="1701" t="str">
        <f t="shared" si="88"/>
        <v/>
      </c>
      <c r="CW76" s="1702" t="str">
        <f t="shared" si="89"/>
        <v/>
      </c>
      <c r="CX76" s="1702" t="str">
        <f t="shared" si="90"/>
        <v/>
      </c>
      <c r="CY76" s="1702" t="str">
        <f t="shared" si="91"/>
        <v/>
      </c>
      <c r="CZ76" s="1702" t="str">
        <f t="shared" si="92"/>
        <v/>
      </c>
      <c r="DA76" s="1702" t="str">
        <f t="shared" si="93"/>
        <v/>
      </c>
      <c r="DB76" s="1703" t="str">
        <f t="shared" si="94"/>
        <v/>
      </c>
      <c r="DC76" s="1703" t="str">
        <f t="shared" si="95"/>
        <v/>
      </c>
      <c r="DD76" s="1703" t="str">
        <f t="shared" si="96"/>
        <v/>
      </c>
      <c r="DE76" s="1702" t="str">
        <f t="shared" si="97"/>
        <v/>
      </c>
      <c r="DF76" s="1702" t="str">
        <f t="shared" si="98"/>
        <v/>
      </c>
      <c r="DG76" s="1702" t="str">
        <f t="shared" si="99"/>
        <v/>
      </c>
      <c r="DH76" s="1702" t="str">
        <f t="shared" si="100"/>
        <v/>
      </c>
      <c r="DI76" s="1702" t="str">
        <f t="shared" si="101"/>
        <v/>
      </c>
      <c r="DJ76" s="1701" t="str">
        <f t="shared" si="102"/>
        <v/>
      </c>
      <c r="DK76" s="1705" t="str">
        <f t="shared" si="103"/>
        <v/>
      </c>
      <c r="DL76" s="1750">
        <f t="shared" si="104"/>
        <v>0</v>
      </c>
      <c r="DM76" s="1386">
        <f t="shared" si="105"/>
        <v>0</v>
      </c>
      <c r="DN76" s="1386">
        <f t="shared" si="106"/>
        <v>0</v>
      </c>
      <c r="DO76" s="1386">
        <f t="shared" si="107"/>
        <v>0</v>
      </c>
      <c r="DP76" s="1775" t="str">
        <f>IF(DP70="","",(DP70+SUM(BV70)*(DP70="")-SUM(DP72)-DP75-SUM(BV75)*(DP75=""))*BV71/DP$7/365/$G$1)</f>
        <v/>
      </c>
      <c r="DQ76" s="1354" t="str">
        <f>IF(DQ70="","",(DQ70+SUM(BW70)*(DQ70="")-SUM(DQ72)-DQ75-SUM(BW75)*(DQ75=""))*BW71/DQ$7/365/$G$1)</f>
        <v/>
      </c>
      <c r="DR76" s="1354" t="str">
        <f>IF(DR70="","",(DR70+SUM(BX70)*(DR70="")-SUM(DR72)-DR75-SUM(BX75)*(DR75=""))*BX71/DR$7/365/$G$1)</f>
        <v/>
      </c>
      <c r="DS76" s="1776" t="str">
        <f>IF(DS70="","",(DS70+SUM(BY70)*(DS70="")-SUM(DS72)-DS75-SUM(BY75)*(DS75=""))*BY71/DS$7/365/$G$1)</f>
        <v/>
      </c>
      <c r="DT76" s="1758"/>
      <c r="DU76" s="1707"/>
    </row>
    <row r="77" spans="1:125" ht="12.75" customHeight="1">
      <c r="A77" s="1745" t="s">
        <v>499</v>
      </c>
      <c r="B77" s="1746"/>
      <c r="C77" s="1746"/>
      <c r="D77" s="1746"/>
      <c r="E77" s="1746"/>
      <c r="F77" s="1746"/>
      <c r="G77" s="1746"/>
      <c r="H77" s="1746"/>
      <c r="I77" s="1746"/>
      <c r="J77" s="1746"/>
      <c r="K77" s="1746"/>
      <c r="L77" s="1746"/>
      <c r="M77" s="1746"/>
      <c r="N77" s="1746"/>
      <c r="O77" s="1746"/>
      <c r="P77" s="1746"/>
      <c r="Q77" s="1746"/>
      <c r="R77" s="1746"/>
      <c r="S77" s="1747"/>
      <c r="T77" s="1746"/>
      <c r="U77" s="1746"/>
      <c r="V77" s="1746"/>
      <c r="W77" s="1746"/>
      <c r="X77" s="1746"/>
      <c r="Y77" s="1746"/>
      <c r="Z77" s="1746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7"/>
      <c r="AL77" s="1746"/>
      <c r="AM77" s="1746"/>
      <c r="AN77" s="1746"/>
      <c r="AO77" s="1746"/>
      <c r="AP77" s="1746"/>
      <c r="AQ77" s="1746"/>
      <c r="AR77" s="1746"/>
      <c r="AS77" s="1746"/>
      <c r="AT77" s="1746"/>
      <c r="AU77" s="1746"/>
      <c r="AV77" s="1746"/>
      <c r="AW77" s="1746"/>
      <c r="AX77" s="1746"/>
      <c r="AY77" s="1746"/>
      <c r="AZ77" s="1746"/>
      <c r="BA77" s="1746"/>
      <c r="BB77" s="1746"/>
      <c r="BC77" s="1747"/>
      <c r="BD77" s="1746"/>
      <c r="BE77" s="1746"/>
      <c r="BF77" s="1746"/>
      <c r="BG77" s="1746"/>
      <c r="BH77" s="1746"/>
      <c r="BI77" s="1746"/>
      <c r="BJ77" s="1746"/>
      <c r="BK77" s="1746"/>
      <c r="BL77" s="1746"/>
      <c r="BM77" s="1746"/>
      <c r="BN77" s="1746"/>
      <c r="BO77" s="1746"/>
      <c r="BP77" s="1746"/>
      <c r="BQ77" s="1746"/>
      <c r="BR77" s="1746"/>
      <c r="BS77" s="1746"/>
      <c r="BT77" s="1746"/>
      <c r="BU77" s="1747"/>
      <c r="BV77" s="1746"/>
      <c r="BW77" s="1746"/>
      <c r="BX77" s="1746"/>
      <c r="BY77" s="1746"/>
      <c r="BZ77" s="1748" t="str">
        <f t="shared" si="81"/>
        <v/>
      </c>
      <c r="CA77" s="1748" t="str">
        <f t="shared" si="82"/>
        <v/>
      </c>
      <c r="CB77" s="1748" t="str">
        <f t="shared" si="83"/>
        <v/>
      </c>
      <c r="CC77" s="1749" t="str">
        <f t="shared" si="84"/>
        <v/>
      </c>
      <c r="CD77" s="1683" t="str">
        <f t="shared" si="133"/>
        <v/>
      </c>
      <c r="CE77" s="1684" t="str">
        <f t="shared" si="133"/>
        <v/>
      </c>
      <c r="CF77" s="1685" t="str">
        <f t="shared" si="133"/>
        <v/>
      </c>
      <c r="CG77" s="1685" t="str">
        <f t="shared" si="133"/>
        <v/>
      </c>
      <c r="CH77" s="1685" t="str">
        <f t="shared" si="133"/>
        <v/>
      </c>
      <c r="CI77" s="1685" t="str">
        <f t="shared" si="133"/>
        <v/>
      </c>
      <c r="CJ77" s="1685" t="str">
        <f t="shared" si="133"/>
        <v/>
      </c>
      <c r="CK77" s="1686" t="str">
        <f t="shared" si="133"/>
        <v/>
      </c>
      <c r="CL77" s="1686" t="str">
        <f t="shared" si="133"/>
        <v/>
      </c>
      <c r="CM77" s="1686" t="str">
        <f t="shared" si="133"/>
        <v/>
      </c>
      <c r="CN77" s="1685" t="str">
        <f t="shared" si="133"/>
        <v/>
      </c>
      <c r="CO77" s="1685" t="str">
        <f t="shared" si="133"/>
        <v/>
      </c>
      <c r="CP77" s="1685" t="str">
        <f t="shared" si="133"/>
        <v/>
      </c>
      <c r="CQ77" s="1685" t="str">
        <f t="shared" si="133"/>
        <v/>
      </c>
      <c r="CR77" s="1685" t="str">
        <f t="shared" si="133"/>
        <v/>
      </c>
      <c r="CS77" s="1684" t="str">
        <f t="shared" si="133"/>
        <v/>
      </c>
      <c r="CT77" s="1687" t="str">
        <f t="shared" si="133"/>
        <v/>
      </c>
      <c r="CU77" s="1696" t="str">
        <f t="shared" si="87"/>
        <v/>
      </c>
      <c r="CV77" s="1697" t="str">
        <f t="shared" si="88"/>
        <v/>
      </c>
      <c r="CW77" s="1698" t="str">
        <f t="shared" si="89"/>
        <v/>
      </c>
      <c r="CX77" s="1698" t="str">
        <f t="shared" si="90"/>
        <v/>
      </c>
      <c r="CY77" s="1698" t="str">
        <f t="shared" si="91"/>
        <v/>
      </c>
      <c r="CZ77" s="1698" t="str">
        <f t="shared" si="92"/>
        <v/>
      </c>
      <c r="DA77" s="1698" t="str">
        <f t="shared" si="93"/>
        <v/>
      </c>
      <c r="DB77" s="1699" t="str">
        <f t="shared" si="94"/>
        <v/>
      </c>
      <c r="DC77" s="1699" t="str">
        <f t="shared" si="95"/>
        <v/>
      </c>
      <c r="DD77" s="1699" t="str">
        <f t="shared" si="96"/>
        <v/>
      </c>
      <c r="DE77" s="1698" t="str">
        <f t="shared" si="97"/>
        <v/>
      </c>
      <c r="DF77" s="1698" t="str">
        <f t="shared" si="98"/>
        <v/>
      </c>
      <c r="DG77" s="1698" t="str">
        <f t="shared" si="99"/>
        <v/>
      </c>
      <c r="DH77" s="1698" t="str">
        <f t="shared" si="100"/>
        <v/>
      </c>
      <c r="DI77" s="1698" t="str">
        <f t="shared" si="101"/>
        <v/>
      </c>
      <c r="DJ77" s="1697" t="str">
        <f t="shared" si="102"/>
        <v/>
      </c>
      <c r="DK77" s="1696" t="str">
        <f t="shared" si="103"/>
        <v/>
      </c>
      <c r="DL77" s="1750">
        <f t="shared" si="104"/>
        <v>0</v>
      </c>
      <c r="DM77" s="1386">
        <f t="shared" si="105"/>
        <v>0</v>
      </c>
      <c r="DN77" s="1386">
        <f t="shared" si="106"/>
        <v>0</v>
      </c>
      <c r="DO77" s="1386">
        <f t="shared" si="107"/>
        <v>0</v>
      </c>
      <c r="DP77" s="1777" t="str">
        <f>IF(SUM(BV77)&gt;0,BV77*'Exp factors'!C$21,"")</f>
        <v/>
      </c>
      <c r="DQ77" s="1452" t="str">
        <f>IF(SUM(BW77)&gt;0,BW77*'Exp factors'!D$21,"")</f>
        <v/>
      </c>
      <c r="DR77" s="1452" t="str">
        <f>IF(SUM(BX77)&gt;0,BX77*'Exp factors'!E$21,"")</f>
        <v/>
      </c>
      <c r="DS77" s="1778" t="str">
        <f>IF(SUM(BY77)&gt;0,BY77*'Exp factors'!F$21,"")</f>
        <v/>
      </c>
      <c r="DT77" s="1758"/>
      <c r="DU77" s="1707"/>
    </row>
    <row r="78" spans="1:125" ht="12.75" customHeight="1">
      <c r="A78" s="1344" t="s">
        <v>256</v>
      </c>
      <c r="B78" s="1754"/>
      <c r="C78" s="1754"/>
      <c r="D78" s="1754"/>
      <c r="E78" s="1754"/>
      <c r="F78" s="1754"/>
      <c r="G78" s="1754"/>
      <c r="H78" s="1754"/>
      <c r="I78" s="1754"/>
      <c r="J78" s="1754"/>
      <c r="K78" s="1754"/>
      <c r="L78" s="1754"/>
      <c r="M78" s="1754"/>
      <c r="N78" s="1754"/>
      <c r="O78" s="1754"/>
      <c r="P78" s="1754"/>
      <c r="Q78" s="1754"/>
      <c r="R78" s="1754"/>
      <c r="S78" s="1755"/>
      <c r="T78" s="1754"/>
      <c r="U78" s="1754"/>
      <c r="V78" s="1754"/>
      <c r="W78" s="1754"/>
      <c r="X78" s="1754"/>
      <c r="Y78" s="1754"/>
      <c r="Z78" s="1754"/>
      <c r="AA78" s="1754"/>
      <c r="AB78" s="1754"/>
      <c r="AC78" s="1754"/>
      <c r="AD78" s="1754"/>
      <c r="AE78" s="1754"/>
      <c r="AF78" s="1754"/>
      <c r="AG78" s="1754"/>
      <c r="AH78" s="1754"/>
      <c r="AI78" s="1754"/>
      <c r="AJ78" s="1754"/>
      <c r="AK78" s="1755"/>
      <c r="AL78" s="1754"/>
      <c r="AM78" s="1754"/>
      <c r="AN78" s="1754"/>
      <c r="AO78" s="1754"/>
      <c r="AP78" s="1754"/>
      <c r="AQ78" s="1754"/>
      <c r="AR78" s="1754"/>
      <c r="AS78" s="1754"/>
      <c r="AT78" s="1754"/>
      <c r="AU78" s="1754"/>
      <c r="AV78" s="1754"/>
      <c r="AW78" s="1754"/>
      <c r="AX78" s="1754"/>
      <c r="AY78" s="1754"/>
      <c r="AZ78" s="1754"/>
      <c r="BA78" s="1754"/>
      <c r="BB78" s="1754"/>
      <c r="BC78" s="1755"/>
      <c r="BD78" s="1754"/>
      <c r="BE78" s="1754"/>
      <c r="BF78" s="1754"/>
      <c r="BG78" s="1754"/>
      <c r="BH78" s="1754"/>
      <c r="BI78" s="1754"/>
      <c r="BJ78" s="1754"/>
      <c r="BK78" s="1754"/>
      <c r="BL78" s="1754"/>
      <c r="BM78" s="1754"/>
      <c r="BN78" s="1754"/>
      <c r="BO78" s="1754"/>
      <c r="BP78" s="1754"/>
      <c r="BQ78" s="1754"/>
      <c r="BR78" s="1754"/>
      <c r="BS78" s="1754"/>
      <c r="BT78" s="1754"/>
      <c r="BU78" s="1755"/>
      <c r="BV78" s="1754"/>
      <c r="BW78" s="1754"/>
      <c r="BX78" s="1754"/>
      <c r="BY78" s="1754"/>
      <c r="BZ78" s="1748" t="str">
        <f t="shared" si="81"/>
        <v/>
      </c>
      <c r="CA78" s="1748" t="str">
        <f t="shared" si="82"/>
        <v/>
      </c>
      <c r="CB78" s="1748" t="str">
        <f t="shared" si="83"/>
        <v/>
      </c>
      <c r="CC78" s="1749" t="str">
        <f t="shared" si="84"/>
        <v/>
      </c>
      <c r="CD78" s="1683" t="str">
        <f t="shared" si="133"/>
        <v/>
      </c>
      <c r="CE78" s="1684" t="str">
        <f t="shared" si="133"/>
        <v/>
      </c>
      <c r="CF78" s="1685" t="str">
        <f t="shared" si="133"/>
        <v/>
      </c>
      <c r="CG78" s="1685" t="str">
        <f t="shared" si="133"/>
        <v/>
      </c>
      <c r="CH78" s="1685" t="str">
        <f t="shared" si="133"/>
        <v/>
      </c>
      <c r="CI78" s="1685" t="str">
        <f t="shared" si="133"/>
        <v/>
      </c>
      <c r="CJ78" s="1685" t="str">
        <f t="shared" si="133"/>
        <v/>
      </c>
      <c r="CK78" s="1686" t="str">
        <f t="shared" si="133"/>
        <v/>
      </c>
      <c r="CL78" s="1686" t="str">
        <f t="shared" si="133"/>
        <v/>
      </c>
      <c r="CM78" s="1686" t="str">
        <f t="shared" si="133"/>
        <v/>
      </c>
      <c r="CN78" s="1685" t="str">
        <f t="shared" si="133"/>
        <v/>
      </c>
      <c r="CO78" s="1685" t="str">
        <f t="shared" si="133"/>
        <v/>
      </c>
      <c r="CP78" s="1685" t="str">
        <f t="shared" si="133"/>
        <v/>
      </c>
      <c r="CQ78" s="1685" t="str">
        <f t="shared" si="133"/>
        <v/>
      </c>
      <c r="CR78" s="1685" t="str">
        <f t="shared" si="133"/>
        <v/>
      </c>
      <c r="CS78" s="1684" t="str">
        <f t="shared" si="133"/>
        <v/>
      </c>
      <c r="CT78" s="168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96" t="str">
        <f t="shared" si="87"/>
        <v/>
      </c>
      <c r="CV78" s="1697" t="str">
        <f t="shared" si="88"/>
        <v/>
      </c>
      <c r="CW78" s="1698" t="str">
        <f t="shared" si="89"/>
        <v/>
      </c>
      <c r="CX78" s="1698" t="str">
        <f t="shared" si="90"/>
        <v/>
      </c>
      <c r="CY78" s="1698" t="str">
        <f t="shared" si="91"/>
        <v/>
      </c>
      <c r="CZ78" s="1698" t="str">
        <f t="shared" si="92"/>
        <v/>
      </c>
      <c r="DA78" s="1698" t="str">
        <f t="shared" si="93"/>
        <v/>
      </c>
      <c r="DB78" s="1699" t="str">
        <f t="shared" si="94"/>
        <v/>
      </c>
      <c r="DC78" s="1699" t="str">
        <f t="shared" si="95"/>
        <v/>
      </c>
      <c r="DD78" s="1699" t="str">
        <f t="shared" si="96"/>
        <v/>
      </c>
      <c r="DE78" s="1698" t="str">
        <f t="shared" si="97"/>
        <v/>
      </c>
      <c r="DF78" s="1698" t="str">
        <f t="shared" si="98"/>
        <v/>
      </c>
      <c r="DG78" s="1698" t="str">
        <f t="shared" si="99"/>
        <v/>
      </c>
      <c r="DH78" s="1698" t="str">
        <f t="shared" si="100"/>
        <v/>
      </c>
      <c r="DI78" s="1698" t="str">
        <f t="shared" si="101"/>
        <v/>
      </c>
      <c r="DJ78" s="1697" t="str">
        <f t="shared" si="102"/>
        <v/>
      </c>
      <c r="DK78" s="1696" t="str">
        <f t="shared" si="103"/>
        <v/>
      </c>
      <c r="DL78" s="1750">
        <f t="shared" si="104"/>
        <v>0</v>
      </c>
      <c r="DM78" s="1386">
        <f t="shared" si="105"/>
        <v>0</v>
      </c>
      <c r="DN78" s="1386">
        <f t="shared" si="106"/>
        <v>0</v>
      </c>
      <c r="DO78" s="1386">
        <f t="shared" si="107"/>
        <v>0</v>
      </c>
      <c r="DP78" s="1756"/>
      <c r="DQ78" s="1427"/>
      <c r="DR78" s="1427"/>
      <c r="DS78" s="1757"/>
      <c r="DT78" s="1758"/>
      <c r="DU78" s="1707"/>
    </row>
    <row r="79" spans="1:125" ht="12.75" customHeight="1">
      <c r="A79" s="1732" t="s">
        <v>257</v>
      </c>
      <c r="B79" s="1759"/>
      <c r="C79" s="1759"/>
      <c r="D79" s="1759"/>
      <c r="E79" s="1759"/>
      <c r="F79" s="1759"/>
      <c r="G79" s="1759"/>
      <c r="H79" s="1759"/>
      <c r="I79" s="1759"/>
      <c r="J79" s="1759"/>
      <c r="K79" s="1759"/>
      <c r="L79" s="1759"/>
      <c r="M79" s="1759"/>
      <c r="N79" s="1759"/>
      <c r="O79" s="1759"/>
      <c r="P79" s="1759"/>
      <c r="Q79" s="1759"/>
      <c r="R79" s="1759"/>
      <c r="S79" s="1755"/>
      <c r="T79" s="1759"/>
      <c r="U79" s="1759"/>
      <c r="V79" s="1759"/>
      <c r="W79" s="1759"/>
      <c r="X79" s="1759"/>
      <c r="Y79" s="1759"/>
      <c r="Z79" s="1759"/>
      <c r="AA79" s="1759"/>
      <c r="AB79" s="1759"/>
      <c r="AC79" s="1759"/>
      <c r="AD79" s="1759"/>
      <c r="AE79" s="1759"/>
      <c r="AF79" s="1759"/>
      <c r="AG79" s="1759"/>
      <c r="AH79" s="1759"/>
      <c r="AI79" s="1759"/>
      <c r="AJ79" s="1759"/>
      <c r="AK79" s="1755"/>
      <c r="AL79" s="1759"/>
      <c r="AM79" s="1759"/>
      <c r="AN79" s="1759"/>
      <c r="AO79" s="1759"/>
      <c r="AP79" s="1759"/>
      <c r="AQ79" s="1759"/>
      <c r="AR79" s="1759"/>
      <c r="AS79" s="1759"/>
      <c r="AT79" s="1759"/>
      <c r="AU79" s="1759"/>
      <c r="AV79" s="1759"/>
      <c r="AW79" s="1759"/>
      <c r="AX79" s="1759"/>
      <c r="AY79" s="1759"/>
      <c r="AZ79" s="1759"/>
      <c r="BA79" s="1759"/>
      <c r="BB79" s="1759"/>
      <c r="BC79" s="1755"/>
      <c r="BD79" s="1759"/>
      <c r="BE79" s="1759"/>
      <c r="BF79" s="1759"/>
      <c r="BG79" s="1759"/>
      <c r="BH79" s="1759"/>
      <c r="BI79" s="1759"/>
      <c r="BJ79" s="1759"/>
      <c r="BK79" s="1759"/>
      <c r="BL79" s="1759"/>
      <c r="BM79" s="1759"/>
      <c r="BN79" s="1759"/>
      <c r="BO79" s="1759"/>
      <c r="BP79" s="1759"/>
      <c r="BQ79" s="1759"/>
      <c r="BR79" s="1759"/>
      <c r="BS79" s="1759"/>
      <c r="BT79" s="1759"/>
      <c r="BU79" s="1755"/>
      <c r="BV79" s="1759"/>
      <c r="BW79" s="1759"/>
      <c r="BX79" s="1759"/>
      <c r="BY79" s="1759"/>
      <c r="BZ79" s="1748" t="str">
        <f t="shared" si="81"/>
        <v/>
      </c>
      <c r="CA79" s="1748" t="str">
        <f t="shared" si="82"/>
        <v/>
      </c>
      <c r="CB79" s="1748" t="str">
        <f t="shared" si="83"/>
        <v/>
      </c>
      <c r="CC79" s="1749" t="str">
        <f t="shared" si="84"/>
        <v/>
      </c>
      <c r="CD79" s="1683" t="str">
        <f t="shared" si="150"/>
        <v/>
      </c>
      <c r="CE79" s="1684" t="str">
        <f t="shared" si="150"/>
        <v/>
      </c>
      <c r="CF79" s="1685" t="str">
        <f t="shared" si="150"/>
        <v/>
      </c>
      <c r="CG79" s="1685" t="str">
        <f t="shared" si="150"/>
        <v/>
      </c>
      <c r="CH79" s="1685" t="str">
        <f t="shared" si="150"/>
        <v/>
      </c>
      <c r="CI79" s="1685" t="str">
        <f t="shared" si="150"/>
        <v/>
      </c>
      <c r="CJ79" s="1685" t="str">
        <f t="shared" si="150"/>
        <v/>
      </c>
      <c r="CK79" s="1686" t="str">
        <f t="shared" si="150"/>
        <v/>
      </c>
      <c r="CL79" s="1686" t="str">
        <f t="shared" si="150"/>
        <v/>
      </c>
      <c r="CM79" s="1686" t="str">
        <f t="shared" si="150"/>
        <v/>
      </c>
      <c r="CN79" s="1685" t="str">
        <f t="shared" si="150"/>
        <v/>
      </c>
      <c r="CO79" s="1685" t="str">
        <f t="shared" si="150"/>
        <v/>
      </c>
      <c r="CP79" s="1685" t="str">
        <f t="shared" si="150"/>
        <v/>
      </c>
      <c r="CQ79" s="1685" t="str">
        <f t="shared" si="150"/>
        <v/>
      </c>
      <c r="CR79" s="1685" t="str">
        <f t="shared" si="150"/>
        <v/>
      </c>
      <c r="CS79" s="1684" t="str">
        <f t="shared" si="150"/>
        <v/>
      </c>
      <c r="CT79" s="1687" t="str">
        <f t="shared" si="150"/>
        <v/>
      </c>
      <c r="CU79" s="1696" t="str">
        <f t="shared" si="87"/>
        <v/>
      </c>
      <c r="CV79" s="1697" t="str">
        <f t="shared" si="88"/>
        <v/>
      </c>
      <c r="CW79" s="1698" t="str">
        <f t="shared" si="89"/>
        <v/>
      </c>
      <c r="CX79" s="1698" t="str">
        <f t="shared" si="90"/>
        <v/>
      </c>
      <c r="CY79" s="1698" t="str">
        <f t="shared" si="91"/>
        <v/>
      </c>
      <c r="CZ79" s="1698" t="str">
        <f t="shared" si="92"/>
        <v/>
      </c>
      <c r="DA79" s="1698" t="str">
        <f t="shared" si="93"/>
        <v/>
      </c>
      <c r="DB79" s="1699" t="str">
        <f t="shared" si="94"/>
        <v/>
      </c>
      <c r="DC79" s="1699" t="str">
        <f t="shared" si="95"/>
        <v/>
      </c>
      <c r="DD79" s="1699" t="str">
        <f t="shared" si="96"/>
        <v/>
      </c>
      <c r="DE79" s="1698" t="str">
        <f t="shared" si="97"/>
        <v/>
      </c>
      <c r="DF79" s="1698" t="str">
        <f t="shared" si="98"/>
        <v/>
      </c>
      <c r="DG79" s="1698" t="str">
        <f t="shared" si="99"/>
        <v/>
      </c>
      <c r="DH79" s="1698" t="str">
        <f t="shared" si="100"/>
        <v/>
      </c>
      <c r="DI79" s="1698" t="str">
        <f t="shared" si="101"/>
        <v/>
      </c>
      <c r="DJ79" s="1697" t="str">
        <f t="shared" si="102"/>
        <v/>
      </c>
      <c r="DK79" s="1696" t="str">
        <f t="shared" si="103"/>
        <v/>
      </c>
      <c r="DL79" s="1750">
        <f t="shared" si="104"/>
        <v>0</v>
      </c>
      <c r="DM79" s="1386">
        <f t="shared" si="105"/>
        <v>0</v>
      </c>
      <c r="DN79" s="1386">
        <f t="shared" si="106"/>
        <v>0</v>
      </c>
      <c r="DO79" s="1386">
        <f t="shared" si="107"/>
        <v>0</v>
      </c>
      <c r="DP79" s="1760" t="str">
        <f>IF(SUM(BV79)&gt;0,(BV77-DP82-SUM(BV82)*(DP82=""))*'Exp factors'!C$21,"")</f>
        <v/>
      </c>
      <c r="DQ79" s="1497" t="str">
        <f>IF(SUM(BW79)&gt;0,(BW77-DQ82-SUM(BW82)*(DQ82=""))*'Exp factors'!D$21,"")</f>
        <v/>
      </c>
      <c r="DR79" s="1497" t="str">
        <f>IF(SUM(BX79)&gt;0,(BX77-DR82-SUM(BX82)*(DR82=""))*'Exp factors'!E$21,"")</f>
        <v/>
      </c>
      <c r="DS79" s="1761" t="str">
        <f>IF(SUM(BY79)&gt;0,(BY77-DS82-SUM(BY82)*(DS82=""))*'Exp factors'!F$21,"")</f>
        <v/>
      </c>
      <c r="DT79" s="1758"/>
      <c r="DU79" s="1707"/>
    </row>
    <row r="80" spans="1:125" ht="12.75" customHeight="1">
      <c r="A80" s="1762" t="s">
        <v>181</v>
      </c>
      <c r="B80" s="1763"/>
      <c r="C80" s="1763"/>
      <c r="D80" s="1763"/>
      <c r="E80" s="1763"/>
      <c r="F80" s="1763"/>
      <c r="G80" s="1763"/>
      <c r="H80" s="1763"/>
      <c r="I80" s="1763"/>
      <c r="J80" s="1763"/>
      <c r="K80" s="1763"/>
      <c r="L80" s="1763"/>
      <c r="M80" s="1763"/>
      <c r="N80" s="1763"/>
      <c r="O80" s="1763"/>
      <c r="P80" s="1763"/>
      <c r="Q80" s="1763"/>
      <c r="R80" s="1763"/>
      <c r="S80" s="1755"/>
      <c r="T80" s="1763"/>
      <c r="U80" s="1763"/>
      <c r="V80" s="1763"/>
      <c r="W80" s="1763"/>
      <c r="X80" s="1763"/>
      <c r="Y80" s="1763"/>
      <c r="Z80" s="1763"/>
      <c r="AA80" s="1763"/>
      <c r="AB80" s="1763"/>
      <c r="AC80" s="1763"/>
      <c r="AD80" s="1763"/>
      <c r="AE80" s="1763"/>
      <c r="AF80" s="1763"/>
      <c r="AG80" s="1763"/>
      <c r="AH80" s="1763"/>
      <c r="AI80" s="1763"/>
      <c r="AJ80" s="1763"/>
      <c r="AK80" s="1755"/>
      <c r="AL80" s="1763"/>
      <c r="AM80" s="1763"/>
      <c r="AN80" s="1763"/>
      <c r="AO80" s="1763"/>
      <c r="AP80" s="1763"/>
      <c r="AQ80" s="1763"/>
      <c r="AR80" s="1763"/>
      <c r="AS80" s="1763"/>
      <c r="AT80" s="1763"/>
      <c r="AU80" s="1763"/>
      <c r="AV80" s="1763"/>
      <c r="AW80" s="1763"/>
      <c r="AX80" s="1763"/>
      <c r="AY80" s="1763"/>
      <c r="AZ80" s="1763"/>
      <c r="BA80" s="1763"/>
      <c r="BB80" s="1763"/>
      <c r="BC80" s="1755"/>
      <c r="BD80" s="1763"/>
      <c r="BE80" s="1763"/>
      <c r="BF80" s="1763"/>
      <c r="BG80" s="1763"/>
      <c r="BH80" s="1763"/>
      <c r="BI80" s="1763"/>
      <c r="BJ80" s="1763"/>
      <c r="BK80" s="1763"/>
      <c r="BL80" s="1763"/>
      <c r="BM80" s="1763"/>
      <c r="BN80" s="1763"/>
      <c r="BO80" s="1763"/>
      <c r="BP80" s="1763"/>
      <c r="BQ80" s="1763"/>
      <c r="BR80" s="1763"/>
      <c r="BS80" s="1763"/>
      <c r="BT80" s="1763"/>
      <c r="BU80" s="1755"/>
      <c r="BV80" s="1763"/>
      <c r="BW80" s="1763"/>
      <c r="BX80" s="1763"/>
      <c r="BY80" s="1763"/>
      <c r="BZ80" s="1748" t="str">
        <f t="shared" si="81"/>
        <v/>
      </c>
      <c r="CA80" s="1748" t="str">
        <f t="shared" si="82"/>
        <v/>
      </c>
      <c r="CB80" s="1748" t="str">
        <f t="shared" si="83"/>
        <v/>
      </c>
      <c r="CC80" s="1749" t="str">
        <f t="shared" si="84"/>
        <v/>
      </c>
      <c r="CD80" s="1683" t="str">
        <f t="shared" si="150"/>
        <v/>
      </c>
      <c r="CE80" s="1684" t="str">
        <f t="shared" si="150"/>
        <v/>
      </c>
      <c r="CF80" s="1685" t="str">
        <f t="shared" si="150"/>
        <v/>
      </c>
      <c r="CG80" s="1685" t="str">
        <f t="shared" si="150"/>
        <v/>
      </c>
      <c r="CH80" s="1685" t="str">
        <f t="shared" si="150"/>
        <v/>
      </c>
      <c r="CI80" s="1685" t="str">
        <f t="shared" si="150"/>
        <v/>
      </c>
      <c r="CJ80" s="1685" t="str">
        <f t="shared" si="150"/>
        <v/>
      </c>
      <c r="CK80" s="1686" t="str">
        <f t="shared" si="150"/>
        <v/>
      </c>
      <c r="CL80" s="1686" t="str">
        <f t="shared" si="150"/>
        <v/>
      </c>
      <c r="CM80" s="1686" t="str">
        <f t="shared" si="150"/>
        <v/>
      </c>
      <c r="CN80" s="1685" t="str">
        <f t="shared" si="150"/>
        <v/>
      </c>
      <c r="CO80" s="1685" t="str">
        <f t="shared" si="150"/>
        <v/>
      </c>
      <c r="CP80" s="1685" t="str">
        <f t="shared" si="150"/>
        <v/>
      </c>
      <c r="CQ80" s="1685" t="str">
        <f t="shared" si="150"/>
        <v/>
      </c>
      <c r="CR80" s="1685" t="str">
        <f t="shared" si="150"/>
        <v/>
      </c>
      <c r="CS80" s="1684" t="str">
        <f t="shared" si="150"/>
        <v/>
      </c>
      <c r="CT80" s="1687" t="str">
        <f t="shared" si="150"/>
        <v/>
      </c>
      <c r="CU80" s="1696" t="str">
        <f t="shared" si="87"/>
        <v/>
      </c>
      <c r="CV80" s="1697" t="str">
        <f t="shared" si="88"/>
        <v/>
      </c>
      <c r="CW80" s="1698" t="str">
        <f t="shared" si="89"/>
        <v/>
      </c>
      <c r="CX80" s="1698" t="str">
        <f t="shared" si="90"/>
        <v/>
      </c>
      <c r="CY80" s="1698" t="str">
        <f t="shared" si="91"/>
        <v/>
      </c>
      <c r="CZ80" s="1698" t="str">
        <f t="shared" si="92"/>
        <v/>
      </c>
      <c r="DA80" s="1698" t="str">
        <f t="shared" si="93"/>
        <v/>
      </c>
      <c r="DB80" s="1699" t="str">
        <f t="shared" si="94"/>
        <v/>
      </c>
      <c r="DC80" s="1699" t="str">
        <f t="shared" si="95"/>
        <v/>
      </c>
      <c r="DD80" s="1699" t="str">
        <f t="shared" si="96"/>
        <v/>
      </c>
      <c r="DE80" s="1698" t="str">
        <f t="shared" si="97"/>
        <v/>
      </c>
      <c r="DF80" s="1698" t="str">
        <f t="shared" si="98"/>
        <v/>
      </c>
      <c r="DG80" s="1698" t="str">
        <f t="shared" si="99"/>
        <v/>
      </c>
      <c r="DH80" s="1698" t="str">
        <f t="shared" si="100"/>
        <v/>
      </c>
      <c r="DI80" s="1698" t="str">
        <f t="shared" si="101"/>
        <v/>
      </c>
      <c r="DJ80" s="1697" t="str">
        <f t="shared" si="102"/>
        <v/>
      </c>
      <c r="DK80" s="1696" t="str">
        <f t="shared" si="103"/>
        <v/>
      </c>
      <c r="DL80" s="1750">
        <f t="shared" si="104"/>
        <v>0</v>
      </c>
      <c r="DM80" s="1386">
        <f t="shared" si="105"/>
        <v>0</v>
      </c>
      <c r="DN80" s="1386">
        <f t="shared" si="106"/>
        <v>0</v>
      </c>
      <c r="DO80" s="1386">
        <f t="shared" si="107"/>
        <v>0</v>
      </c>
      <c r="DP80" s="1756"/>
      <c r="DQ80" s="1427"/>
      <c r="DR80" s="1427"/>
      <c r="DS80" s="1757"/>
      <c r="DT80" s="1758"/>
      <c r="DU80" s="1707"/>
    </row>
    <row r="81" spans="1:125" ht="12.75" customHeight="1">
      <c r="A81" s="1762" t="s">
        <v>183</v>
      </c>
      <c r="B81" s="1355" t="str">
        <f t="shared" ref="B81:R81" si="151">IF(B79="","",B79*B80)</f>
        <v/>
      </c>
      <c r="C81" s="1355" t="str">
        <f t="shared" si="151"/>
        <v/>
      </c>
      <c r="D81" s="1355" t="str">
        <f t="shared" si="151"/>
        <v/>
      </c>
      <c r="E81" s="1355" t="str">
        <f t="shared" si="151"/>
        <v/>
      </c>
      <c r="F81" s="1355" t="str">
        <f t="shared" si="151"/>
        <v/>
      </c>
      <c r="G81" s="1355" t="str">
        <f t="shared" si="151"/>
        <v/>
      </c>
      <c r="H81" s="1355" t="str">
        <f t="shared" si="151"/>
        <v/>
      </c>
      <c r="I81" s="1355" t="str">
        <f t="shared" si="151"/>
        <v/>
      </c>
      <c r="J81" s="1355" t="str">
        <f t="shared" si="151"/>
        <v/>
      </c>
      <c r="K81" s="1355" t="str">
        <f t="shared" si="151"/>
        <v/>
      </c>
      <c r="L81" s="1355" t="str">
        <f t="shared" si="151"/>
        <v/>
      </c>
      <c r="M81" s="1355" t="str">
        <f t="shared" si="151"/>
        <v/>
      </c>
      <c r="N81" s="1355" t="str">
        <f t="shared" si="151"/>
        <v/>
      </c>
      <c r="O81" s="1355" t="str">
        <f t="shared" si="151"/>
        <v/>
      </c>
      <c r="P81" s="1355" t="str">
        <f t="shared" si="151"/>
        <v/>
      </c>
      <c r="Q81" s="1355" t="str">
        <f t="shared" si="151"/>
        <v/>
      </c>
      <c r="R81" s="1355" t="str">
        <f t="shared" si="151"/>
        <v/>
      </c>
      <c r="S81" s="1765"/>
      <c r="T81" s="1355" t="str">
        <f t="shared" ref="T81:AJ81" si="152">IF(T79="","",T79*T80)</f>
        <v/>
      </c>
      <c r="U81" s="1355" t="str">
        <f t="shared" si="152"/>
        <v/>
      </c>
      <c r="V81" s="1355" t="str">
        <f t="shared" si="152"/>
        <v/>
      </c>
      <c r="W81" s="1355" t="str">
        <f t="shared" si="152"/>
        <v/>
      </c>
      <c r="X81" s="1355" t="str">
        <f t="shared" si="152"/>
        <v/>
      </c>
      <c r="Y81" s="1355" t="str">
        <f t="shared" si="152"/>
        <v/>
      </c>
      <c r="Z81" s="1355" t="str">
        <f t="shared" si="152"/>
        <v/>
      </c>
      <c r="AA81" s="1355" t="str">
        <f t="shared" si="152"/>
        <v/>
      </c>
      <c r="AB81" s="1355" t="str">
        <f t="shared" si="152"/>
        <v/>
      </c>
      <c r="AC81" s="1355" t="str">
        <f t="shared" si="152"/>
        <v/>
      </c>
      <c r="AD81" s="1355" t="str">
        <f t="shared" si="152"/>
        <v/>
      </c>
      <c r="AE81" s="1355" t="str">
        <f t="shared" si="152"/>
        <v/>
      </c>
      <c r="AF81" s="1355" t="str">
        <f t="shared" si="152"/>
        <v/>
      </c>
      <c r="AG81" s="1355" t="str">
        <f t="shared" si="152"/>
        <v/>
      </c>
      <c r="AH81" s="1355" t="str">
        <f t="shared" si="152"/>
        <v/>
      </c>
      <c r="AI81" s="1355" t="str">
        <f t="shared" si="152"/>
        <v/>
      </c>
      <c r="AJ81" s="1355" t="str">
        <f t="shared" si="152"/>
        <v/>
      </c>
      <c r="AK81" s="1765"/>
      <c r="AL81" s="1355" t="str">
        <f t="shared" ref="AL81:BB81" si="153">IF(AL79="","",AL79*AL80)</f>
        <v/>
      </c>
      <c r="AM81" s="1355" t="str">
        <f t="shared" si="153"/>
        <v/>
      </c>
      <c r="AN81" s="1355" t="str">
        <f t="shared" si="153"/>
        <v/>
      </c>
      <c r="AO81" s="1355" t="str">
        <f t="shared" si="153"/>
        <v/>
      </c>
      <c r="AP81" s="1355" t="str">
        <f t="shared" si="153"/>
        <v/>
      </c>
      <c r="AQ81" s="1355" t="str">
        <f t="shared" si="153"/>
        <v/>
      </c>
      <c r="AR81" s="1355" t="str">
        <f t="shared" si="153"/>
        <v/>
      </c>
      <c r="AS81" s="1355" t="str">
        <f t="shared" si="153"/>
        <v/>
      </c>
      <c r="AT81" s="1355" t="str">
        <f t="shared" si="153"/>
        <v/>
      </c>
      <c r="AU81" s="1355" t="str">
        <f t="shared" si="153"/>
        <v/>
      </c>
      <c r="AV81" s="1355" t="str">
        <f t="shared" si="153"/>
        <v/>
      </c>
      <c r="AW81" s="1355" t="str">
        <f t="shared" si="153"/>
        <v/>
      </c>
      <c r="AX81" s="1355" t="str">
        <f t="shared" si="153"/>
        <v/>
      </c>
      <c r="AY81" s="1355" t="str">
        <f t="shared" si="153"/>
        <v/>
      </c>
      <c r="AZ81" s="1355" t="str">
        <f t="shared" si="153"/>
        <v/>
      </c>
      <c r="BA81" s="1355" t="str">
        <f t="shared" si="153"/>
        <v/>
      </c>
      <c r="BB81" s="1355" t="str">
        <f t="shared" si="153"/>
        <v/>
      </c>
      <c r="BC81" s="1765"/>
      <c r="BD81" s="1355" t="str">
        <f t="shared" ref="BD81:BT81" si="154">IF(BD79="","",BD79*BD80)</f>
        <v/>
      </c>
      <c r="BE81" s="1355" t="str">
        <f t="shared" si="154"/>
        <v/>
      </c>
      <c r="BF81" s="1355" t="str">
        <f t="shared" si="154"/>
        <v/>
      </c>
      <c r="BG81" s="1355" t="str">
        <f t="shared" si="154"/>
        <v/>
      </c>
      <c r="BH81" s="1355" t="str">
        <f t="shared" si="154"/>
        <v/>
      </c>
      <c r="BI81" s="1355" t="str">
        <f t="shared" si="154"/>
        <v/>
      </c>
      <c r="BJ81" s="1355" t="str">
        <f t="shared" si="154"/>
        <v/>
      </c>
      <c r="BK81" s="1355" t="str">
        <f t="shared" si="154"/>
        <v/>
      </c>
      <c r="BL81" s="1355" t="str">
        <f t="shared" si="154"/>
        <v/>
      </c>
      <c r="BM81" s="1355" t="str">
        <f t="shared" si="154"/>
        <v/>
      </c>
      <c r="BN81" s="1355" t="str">
        <f t="shared" si="154"/>
        <v/>
      </c>
      <c r="BO81" s="1355" t="str">
        <f t="shared" si="154"/>
        <v/>
      </c>
      <c r="BP81" s="1355" t="str">
        <f t="shared" si="154"/>
        <v/>
      </c>
      <c r="BQ81" s="1355" t="str">
        <f t="shared" si="154"/>
        <v/>
      </c>
      <c r="BR81" s="1355" t="str">
        <f t="shared" si="154"/>
        <v/>
      </c>
      <c r="BS81" s="1355" t="str">
        <f t="shared" si="154"/>
        <v/>
      </c>
      <c r="BT81" s="1355" t="str">
        <f t="shared" si="154"/>
        <v/>
      </c>
      <c r="BU81" s="1765"/>
      <c r="BV81" s="1355" t="str">
        <f>IF(BV79="","",BV79*BV80)</f>
        <v/>
      </c>
      <c r="BW81" s="1355" t="str">
        <f>IF(BW79="","",BW79*BW80)</f>
        <v/>
      </c>
      <c r="BX81" s="1355" t="str">
        <f>IF(BX79="","",BX79*BX80)</f>
        <v/>
      </c>
      <c r="BY81" s="1355" t="str">
        <f>IF(BY79="","",BY79*BY80)</f>
        <v/>
      </c>
      <c r="BZ81" s="1748" t="str">
        <f t="shared" si="81"/>
        <v/>
      </c>
      <c r="CA81" s="1748" t="str">
        <f t="shared" si="82"/>
        <v/>
      </c>
      <c r="CB81" s="1748" t="str">
        <f t="shared" si="83"/>
        <v/>
      </c>
      <c r="CC81" s="1749" t="str">
        <f t="shared" si="84"/>
        <v/>
      </c>
      <c r="CD81" s="1683" t="str">
        <f t="shared" si="150"/>
        <v/>
      </c>
      <c r="CE81" s="1684" t="str">
        <f t="shared" si="150"/>
        <v/>
      </c>
      <c r="CF81" s="1685" t="str">
        <f t="shared" si="150"/>
        <v/>
      </c>
      <c r="CG81" s="1685" t="str">
        <f t="shared" si="150"/>
        <v/>
      </c>
      <c r="CH81" s="1685" t="str">
        <f t="shared" si="150"/>
        <v/>
      </c>
      <c r="CI81" s="1685" t="str">
        <f t="shared" si="150"/>
        <v/>
      </c>
      <c r="CJ81" s="1685" t="str">
        <f t="shared" si="150"/>
        <v/>
      </c>
      <c r="CK81" s="1686" t="str">
        <f t="shared" si="150"/>
        <v/>
      </c>
      <c r="CL81" s="1686" t="str">
        <f t="shared" si="150"/>
        <v/>
      </c>
      <c r="CM81" s="1686" t="str">
        <f t="shared" si="150"/>
        <v/>
      </c>
      <c r="CN81" s="1685" t="str">
        <f t="shared" si="150"/>
        <v/>
      </c>
      <c r="CO81" s="1685" t="str">
        <f t="shared" si="150"/>
        <v/>
      </c>
      <c r="CP81" s="1685" t="str">
        <f t="shared" si="150"/>
        <v/>
      </c>
      <c r="CQ81" s="1685" t="str">
        <f t="shared" si="150"/>
        <v/>
      </c>
      <c r="CR81" s="1685" t="str">
        <f t="shared" si="150"/>
        <v/>
      </c>
      <c r="CS81" s="1684" t="str">
        <f t="shared" si="150"/>
        <v/>
      </c>
      <c r="CT81" s="1687" t="str">
        <f t="shared" si="150"/>
        <v/>
      </c>
      <c r="CU81" s="1696" t="str">
        <f t="shared" si="87"/>
        <v/>
      </c>
      <c r="CV81" s="1697" t="str">
        <f t="shared" si="88"/>
        <v/>
      </c>
      <c r="CW81" s="1698" t="str">
        <f t="shared" si="89"/>
        <v/>
      </c>
      <c r="CX81" s="1698" t="str">
        <f t="shared" si="90"/>
        <v/>
      </c>
      <c r="CY81" s="1698" t="str">
        <f t="shared" si="91"/>
        <v/>
      </c>
      <c r="CZ81" s="1698" t="str">
        <f t="shared" si="92"/>
        <v/>
      </c>
      <c r="DA81" s="1698" t="str">
        <f t="shared" si="93"/>
        <v/>
      </c>
      <c r="DB81" s="1699" t="str">
        <f t="shared" si="94"/>
        <v/>
      </c>
      <c r="DC81" s="1699" t="str">
        <f t="shared" si="95"/>
        <v/>
      </c>
      <c r="DD81" s="1699" t="str">
        <f t="shared" si="96"/>
        <v/>
      </c>
      <c r="DE81" s="1698" t="str">
        <f t="shared" si="97"/>
        <v/>
      </c>
      <c r="DF81" s="1698" t="str">
        <f t="shared" si="98"/>
        <v/>
      </c>
      <c r="DG81" s="1698" t="str">
        <f t="shared" si="99"/>
        <v/>
      </c>
      <c r="DH81" s="1698" t="str">
        <f t="shared" si="100"/>
        <v/>
      </c>
      <c r="DI81" s="1698" t="str">
        <f t="shared" si="101"/>
        <v/>
      </c>
      <c r="DJ81" s="1697" t="str">
        <f t="shared" si="102"/>
        <v/>
      </c>
      <c r="DK81" s="1696" t="str">
        <f t="shared" si="103"/>
        <v/>
      </c>
      <c r="DL81" s="1750">
        <f t="shared" si="104"/>
        <v>0</v>
      </c>
      <c r="DM81" s="1386">
        <f t="shared" si="105"/>
        <v>0</v>
      </c>
      <c r="DN81" s="1386">
        <f t="shared" si="106"/>
        <v>0</v>
      </c>
      <c r="DO81" s="1386">
        <f t="shared" si="107"/>
        <v>0</v>
      </c>
      <c r="DP81" s="1766" t="str">
        <f>IF(DP79="","",DP79*BV80)</f>
        <v/>
      </c>
      <c r="DQ81" s="1463" t="str">
        <f>IF(DQ79="","",DQ79*BW80)</f>
        <v/>
      </c>
      <c r="DR81" s="1463" t="str">
        <f>IF(DR79="","",DR79*BX80)</f>
        <v/>
      </c>
      <c r="DS81" s="1767" t="str">
        <f>IF(DS79="","",DS79*BY80)</f>
        <v/>
      </c>
      <c r="DT81" s="1758"/>
      <c r="DU81" s="1707"/>
    </row>
    <row r="82" spans="1:125" ht="12.75" customHeight="1">
      <c r="A82" s="1762" t="s">
        <v>258</v>
      </c>
      <c r="B82" s="1768"/>
      <c r="C82" s="1768"/>
      <c r="D82" s="1768"/>
      <c r="E82" s="1768"/>
      <c r="F82" s="1768"/>
      <c r="G82" s="1768"/>
      <c r="H82" s="1768"/>
      <c r="I82" s="1768"/>
      <c r="J82" s="1768"/>
      <c r="K82" s="1768"/>
      <c r="L82" s="1768"/>
      <c r="M82" s="1768"/>
      <c r="N82" s="1768"/>
      <c r="O82" s="1768"/>
      <c r="P82" s="1768"/>
      <c r="Q82" s="1768"/>
      <c r="R82" s="1768"/>
      <c r="S82" s="1747"/>
      <c r="T82" s="1768"/>
      <c r="U82" s="1768"/>
      <c r="V82" s="1768"/>
      <c r="W82" s="1768"/>
      <c r="X82" s="1768"/>
      <c r="Y82" s="1768"/>
      <c r="Z82" s="1768"/>
      <c r="AA82" s="1768"/>
      <c r="AB82" s="1768"/>
      <c r="AC82" s="1768"/>
      <c r="AD82" s="1768"/>
      <c r="AE82" s="1768"/>
      <c r="AF82" s="1768"/>
      <c r="AG82" s="1768"/>
      <c r="AH82" s="1768"/>
      <c r="AI82" s="1768"/>
      <c r="AJ82" s="1768"/>
      <c r="AK82" s="1747"/>
      <c r="AL82" s="1768"/>
      <c r="AM82" s="1768"/>
      <c r="AN82" s="1768"/>
      <c r="AO82" s="1768"/>
      <c r="AP82" s="1768"/>
      <c r="AQ82" s="1768"/>
      <c r="AR82" s="1768"/>
      <c r="AS82" s="1768"/>
      <c r="AT82" s="1768"/>
      <c r="AU82" s="1768"/>
      <c r="AV82" s="1768"/>
      <c r="AW82" s="1768"/>
      <c r="AX82" s="1768"/>
      <c r="AY82" s="1768"/>
      <c r="AZ82" s="1768"/>
      <c r="BA82" s="1768"/>
      <c r="BB82" s="1768"/>
      <c r="BC82" s="1747"/>
      <c r="BD82" s="1768"/>
      <c r="BE82" s="1768"/>
      <c r="BF82" s="1768"/>
      <c r="BG82" s="1768"/>
      <c r="BH82" s="1768"/>
      <c r="BI82" s="1768"/>
      <c r="BJ82" s="1768"/>
      <c r="BK82" s="1768"/>
      <c r="BL82" s="1768"/>
      <c r="BM82" s="1768"/>
      <c r="BN82" s="1768"/>
      <c r="BO82" s="1768"/>
      <c r="BP82" s="1768"/>
      <c r="BQ82" s="1768"/>
      <c r="BR82" s="1768"/>
      <c r="BS82" s="1768"/>
      <c r="BT82" s="1768"/>
      <c r="BU82" s="1747"/>
      <c r="BV82" s="1768"/>
      <c r="BW82" s="1768"/>
      <c r="BX82" s="1768"/>
      <c r="BY82" s="1768"/>
      <c r="BZ82" s="1748" t="str">
        <f t="shared" si="81"/>
        <v/>
      </c>
      <c r="CA82" s="1748" t="str">
        <f t="shared" si="82"/>
        <v/>
      </c>
      <c r="CB82" s="1748" t="str">
        <f t="shared" si="83"/>
        <v/>
      </c>
      <c r="CC82" s="1749" t="str">
        <f t="shared" si="84"/>
        <v/>
      </c>
      <c r="CD82" s="1683" t="str">
        <f t="shared" si="150"/>
        <v/>
      </c>
      <c r="CE82" s="1684" t="str">
        <f t="shared" si="150"/>
        <v/>
      </c>
      <c r="CF82" s="1685" t="str">
        <f t="shared" si="150"/>
        <v/>
      </c>
      <c r="CG82" s="1685" t="str">
        <f t="shared" si="150"/>
        <v/>
      </c>
      <c r="CH82" s="1685" t="str">
        <f t="shared" si="150"/>
        <v/>
      </c>
      <c r="CI82" s="1685" t="str">
        <f t="shared" si="150"/>
        <v/>
      </c>
      <c r="CJ82" s="1685" t="str">
        <f t="shared" si="150"/>
        <v/>
      </c>
      <c r="CK82" s="1686" t="str">
        <f t="shared" si="150"/>
        <v/>
      </c>
      <c r="CL82" s="1686" t="str">
        <f t="shared" si="150"/>
        <v/>
      </c>
      <c r="CM82" s="1686" t="str">
        <f t="shared" si="150"/>
        <v/>
      </c>
      <c r="CN82" s="1685" t="str">
        <f t="shared" si="150"/>
        <v/>
      </c>
      <c r="CO82" s="1685" t="str">
        <f t="shared" si="150"/>
        <v/>
      </c>
      <c r="CP82" s="1685" t="str">
        <f t="shared" si="150"/>
        <v/>
      </c>
      <c r="CQ82" s="1685" t="str">
        <f t="shared" si="150"/>
        <v/>
      </c>
      <c r="CR82" s="1685" t="str">
        <f t="shared" si="150"/>
        <v/>
      </c>
      <c r="CS82" s="1684" t="str">
        <f t="shared" si="150"/>
        <v/>
      </c>
      <c r="CT82" s="1687" t="str">
        <f t="shared" si="150"/>
        <v/>
      </c>
      <c r="CU82" s="1696" t="str">
        <f t="shared" si="87"/>
        <v/>
      </c>
      <c r="CV82" s="1697" t="str">
        <f t="shared" si="88"/>
        <v/>
      </c>
      <c r="CW82" s="1698" t="str">
        <f t="shared" si="89"/>
        <v/>
      </c>
      <c r="CX82" s="1698" t="str">
        <f t="shared" si="90"/>
        <v/>
      </c>
      <c r="CY82" s="1698" t="str">
        <f t="shared" si="91"/>
        <v/>
      </c>
      <c r="CZ82" s="1698" t="str">
        <f t="shared" si="92"/>
        <v/>
      </c>
      <c r="DA82" s="1698" t="str">
        <f t="shared" si="93"/>
        <v/>
      </c>
      <c r="DB82" s="1699" t="str">
        <f t="shared" si="94"/>
        <v/>
      </c>
      <c r="DC82" s="1699" t="str">
        <f t="shared" si="95"/>
        <v/>
      </c>
      <c r="DD82" s="1699" t="str">
        <f t="shared" si="96"/>
        <v/>
      </c>
      <c r="DE82" s="1698" t="str">
        <f t="shared" si="97"/>
        <v/>
      </c>
      <c r="DF82" s="1698" t="str">
        <f t="shared" si="98"/>
        <v/>
      </c>
      <c r="DG82" s="1698" t="str">
        <f t="shared" si="99"/>
        <v/>
      </c>
      <c r="DH82" s="1698" t="str">
        <f t="shared" si="100"/>
        <v/>
      </c>
      <c r="DI82" s="1698" t="str">
        <f t="shared" si="101"/>
        <v/>
      </c>
      <c r="DJ82" s="1697" t="str">
        <f t="shared" si="102"/>
        <v/>
      </c>
      <c r="DK82" s="1696" t="str">
        <f t="shared" si="103"/>
        <v/>
      </c>
      <c r="DL82" s="1750">
        <f t="shared" si="104"/>
        <v>0</v>
      </c>
      <c r="DM82" s="1386">
        <f t="shared" si="105"/>
        <v>0</v>
      </c>
      <c r="DN82" s="1386">
        <f t="shared" si="106"/>
        <v>0</v>
      </c>
      <c r="DO82" s="1386">
        <f t="shared" si="107"/>
        <v>0</v>
      </c>
      <c r="DP82" s="1769"/>
      <c r="DQ82" s="1492"/>
      <c r="DR82" s="1492"/>
      <c r="DS82" s="1770"/>
      <c r="DT82" s="1758"/>
      <c r="DU82" s="1707"/>
    </row>
    <row r="83" spans="1:125" ht="14" customHeight="1">
      <c r="A83" s="1771" t="s">
        <v>252</v>
      </c>
      <c r="B83" s="1354" t="str">
        <f t="shared" ref="B83:R83" si="155">IF(B77="","",(B77-B79-B82)*B78/B$7/365/$G$1)</f>
        <v/>
      </c>
      <c r="C83" s="1354" t="str">
        <f t="shared" si="155"/>
        <v/>
      </c>
      <c r="D83" s="1354" t="str">
        <f t="shared" si="155"/>
        <v/>
      </c>
      <c r="E83" s="1354" t="str">
        <f t="shared" si="155"/>
        <v/>
      </c>
      <c r="F83" s="1354" t="str">
        <f t="shared" si="155"/>
        <v/>
      </c>
      <c r="G83" s="1354" t="str">
        <f t="shared" si="155"/>
        <v/>
      </c>
      <c r="H83" s="1354" t="str">
        <f t="shared" si="155"/>
        <v/>
      </c>
      <c r="I83" s="1354" t="str">
        <f t="shared" si="155"/>
        <v/>
      </c>
      <c r="J83" s="1354" t="str">
        <f t="shared" si="155"/>
        <v/>
      </c>
      <c r="K83" s="1354" t="str">
        <f t="shared" si="155"/>
        <v/>
      </c>
      <c r="L83" s="1354" t="str">
        <f t="shared" si="155"/>
        <v/>
      </c>
      <c r="M83" s="1354" t="str">
        <f t="shared" si="155"/>
        <v/>
      </c>
      <c r="N83" s="1354" t="str">
        <f t="shared" si="155"/>
        <v/>
      </c>
      <c r="O83" s="1354" t="str">
        <f t="shared" si="155"/>
        <v/>
      </c>
      <c r="P83" s="1354" t="str">
        <f t="shared" si="155"/>
        <v/>
      </c>
      <c r="Q83" s="1354" t="str">
        <f t="shared" si="155"/>
        <v/>
      </c>
      <c r="R83" s="1354" t="str">
        <f t="shared" si="155"/>
        <v/>
      </c>
      <c r="S83" s="1772"/>
      <c r="T83" s="1354" t="str">
        <f t="shared" ref="T83:AJ83" si="156">IF(T77="","",(T77-T79-T82)*T78/T$7/365/$G$1)</f>
        <v/>
      </c>
      <c r="U83" s="1354" t="str">
        <f t="shared" si="156"/>
        <v/>
      </c>
      <c r="V83" s="1354" t="str">
        <f t="shared" si="156"/>
        <v/>
      </c>
      <c r="W83" s="1354" t="str">
        <f t="shared" si="156"/>
        <v/>
      </c>
      <c r="X83" s="1354" t="str">
        <f t="shared" si="156"/>
        <v/>
      </c>
      <c r="Y83" s="1354" t="str">
        <f t="shared" si="156"/>
        <v/>
      </c>
      <c r="Z83" s="1354" t="str">
        <f t="shared" si="156"/>
        <v/>
      </c>
      <c r="AA83" s="1354" t="str">
        <f t="shared" si="156"/>
        <v/>
      </c>
      <c r="AB83" s="1354" t="str">
        <f t="shared" si="156"/>
        <v/>
      </c>
      <c r="AC83" s="1354" t="str">
        <f t="shared" si="156"/>
        <v/>
      </c>
      <c r="AD83" s="1354" t="str">
        <f t="shared" si="156"/>
        <v/>
      </c>
      <c r="AE83" s="1354" t="str">
        <f t="shared" si="156"/>
        <v/>
      </c>
      <c r="AF83" s="1354" t="str">
        <f t="shared" si="156"/>
        <v/>
      </c>
      <c r="AG83" s="1354" t="str">
        <f t="shared" si="156"/>
        <v/>
      </c>
      <c r="AH83" s="1354" t="str">
        <f t="shared" si="156"/>
        <v/>
      </c>
      <c r="AI83" s="1354" t="str">
        <f t="shared" si="156"/>
        <v/>
      </c>
      <c r="AJ83" s="1354" t="str">
        <f t="shared" si="156"/>
        <v/>
      </c>
      <c r="AK83" s="1772"/>
      <c r="AL83" s="1354" t="str">
        <f t="shared" ref="AL83:BB83" si="157">IF(AL77="","",(AL77-AL79-AL82)*AL78/AL$7/365/$G$1)</f>
        <v/>
      </c>
      <c r="AM83" s="1354" t="str">
        <f t="shared" si="157"/>
        <v/>
      </c>
      <c r="AN83" s="1354" t="str">
        <f t="shared" si="157"/>
        <v/>
      </c>
      <c r="AO83" s="1354" t="str">
        <f t="shared" si="157"/>
        <v/>
      </c>
      <c r="AP83" s="1354" t="str">
        <f t="shared" si="157"/>
        <v/>
      </c>
      <c r="AQ83" s="1354" t="str">
        <f t="shared" si="157"/>
        <v/>
      </c>
      <c r="AR83" s="1354" t="str">
        <f t="shared" si="157"/>
        <v/>
      </c>
      <c r="AS83" s="1354" t="str">
        <f t="shared" si="157"/>
        <v/>
      </c>
      <c r="AT83" s="1354" t="str">
        <f t="shared" si="157"/>
        <v/>
      </c>
      <c r="AU83" s="1354" t="str">
        <f t="shared" si="157"/>
        <v/>
      </c>
      <c r="AV83" s="1354" t="str">
        <f t="shared" si="157"/>
        <v/>
      </c>
      <c r="AW83" s="1354" t="str">
        <f t="shared" si="157"/>
        <v/>
      </c>
      <c r="AX83" s="1354" t="str">
        <f t="shared" si="157"/>
        <v/>
      </c>
      <c r="AY83" s="1354" t="str">
        <f t="shared" si="157"/>
        <v/>
      </c>
      <c r="AZ83" s="1354" t="str">
        <f t="shared" si="157"/>
        <v/>
      </c>
      <c r="BA83" s="1354" t="str">
        <f t="shared" si="157"/>
        <v/>
      </c>
      <c r="BB83" s="1354" t="str">
        <f t="shared" si="157"/>
        <v/>
      </c>
      <c r="BC83" s="1772"/>
      <c r="BD83" s="1354" t="str">
        <f t="shared" ref="BD83:BT83" si="158">IF(BD77="","",(BD77-BD79-BD82)*BD78/BD$7/365/$G$1)</f>
        <v/>
      </c>
      <c r="BE83" s="1354" t="str">
        <f t="shared" si="158"/>
        <v/>
      </c>
      <c r="BF83" s="1354" t="str">
        <f t="shared" si="158"/>
        <v/>
      </c>
      <c r="BG83" s="1354" t="str">
        <f t="shared" si="158"/>
        <v/>
      </c>
      <c r="BH83" s="1354" t="str">
        <f t="shared" si="158"/>
        <v/>
      </c>
      <c r="BI83" s="1354" t="str">
        <f t="shared" si="158"/>
        <v/>
      </c>
      <c r="BJ83" s="1354" t="str">
        <f t="shared" si="158"/>
        <v/>
      </c>
      <c r="BK83" s="1354" t="str">
        <f t="shared" si="158"/>
        <v/>
      </c>
      <c r="BL83" s="1354" t="str">
        <f t="shared" si="158"/>
        <v/>
      </c>
      <c r="BM83" s="1354" t="str">
        <f t="shared" si="158"/>
        <v/>
      </c>
      <c r="BN83" s="1354" t="str">
        <f t="shared" si="158"/>
        <v/>
      </c>
      <c r="BO83" s="1354" t="str">
        <f t="shared" si="158"/>
        <v/>
      </c>
      <c r="BP83" s="1354" t="str">
        <f t="shared" si="158"/>
        <v/>
      </c>
      <c r="BQ83" s="1354" t="str">
        <f t="shared" si="158"/>
        <v/>
      </c>
      <c r="BR83" s="1354" t="str">
        <f t="shared" si="158"/>
        <v/>
      </c>
      <c r="BS83" s="1354" t="str">
        <f t="shared" si="158"/>
        <v/>
      </c>
      <c r="BT83" s="1354" t="str">
        <f t="shared" si="158"/>
        <v/>
      </c>
      <c r="BU83" s="1772"/>
      <c r="BV83" s="1354" t="str">
        <f>IF(BV77="","",(BV77-BV79-BV82)*BV78/BV$7/365/$G$1)</f>
        <v/>
      </c>
      <c r="BW83" s="1354" t="str">
        <f>IF(BW77="","",(BW77-BW79-BW82)*BW78/BW$7/365/$G$1)</f>
        <v/>
      </c>
      <c r="BX83" s="1354" t="str">
        <f>IF(BX77="","",(BX77-BX79-BX82)*BX78/BX$7/365/$G$1)</f>
        <v/>
      </c>
      <c r="BY83" s="1354" t="str">
        <f>IF(BY77="","",(BY77-BY79-BY82)*BY78/BY$7/365/$G$1)</f>
        <v/>
      </c>
      <c r="BZ83" s="1773" t="str">
        <f t="shared" si="81"/>
        <v/>
      </c>
      <c r="CA83" s="1773" t="str">
        <f t="shared" si="82"/>
        <v/>
      </c>
      <c r="CB83" s="1773" t="str">
        <f t="shared" si="83"/>
        <v/>
      </c>
      <c r="CC83" s="1774" t="str">
        <f t="shared" si="84"/>
        <v/>
      </c>
      <c r="CD83" s="1700" t="str">
        <f t="shared" si="150"/>
        <v/>
      </c>
      <c r="CE83" s="1701" t="str">
        <f t="shared" si="150"/>
        <v/>
      </c>
      <c r="CF83" s="1702" t="str">
        <f t="shared" si="150"/>
        <v/>
      </c>
      <c r="CG83" s="1702" t="str">
        <f t="shared" si="150"/>
        <v/>
      </c>
      <c r="CH83" s="1702" t="str">
        <f t="shared" si="150"/>
        <v/>
      </c>
      <c r="CI83" s="1702" t="str">
        <f t="shared" si="150"/>
        <v/>
      </c>
      <c r="CJ83" s="1702" t="str">
        <f t="shared" si="150"/>
        <v/>
      </c>
      <c r="CK83" s="1703" t="str">
        <f t="shared" si="150"/>
        <v/>
      </c>
      <c r="CL83" s="1703" t="str">
        <f t="shared" si="150"/>
        <v/>
      </c>
      <c r="CM83" s="1703" t="str">
        <f t="shared" si="150"/>
        <v/>
      </c>
      <c r="CN83" s="1702" t="str">
        <f t="shared" si="150"/>
        <v/>
      </c>
      <c r="CO83" s="1702" t="str">
        <f t="shared" si="150"/>
        <v/>
      </c>
      <c r="CP83" s="1702" t="str">
        <f t="shared" si="150"/>
        <v/>
      </c>
      <c r="CQ83" s="1702" t="str">
        <f t="shared" si="150"/>
        <v/>
      </c>
      <c r="CR83" s="1702" t="str">
        <f t="shared" si="150"/>
        <v/>
      </c>
      <c r="CS83" s="1701" t="str">
        <f t="shared" si="150"/>
        <v/>
      </c>
      <c r="CT83" s="1704" t="str">
        <f t="shared" si="150"/>
        <v/>
      </c>
      <c r="CU83" s="1705" t="str">
        <f t="shared" si="87"/>
        <v/>
      </c>
      <c r="CV83" s="1701" t="str">
        <f t="shared" si="88"/>
        <v/>
      </c>
      <c r="CW83" s="1702" t="str">
        <f t="shared" si="89"/>
        <v/>
      </c>
      <c r="CX83" s="1702" t="str">
        <f t="shared" si="90"/>
        <v/>
      </c>
      <c r="CY83" s="1702" t="str">
        <f t="shared" si="91"/>
        <v/>
      </c>
      <c r="CZ83" s="1702" t="str">
        <f t="shared" si="92"/>
        <v/>
      </c>
      <c r="DA83" s="1702" t="str">
        <f t="shared" si="93"/>
        <v/>
      </c>
      <c r="DB83" s="1703" t="str">
        <f t="shared" si="94"/>
        <v/>
      </c>
      <c r="DC83" s="1703" t="str">
        <f t="shared" si="95"/>
        <v/>
      </c>
      <c r="DD83" s="1703" t="str">
        <f t="shared" si="96"/>
        <v/>
      </c>
      <c r="DE83" s="1702" t="str">
        <f t="shared" si="97"/>
        <v/>
      </c>
      <c r="DF83" s="1702" t="str">
        <f t="shared" si="98"/>
        <v/>
      </c>
      <c r="DG83" s="1702" t="str">
        <f t="shared" si="99"/>
        <v/>
      </c>
      <c r="DH83" s="1702" t="str">
        <f t="shared" si="100"/>
        <v/>
      </c>
      <c r="DI83" s="1702" t="str">
        <f t="shared" si="101"/>
        <v/>
      </c>
      <c r="DJ83" s="1701" t="str">
        <f t="shared" si="102"/>
        <v/>
      </c>
      <c r="DK83" s="1705" t="str">
        <f t="shared" si="103"/>
        <v/>
      </c>
      <c r="DL83" s="1750">
        <f t="shared" si="104"/>
        <v>0</v>
      </c>
      <c r="DM83" s="1386">
        <f t="shared" si="105"/>
        <v>0</v>
      </c>
      <c r="DN83" s="1386">
        <f t="shared" si="106"/>
        <v>0</v>
      </c>
      <c r="DO83" s="1386">
        <f t="shared" si="107"/>
        <v>0</v>
      </c>
      <c r="DP83" s="1775" t="str">
        <f>IF(DP77="","",(DP77+SUM(BV77)*(DP77="")-SUM(DP79)-DP82-SUM(BV82)*(DP82=""))*BV78/DP$7/365/$G$1)</f>
        <v/>
      </c>
      <c r="DQ83" s="1354" t="str">
        <f>IF(DQ77="","",(DQ77+SUM(BW77)*(DQ77="")-SUM(DQ79)-DQ82-SUM(BW82)*(DQ82=""))*BW78/DQ$7/365/$G$1)</f>
        <v/>
      </c>
      <c r="DR83" s="1354" t="str">
        <f>IF(DR77="","",(DR77+SUM(BX77)*(DR77="")-SUM(DR79)-DR82-SUM(BX82)*(DR82=""))*BX78/DR$7/365/$G$1)</f>
        <v/>
      </c>
      <c r="DS83" s="1776" t="str">
        <f>IF(DS77="","",(DS77+SUM(BY77)*(DS77="")-SUM(DS79)-DS82-SUM(BY82)*(DS82=""))*BY78/DS$7/365/$G$1)</f>
        <v/>
      </c>
      <c r="DT83" s="1758"/>
      <c r="DU83" s="1707"/>
    </row>
    <row r="84" spans="1:125" ht="14" customHeight="1">
      <c r="A84" s="1377" t="s">
        <v>500</v>
      </c>
      <c r="B84" s="1779">
        <f t="shared" ref="B84:R84" si="159">SUM(B53,B60,B67,B74,B81)</f>
        <v>0</v>
      </c>
      <c r="C84" s="1779">
        <f t="shared" si="159"/>
        <v>0</v>
      </c>
      <c r="D84" s="1779">
        <f t="shared" si="159"/>
        <v>0</v>
      </c>
      <c r="E84" s="1779">
        <f t="shared" si="159"/>
        <v>0</v>
      </c>
      <c r="F84" s="1779">
        <f t="shared" si="159"/>
        <v>0</v>
      </c>
      <c r="G84" s="1779">
        <f t="shared" si="159"/>
        <v>0</v>
      </c>
      <c r="H84" s="1779">
        <f t="shared" si="159"/>
        <v>0</v>
      </c>
      <c r="I84" s="1779">
        <f t="shared" si="159"/>
        <v>0</v>
      </c>
      <c r="J84" s="1779">
        <f t="shared" si="159"/>
        <v>0</v>
      </c>
      <c r="K84" s="1779">
        <f t="shared" si="159"/>
        <v>0</v>
      </c>
      <c r="L84" s="1779">
        <f t="shared" si="159"/>
        <v>0</v>
      </c>
      <c r="M84" s="1779">
        <f t="shared" si="159"/>
        <v>0</v>
      </c>
      <c r="N84" s="1779">
        <f t="shared" si="159"/>
        <v>0</v>
      </c>
      <c r="O84" s="1779">
        <f t="shared" si="159"/>
        <v>0</v>
      </c>
      <c r="P84" s="1779">
        <f t="shared" si="159"/>
        <v>0</v>
      </c>
      <c r="Q84" s="1779">
        <f t="shared" si="159"/>
        <v>0</v>
      </c>
      <c r="R84" s="1779">
        <f t="shared" si="159"/>
        <v>0</v>
      </c>
      <c r="S84" s="1780"/>
      <c r="T84" s="1779">
        <f t="shared" ref="T84:AJ84" si="160">SUM(T53,T60,T67,T74,T81)</f>
        <v>0</v>
      </c>
      <c r="U84" s="1779">
        <f t="shared" si="160"/>
        <v>960</v>
      </c>
      <c r="V84" s="1779">
        <f t="shared" si="160"/>
        <v>0</v>
      </c>
      <c r="W84" s="1779">
        <f t="shared" si="160"/>
        <v>0</v>
      </c>
      <c r="X84" s="1779">
        <f t="shared" si="160"/>
        <v>0</v>
      </c>
      <c r="Y84" s="1779">
        <f t="shared" si="160"/>
        <v>0</v>
      </c>
      <c r="Z84" s="1779">
        <f t="shared" si="160"/>
        <v>0</v>
      </c>
      <c r="AA84" s="1779">
        <f t="shared" si="160"/>
        <v>0</v>
      </c>
      <c r="AB84" s="1779">
        <f t="shared" si="160"/>
        <v>0</v>
      </c>
      <c r="AC84" s="1779">
        <f t="shared" si="160"/>
        <v>0</v>
      </c>
      <c r="AD84" s="1779">
        <f t="shared" si="160"/>
        <v>0</v>
      </c>
      <c r="AE84" s="1779">
        <f t="shared" si="160"/>
        <v>0</v>
      </c>
      <c r="AF84" s="1779">
        <f t="shared" si="160"/>
        <v>0</v>
      </c>
      <c r="AG84" s="1779">
        <f t="shared" si="160"/>
        <v>0</v>
      </c>
      <c r="AH84" s="1779">
        <f t="shared" si="160"/>
        <v>0</v>
      </c>
      <c r="AI84" s="1779">
        <f t="shared" si="160"/>
        <v>0</v>
      </c>
      <c r="AJ84" s="1779">
        <f t="shared" si="160"/>
        <v>0</v>
      </c>
      <c r="AK84" s="1780"/>
      <c r="AL84" s="1779">
        <f t="shared" ref="AL84:BB84" si="161">SUM(AL53,AL60,AL67,AL74,AL81)</f>
        <v>0</v>
      </c>
      <c r="AM84" s="1779">
        <f t="shared" si="161"/>
        <v>0</v>
      </c>
      <c r="AN84" s="1779">
        <f t="shared" si="161"/>
        <v>0</v>
      </c>
      <c r="AO84" s="1779">
        <f t="shared" si="161"/>
        <v>0</v>
      </c>
      <c r="AP84" s="1779">
        <f t="shared" si="161"/>
        <v>0</v>
      </c>
      <c r="AQ84" s="1779">
        <f t="shared" si="161"/>
        <v>0</v>
      </c>
      <c r="AR84" s="1779">
        <f t="shared" si="161"/>
        <v>0</v>
      </c>
      <c r="AS84" s="1779">
        <f t="shared" si="161"/>
        <v>0</v>
      </c>
      <c r="AT84" s="1779">
        <f t="shared" si="161"/>
        <v>0</v>
      </c>
      <c r="AU84" s="1779">
        <f t="shared" si="161"/>
        <v>0</v>
      </c>
      <c r="AV84" s="1779">
        <f t="shared" si="161"/>
        <v>0</v>
      </c>
      <c r="AW84" s="1779">
        <f t="shared" si="161"/>
        <v>0</v>
      </c>
      <c r="AX84" s="1779">
        <f t="shared" si="161"/>
        <v>0</v>
      </c>
      <c r="AY84" s="1779">
        <f t="shared" si="161"/>
        <v>0</v>
      </c>
      <c r="AZ84" s="1779">
        <f t="shared" si="161"/>
        <v>0</v>
      </c>
      <c r="BA84" s="1779">
        <f t="shared" si="161"/>
        <v>0</v>
      </c>
      <c r="BB84" s="1779">
        <f t="shared" si="161"/>
        <v>0</v>
      </c>
      <c r="BC84" s="1780"/>
      <c r="BD84" s="1779">
        <f t="shared" ref="BD84:BT84" si="162">SUM(BD53,BD60,BD67,BD74,BD81)</f>
        <v>0</v>
      </c>
      <c r="BE84" s="1779">
        <f t="shared" si="162"/>
        <v>2000</v>
      </c>
      <c r="BF84" s="1779">
        <f t="shared" si="162"/>
        <v>0</v>
      </c>
      <c r="BG84" s="1779">
        <f t="shared" si="162"/>
        <v>101.25</v>
      </c>
      <c r="BH84" s="1779">
        <f t="shared" si="162"/>
        <v>0</v>
      </c>
      <c r="BI84" s="1779">
        <f t="shared" si="162"/>
        <v>0</v>
      </c>
      <c r="BJ84" s="1779">
        <f t="shared" si="162"/>
        <v>0</v>
      </c>
      <c r="BK84" s="1779">
        <f t="shared" si="162"/>
        <v>0</v>
      </c>
      <c r="BL84" s="1779">
        <f t="shared" si="162"/>
        <v>0</v>
      </c>
      <c r="BM84" s="1779">
        <f t="shared" si="162"/>
        <v>0</v>
      </c>
      <c r="BN84" s="1779">
        <f t="shared" si="162"/>
        <v>0</v>
      </c>
      <c r="BO84" s="1779">
        <f t="shared" si="162"/>
        <v>0</v>
      </c>
      <c r="BP84" s="1779">
        <f t="shared" si="162"/>
        <v>0</v>
      </c>
      <c r="BQ84" s="1779">
        <f t="shared" si="162"/>
        <v>0</v>
      </c>
      <c r="BR84" s="1779">
        <f t="shared" si="162"/>
        <v>0</v>
      </c>
      <c r="BS84" s="1779">
        <f t="shared" si="162"/>
        <v>0</v>
      </c>
      <c r="BT84" s="1779">
        <f t="shared" si="162"/>
        <v>0</v>
      </c>
      <c r="BU84" s="1780"/>
      <c r="BV84" s="1779">
        <f>SUM(BV53,BV60,BV67,BV74,BV81)</f>
        <v>0</v>
      </c>
      <c r="BW84" s="1779">
        <f>SUM(BW53,BW60,BW67,BW74,BW81)</f>
        <v>0</v>
      </c>
      <c r="BX84" s="1779">
        <f>SUM(BX53,BX60,BX67,BX74,BX81)</f>
        <v>0</v>
      </c>
      <c r="BY84" s="1779">
        <f>SUM(BY53,BY60,BY67,BY74,BY81)</f>
        <v>0</v>
      </c>
      <c r="BZ84" s="1748">
        <f t="shared" si="81"/>
        <v>0</v>
      </c>
      <c r="CA84" s="1748">
        <f t="shared" si="82"/>
        <v>0</v>
      </c>
      <c r="CB84" s="1748">
        <f t="shared" si="83"/>
        <v>0</v>
      </c>
      <c r="CC84" s="1749">
        <f t="shared" si="84"/>
        <v>6.75</v>
      </c>
      <c r="CD84" s="1683">
        <f t="shared" si="150"/>
        <v>0</v>
      </c>
      <c r="CE84" s="1684">
        <f t="shared" si="150"/>
        <v>0</v>
      </c>
      <c r="CF84" s="1685">
        <f t="shared" si="150"/>
        <v>0</v>
      </c>
      <c r="CG84" s="1685">
        <f t="shared" si="150"/>
        <v>0</v>
      </c>
      <c r="CH84" s="1685">
        <f t="shared" si="150"/>
        <v>0</v>
      </c>
      <c r="CI84" s="1685">
        <f t="shared" si="150"/>
        <v>0</v>
      </c>
      <c r="CJ84" s="1685">
        <f t="shared" si="150"/>
        <v>0</v>
      </c>
      <c r="CK84" s="1686">
        <f t="shared" si="150"/>
        <v>0</v>
      </c>
      <c r="CL84" s="1686">
        <f t="shared" si="150"/>
        <v>0</v>
      </c>
      <c r="CM84" s="1686">
        <f t="shared" si="150"/>
        <v>0</v>
      </c>
      <c r="CN84" s="1685">
        <f t="shared" si="150"/>
        <v>0</v>
      </c>
      <c r="CO84" s="1685">
        <f t="shared" si="150"/>
        <v>0</v>
      </c>
      <c r="CP84" s="1685">
        <f t="shared" si="150"/>
        <v>0</v>
      </c>
      <c r="CQ84" s="1685">
        <f t="shared" si="150"/>
        <v>0</v>
      </c>
      <c r="CR84" s="1685">
        <f t="shared" si="150"/>
        <v>0</v>
      </c>
      <c r="CS84" s="1684">
        <f t="shared" si="150"/>
        <v>101.25</v>
      </c>
      <c r="CT84" s="1687">
        <f t="shared" si="150"/>
        <v>2000</v>
      </c>
      <c r="CU84" s="1696">
        <f t="shared" si="87"/>
        <v>0</v>
      </c>
      <c r="CV84" s="1697">
        <f t="shared" si="88"/>
        <v>0</v>
      </c>
      <c r="CW84" s="1698">
        <f t="shared" si="89"/>
        <v>0</v>
      </c>
      <c r="CX84" s="1698">
        <f t="shared" si="90"/>
        <v>0</v>
      </c>
      <c r="CY84" s="1698">
        <f t="shared" si="91"/>
        <v>0</v>
      </c>
      <c r="CZ84" s="1698">
        <f t="shared" si="92"/>
        <v>0</v>
      </c>
      <c r="DA84" s="1698">
        <f t="shared" si="93"/>
        <v>0</v>
      </c>
      <c r="DB84" s="1699">
        <f t="shared" si="94"/>
        <v>0</v>
      </c>
      <c r="DC84" s="1699">
        <f t="shared" si="95"/>
        <v>0</v>
      </c>
      <c r="DD84" s="1699">
        <f t="shared" si="96"/>
        <v>0</v>
      </c>
      <c r="DE84" s="1698">
        <f t="shared" si="97"/>
        <v>0</v>
      </c>
      <c r="DF84" s="1698">
        <f t="shared" si="98"/>
        <v>0</v>
      </c>
      <c r="DG84" s="1698">
        <f t="shared" si="99"/>
        <v>0</v>
      </c>
      <c r="DH84" s="1698">
        <f t="shared" si="100"/>
        <v>0</v>
      </c>
      <c r="DI84" s="1698">
        <f t="shared" si="101"/>
        <v>0</v>
      </c>
      <c r="DJ84" s="1697">
        <f t="shared" si="102"/>
        <v>101.25</v>
      </c>
      <c r="DK84" s="1696">
        <f t="shared" si="103"/>
        <v>2000</v>
      </c>
      <c r="DL84" s="1750">
        <f t="shared" si="104"/>
        <v>17</v>
      </c>
      <c r="DM84" s="1386">
        <f t="shared" si="105"/>
        <v>17</v>
      </c>
      <c r="DN84" s="1386">
        <f t="shared" si="106"/>
        <v>17</v>
      </c>
      <c r="DO84" s="1386">
        <f t="shared" si="107"/>
        <v>17</v>
      </c>
      <c r="DP84" s="1781">
        <f>SUM(DP53,DP60,DP67,DP74,DP81)</f>
        <v>0</v>
      </c>
      <c r="DQ84" s="1779">
        <f>SUM(DQ53,DQ60,DQ67,DQ74,DQ81)</f>
        <v>0</v>
      </c>
      <c r="DR84" s="1779">
        <f>SUM(DR53,DR60,DR67,DR74,DR81)</f>
        <v>0</v>
      </c>
      <c r="DS84" s="1782">
        <f>SUM(DS53,DS60,DS67,DS74,DS81)</f>
        <v>0</v>
      </c>
      <c r="DT84" s="1758"/>
      <c r="DU84" s="1707"/>
    </row>
    <row r="85" spans="1:125" ht="14" customHeight="1">
      <c r="A85" s="1377" t="s">
        <v>501</v>
      </c>
      <c r="B85" s="1783">
        <f t="shared" ref="B85:R85" si="163">SUM(B55,B62,B69,B76,B83)</f>
        <v>0</v>
      </c>
      <c r="C85" s="1783">
        <f t="shared" si="163"/>
        <v>0</v>
      </c>
      <c r="D85" s="1783">
        <f t="shared" si="163"/>
        <v>0</v>
      </c>
      <c r="E85" s="1783">
        <f t="shared" si="163"/>
        <v>0</v>
      </c>
      <c r="F85" s="1783">
        <f t="shared" si="163"/>
        <v>0</v>
      </c>
      <c r="G85" s="1783">
        <f t="shared" si="163"/>
        <v>0</v>
      </c>
      <c r="H85" s="1783">
        <f t="shared" si="163"/>
        <v>0</v>
      </c>
      <c r="I85" s="1783">
        <f t="shared" si="163"/>
        <v>0</v>
      </c>
      <c r="J85" s="1783">
        <f t="shared" si="163"/>
        <v>0</v>
      </c>
      <c r="K85" s="1783">
        <f t="shared" si="163"/>
        <v>0</v>
      </c>
      <c r="L85" s="1783">
        <f t="shared" si="163"/>
        <v>0</v>
      </c>
      <c r="M85" s="1783">
        <f t="shared" si="163"/>
        <v>0</v>
      </c>
      <c r="N85" s="1783">
        <f t="shared" si="163"/>
        <v>0</v>
      </c>
      <c r="O85" s="1783">
        <f t="shared" si="163"/>
        <v>0</v>
      </c>
      <c r="P85" s="1783">
        <f t="shared" si="163"/>
        <v>0</v>
      </c>
      <c r="Q85" s="1783">
        <f t="shared" si="163"/>
        <v>0</v>
      </c>
      <c r="R85" s="1783">
        <f t="shared" si="163"/>
        <v>0</v>
      </c>
      <c r="S85" s="1784"/>
      <c r="T85" s="1783">
        <f t="shared" ref="T85:AJ85" si="164">SUM(T55,T62,T69,T76,T83)</f>
        <v>2.3704856787048569E-2</v>
      </c>
      <c r="U85" s="1783">
        <f t="shared" si="164"/>
        <v>1.6982572495997154E-2</v>
      </c>
      <c r="V85" s="1783">
        <f t="shared" si="164"/>
        <v>0</v>
      </c>
      <c r="W85" s="1783">
        <f t="shared" si="164"/>
        <v>0</v>
      </c>
      <c r="X85" s="1783">
        <f t="shared" si="164"/>
        <v>0</v>
      </c>
      <c r="Y85" s="1783">
        <f t="shared" si="164"/>
        <v>0</v>
      </c>
      <c r="Z85" s="1783">
        <f t="shared" si="164"/>
        <v>0</v>
      </c>
      <c r="AA85" s="1783">
        <f t="shared" si="164"/>
        <v>0</v>
      </c>
      <c r="AB85" s="1783">
        <f t="shared" si="164"/>
        <v>0</v>
      </c>
      <c r="AC85" s="1783">
        <f t="shared" si="164"/>
        <v>0</v>
      </c>
      <c r="AD85" s="1783">
        <f t="shared" si="164"/>
        <v>0</v>
      </c>
      <c r="AE85" s="1783">
        <f t="shared" si="164"/>
        <v>0</v>
      </c>
      <c r="AF85" s="1783">
        <f t="shared" si="164"/>
        <v>0</v>
      </c>
      <c r="AG85" s="1783">
        <f t="shared" si="164"/>
        <v>0</v>
      </c>
      <c r="AH85" s="1783">
        <f t="shared" si="164"/>
        <v>0</v>
      </c>
      <c r="AI85" s="1783">
        <f t="shared" si="164"/>
        <v>0</v>
      </c>
      <c r="AJ85" s="1783">
        <f t="shared" si="164"/>
        <v>0</v>
      </c>
      <c r="AK85" s="1784"/>
      <c r="AL85" s="1783">
        <f t="shared" ref="AL85:BB85" si="165">SUM(AL55,AL62,AL69,AL76,AL83)</f>
        <v>0</v>
      </c>
      <c r="AM85" s="1783">
        <f t="shared" si="165"/>
        <v>0</v>
      </c>
      <c r="AN85" s="1783">
        <f t="shared" si="165"/>
        <v>0</v>
      </c>
      <c r="AO85" s="1783">
        <f t="shared" si="165"/>
        <v>5.1124651307596514E-3</v>
      </c>
      <c r="AP85" s="1783">
        <f t="shared" si="165"/>
        <v>0</v>
      </c>
      <c r="AQ85" s="1783">
        <f t="shared" si="165"/>
        <v>0</v>
      </c>
      <c r="AR85" s="1783">
        <f t="shared" si="165"/>
        <v>0</v>
      </c>
      <c r="AS85" s="1783">
        <f t="shared" si="165"/>
        <v>0</v>
      </c>
      <c r="AT85" s="1783">
        <f t="shared" si="165"/>
        <v>0</v>
      </c>
      <c r="AU85" s="1783">
        <f t="shared" si="165"/>
        <v>0</v>
      </c>
      <c r="AV85" s="1783">
        <f t="shared" si="165"/>
        <v>0</v>
      </c>
      <c r="AW85" s="1783">
        <f t="shared" si="165"/>
        <v>0</v>
      </c>
      <c r="AX85" s="1783">
        <f t="shared" si="165"/>
        <v>0</v>
      </c>
      <c r="AY85" s="1783">
        <f t="shared" si="165"/>
        <v>0</v>
      </c>
      <c r="AZ85" s="1783">
        <f t="shared" si="165"/>
        <v>0</v>
      </c>
      <c r="BA85" s="1783">
        <f t="shared" si="165"/>
        <v>0</v>
      </c>
      <c r="BB85" s="1783">
        <f t="shared" si="165"/>
        <v>0</v>
      </c>
      <c r="BC85" s="1784"/>
      <c r="BD85" s="1783">
        <f t="shared" ref="BD85:BT85" si="166">SUM(BD55,BD62,BD69,BD76,BD83)</f>
        <v>0</v>
      </c>
      <c r="BE85" s="1783">
        <f t="shared" si="166"/>
        <v>1.5478907222914073E-2</v>
      </c>
      <c r="BF85" s="1783">
        <f t="shared" si="166"/>
        <v>0</v>
      </c>
      <c r="BG85" s="1783">
        <f t="shared" si="166"/>
        <v>1.3941553993951254E-2</v>
      </c>
      <c r="BH85" s="1783">
        <f t="shared" si="166"/>
        <v>1.9155439827918033E-2</v>
      </c>
      <c r="BI85" s="1783">
        <f t="shared" si="166"/>
        <v>0</v>
      </c>
      <c r="BJ85" s="1783">
        <f t="shared" si="166"/>
        <v>1.316936488169365E-2</v>
      </c>
      <c r="BK85" s="1783">
        <f t="shared" si="166"/>
        <v>0</v>
      </c>
      <c r="BL85" s="1783">
        <f t="shared" si="166"/>
        <v>0</v>
      </c>
      <c r="BM85" s="1783">
        <f t="shared" si="166"/>
        <v>1.1288027041451697E-2</v>
      </c>
      <c r="BN85" s="1783">
        <f t="shared" si="166"/>
        <v>0</v>
      </c>
      <c r="BO85" s="1783">
        <f t="shared" si="166"/>
        <v>0</v>
      </c>
      <c r="BP85" s="1783">
        <f t="shared" si="166"/>
        <v>0</v>
      </c>
      <c r="BQ85" s="1783">
        <f t="shared" si="166"/>
        <v>0</v>
      </c>
      <c r="BR85" s="1783">
        <f t="shared" si="166"/>
        <v>0</v>
      </c>
      <c r="BS85" s="1783">
        <f t="shared" si="166"/>
        <v>0</v>
      </c>
      <c r="BT85" s="1783">
        <f t="shared" si="166"/>
        <v>0</v>
      </c>
      <c r="BU85" s="1784"/>
      <c r="BV85" s="1783">
        <f>SUM(BV55,BV62,BV69,BV76,BV83)</f>
        <v>0</v>
      </c>
      <c r="BW85" s="1783">
        <f>SUM(BW55,BW62,BW69,BW76,BW83)</f>
        <v>0</v>
      </c>
      <c r="BX85" s="1783">
        <f>SUM(BX55,BX62,BX69,BX76,BX83)</f>
        <v>0</v>
      </c>
      <c r="BY85" s="1783">
        <f>SUM(BY55,BY62,BY69,BY76,BY83)</f>
        <v>1.1706102117061022E-2</v>
      </c>
      <c r="BZ85" s="1773">
        <f t="shared" si="81"/>
        <v>0</v>
      </c>
      <c r="CA85" s="1773">
        <f t="shared" si="82"/>
        <v>1.1321714997331437E-3</v>
      </c>
      <c r="CB85" s="1773">
        <f t="shared" si="83"/>
        <v>0</v>
      </c>
      <c r="CC85" s="1774">
        <f t="shared" si="84"/>
        <v>3.5918568760007117E-3</v>
      </c>
      <c r="CD85" s="170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01">
        <f t="shared" si="167"/>
        <v>0</v>
      </c>
      <c r="CF85" s="1702">
        <f t="shared" si="167"/>
        <v>0</v>
      </c>
      <c r="CG85" s="1702">
        <f t="shared" si="167"/>
        <v>0</v>
      </c>
      <c r="CH85" s="1702">
        <f t="shared" si="167"/>
        <v>0</v>
      </c>
      <c r="CI85" s="1702">
        <f t="shared" si="167"/>
        <v>0</v>
      </c>
      <c r="CJ85" s="1702">
        <f t="shared" si="167"/>
        <v>0</v>
      </c>
      <c r="CK85" s="1703">
        <f t="shared" si="167"/>
        <v>0</v>
      </c>
      <c r="CL85" s="1703">
        <f t="shared" si="167"/>
        <v>0</v>
      </c>
      <c r="CM85" s="1703">
        <f t="shared" si="167"/>
        <v>0</v>
      </c>
      <c r="CN85" s="1702">
        <f t="shared" si="167"/>
        <v>0</v>
      </c>
      <c r="CO85" s="1702">
        <f t="shared" si="167"/>
        <v>0</v>
      </c>
      <c r="CP85" s="1702">
        <f t="shared" si="167"/>
        <v>1.1288027041451697E-2</v>
      </c>
      <c r="CQ85" s="1702">
        <f t="shared" si="167"/>
        <v>1.316936488169365E-2</v>
      </c>
      <c r="CR85" s="1702">
        <f t="shared" si="167"/>
        <v>1.3941553993951254E-2</v>
      </c>
      <c r="CS85" s="1701">
        <f t="shared" si="167"/>
        <v>1.5478907222914073E-2</v>
      </c>
      <c r="CT85" s="1704">
        <f t="shared" si="167"/>
        <v>1.9155439827918033E-2</v>
      </c>
      <c r="CU85" s="1705">
        <f t="shared" si="87"/>
        <v>0</v>
      </c>
      <c r="CV85" s="1701">
        <f t="shared" si="88"/>
        <v>0</v>
      </c>
      <c r="CW85" s="1702">
        <f t="shared" si="89"/>
        <v>0</v>
      </c>
      <c r="CX85" s="1702">
        <f t="shared" si="90"/>
        <v>0</v>
      </c>
      <c r="CY85" s="1702">
        <f t="shared" si="91"/>
        <v>0</v>
      </c>
      <c r="CZ85" s="1702">
        <f t="shared" si="92"/>
        <v>0</v>
      </c>
      <c r="DA85" s="1702">
        <f t="shared" si="93"/>
        <v>0</v>
      </c>
      <c r="DB85" s="1703">
        <f t="shared" si="94"/>
        <v>0</v>
      </c>
      <c r="DC85" s="1703">
        <f t="shared" si="95"/>
        <v>0</v>
      </c>
      <c r="DD85" s="1703">
        <f t="shared" si="96"/>
        <v>0</v>
      </c>
      <c r="DE85" s="1702">
        <f t="shared" si="97"/>
        <v>0</v>
      </c>
      <c r="DF85" s="1702">
        <f t="shared" si="98"/>
        <v>0</v>
      </c>
      <c r="DG85" s="1702">
        <f t="shared" si="99"/>
        <v>1.1288027041451697E-2</v>
      </c>
      <c r="DH85" s="1702">
        <f t="shared" si="100"/>
        <v>1.316936488169365E-2</v>
      </c>
      <c r="DI85" s="1702">
        <f t="shared" si="101"/>
        <v>1.3941553993951254E-2</v>
      </c>
      <c r="DJ85" s="1701">
        <f t="shared" si="102"/>
        <v>1.5478907222914073E-2</v>
      </c>
      <c r="DK85" s="1705">
        <f t="shared" si="103"/>
        <v>1.9155439827918033E-2</v>
      </c>
      <c r="DL85" s="1750">
        <f t="shared" si="104"/>
        <v>17</v>
      </c>
      <c r="DM85" s="1386">
        <f t="shared" si="105"/>
        <v>17</v>
      </c>
      <c r="DN85" s="1386">
        <f t="shared" si="106"/>
        <v>17</v>
      </c>
      <c r="DO85" s="1386">
        <f t="shared" si="107"/>
        <v>17</v>
      </c>
      <c r="DP85" s="1785">
        <f>SUM(DP55,DP62,DP69,DP76,DP83)</f>
        <v>0</v>
      </c>
      <c r="DQ85" s="1783">
        <f>SUM(DQ55,DQ62,DQ69,DQ76,DQ83)</f>
        <v>0</v>
      </c>
      <c r="DR85" s="1783">
        <f>SUM(DR55,DR62,DR69,DR76,DR83)</f>
        <v>0</v>
      </c>
      <c r="DS85" s="1786">
        <f>SUM(DS55,DS62,DS69,DS76,DS83)</f>
        <v>1.4632627646326278E-2</v>
      </c>
      <c r="DT85" s="1758"/>
      <c r="DU85" s="1707"/>
    </row>
    <row r="86" spans="1:125" ht="12" customHeight="1">
      <c r="A86" s="1707"/>
      <c r="B86" s="1707"/>
      <c r="C86" s="1707"/>
      <c r="D86" s="1707"/>
      <c r="E86" s="1707"/>
      <c r="F86" s="1707"/>
      <c r="G86" s="1707"/>
      <c r="H86" s="1707"/>
      <c r="I86" s="1707"/>
      <c r="J86" s="1707"/>
      <c r="K86" s="1707"/>
      <c r="L86" s="1707"/>
      <c r="M86" s="1707"/>
      <c r="N86" s="1707"/>
      <c r="O86" s="1707"/>
      <c r="P86" s="1707"/>
      <c r="Q86" s="1707"/>
      <c r="R86" s="1707"/>
      <c r="S86" s="1707"/>
      <c r="T86" s="1707"/>
      <c r="U86" s="1707"/>
      <c r="V86" s="1707"/>
      <c r="W86" s="1707"/>
      <c r="X86" s="1707"/>
      <c r="Y86" s="1707"/>
      <c r="Z86" s="1707"/>
      <c r="AA86" s="1707"/>
      <c r="AB86" s="1707"/>
      <c r="AC86" s="1707"/>
      <c r="AD86" s="1707"/>
      <c r="AE86" s="1707"/>
      <c r="AF86" s="1707"/>
      <c r="AG86" s="1707"/>
      <c r="AH86" s="1707"/>
      <c r="AI86" s="1707"/>
      <c r="AJ86" s="1707"/>
      <c r="AK86" s="1707"/>
      <c r="AL86" s="1707"/>
      <c r="AM86" s="1707"/>
      <c r="AN86" s="1707"/>
      <c r="AO86" s="1707"/>
      <c r="AP86" s="1707"/>
      <c r="AQ86" s="1707"/>
      <c r="AR86" s="1707"/>
      <c r="AS86" s="1707"/>
      <c r="AT86" s="1707"/>
      <c r="AU86" s="1707"/>
      <c r="AV86" s="1707"/>
      <c r="AW86" s="1707"/>
      <c r="AX86" s="1707"/>
      <c r="AY86" s="1707"/>
      <c r="AZ86" s="1707"/>
      <c r="BA86" s="1707"/>
      <c r="BB86" s="1707"/>
      <c r="BC86" s="1707"/>
      <c r="BD86" s="1707"/>
      <c r="BE86" s="1707"/>
      <c r="BF86" s="1707"/>
      <c r="BG86" s="1707"/>
      <c r="BH86" s="1707"/>
      <c r="BI86" s="1707"/>
      <c r="BJ86" s="1707"/>
      <c r="BK86" s="1707"/>
      <c r="BL86" s="1707"/>
      <c r="BM86" s="1707"/>
      <c r="BN86" s="1707"/>
      <c r="BO86" s="1707"/>
      <c r="BP86" s="1707"/>
      <c r="BQ86" s="1707"/>
      <c r="BR86" s="1707"/>
      <c r="BS86" s="1707"/>
      <c r="BT86" s="1707"/>
      <c r="BU86" s="1707"/>
      <c r="BV86" s="1707"/>
      <c r="BW86" s="1707"/>
      <c r="BX86" s="1707"/>
      <c r="BY86" s="1707"/>
      <c r="BZ86" s="1707"/>
      <c r="CA86" s="1707"/>
      <c r="CB86" s="1707"/>
      <c r="CC86" s="1707"/>
      <c r="CD86" s="1707"/>
      <c r="CE86" s="1707"/>
      <c r="CF86" s="1707"/>
      <c r="CG86" s="1707"/>
      <c r="CH86" s="1707"/>
      <c r="CI86" s="1707"/>
      <c r="CJ86" s="1707"/>
      <c r="CK86" s="1707"/>
      <c r="CL86" s="1707"/>
      <c r="CM86" s="1707"/>
      <c r="CN86" s="1707"/>
      <c r="CO86" s="1707"/>
      <c r="CP86" s="1707"/>
      <c r="CQ86" s="1707"/>
      <c r="CR86" s="1707"/>
      <c r="CS86" s="1707"/>
      <c r="CT86" s="1707"/>
      <c r="CU86" s="1707"/>
      <c r="CV86" s="1707"/>
      <c r="CW86" s="1707"/>
      <c r="CX86" s="1707"/>
      <c r="CY86" s="1707"/>
      <c r="CZ86" s="1707"/>
      <c r="DA86" s="1707"/>
      <c r="DB86" s="1707"/>
      <c r="DC86" s="1707"/>
      <c r="DD86" s="1707"/>
      <c r="DE86" s="1707"/>
      <c r="DF86" s="1707"/>
      <c r="DG86" s="1707"/>
      <c r="DH86" s="1707"/>
      <c r="DI86" s="1707"/>
      <c r="DJ86" s="1707"/>
      <c r="DK86" s="1707"/>
      <c r="DL86" s="1707"/>
      <c r="DM86" s="1707"/>
      <c r="DN86" s="1707"/>
      <c r="DO86" s="1707"/>
      <c r="DP86" s="1707"/>
      <c r="DQ86" s="1707"/>
      <c r="DR86" s="1707"/>
      <c r="DS86" s="1707"/>
      <c r="DT86" s="1707"/>
      <c r="DU86" s="1707"/>
    </row>
    <row r="87" spans="1:125" ht="12" customHeight="1">
      <c r="A87" s="1707"/>
      <c r="B87" s="1707"/>
      <c r="C87" s="1707"/>
      <c r="D87" s="1707"/>
      <c r="E87" s="1707"/>
      <c r="F87" s="1707"/>
      <c r="G87" s="1707"/>
      <c r="H87" s="1707"/>
      <c r="I87" s="1707"/>
      <c r="J87" s="1707"/>
      <c r="K87" s="1707"/>
      <c r="L87" s="1707"/>
      <c r="M87" s="1707"/>
      <c r="N87" s="1707"/>
      <c r="O87" s="1707"/>
      <c r="P87" s="1707"/>
      <c r="Q87" s="1707"/>
      <c r="R87" s="1707"/>
      <c r="S87" s="1707"/>
      <c r="T87" s="1707"/>
      <c r="U87" s="1707"/>
      <c r="V87" s="1707"/>
      <c r="W87" s="1707"/>
      <c r="X87" s="1707"/>
      <c r="Y87" s="1707"/>
      <c r="Z87" s="1707"/>
      <c r="AA87" s="1707"/>
      <c r="AB87" s="1707"/>
      <c r="AC87" s="1707"/>
      <c r="AD87" s="1707"/>
      <c r="AE87" s="1707"/>
      <c r="AF87" s="1707"/>
      <c r="AG87" s="1707"/>
      <c r="AH87" s="1707"/>
      <c r="AI87" s="1707"/>
      <c r="AJ87" s="1707"/>
      <c r="AK87" s="1707"/>
      <c r="AL87" s="1707"/>
      <c r="AM87" s="1707"/>
      <c r="AN87" s="1707"/>
      <c r="AO87" s="1707"/>
      <c r="AP87" s="1707"/>
      <c r="AQ87" s="1707"/>
      <c r="AR87" s="1707"/>
      <c r="AS87" s="1707"/>
      <c r="AT87" s="1707"/>
      <c r="AU87" s="1707"/>
      <c r="AV87" s="1707"/>
      <c r="AW87" s="1707"/>
      <c r="AX87" s="1707"/>
      <c r="AY87" s="1707"/>
      <c r="AZ87" s="1707"/>
      <c r="BA87" s="1707"/>
      <c r="BB87" s="1707"/>
      <c r="BC87" s="1707"/>
      <c r="BD87" s="1707"/>
      <c r="BE87" s="1707"/>
      <c r="BF87" s="1707"/>
      <c r="BG87" s="1707"/>
      <c r="BH87" s="1707"/>
      <c r="BI87" s="1707"/>
      <c r="BJ87" s="1707"/>
      <c r="BK87" s="1707"/>
      <c r="BL87" s="1707"/>
      <c r="BM87" s="1707"/>
      <c r="BN87" s="1707"/>
      <c r="BO87" s="1707"/>
      <c r="BP87" s="1707"/>
      <c r="BQ87" s="1707"/>
      <c r="BR87" s="1707"/>
      <c r="BS87" s="1707"/>
      <c r="BT87" s="1707"/>
      <c r="BU87" s="1707"/>
      <c r="BV87" s="1707"/>
      <c r="BW87" s="1707"/>
      <c r="BX87" s="1707"/>
      <c r="BY87" s="1707"/>
      <c r="BZ87" s="1707"/>
      <c r="CA87" s="1707"/>
      <c r="CB87" s="1707"/>
      <c r="CC87" s="1707"/>
      <c r="CD87" s="1707"/>
      <c r="CE87" s="1707"/>
      <c r="CF87" s="1707"/>
      <c r="CG87" s="1707"/>
      <c r="CH87" s="1707"/>
      <c r="CI87" s="1707"/>
      <c r="CJ87" s="1707"/>
      <c r="CK87" s="1707"/>
      <c r="CL87" s="1707"/>
      <c r="CM87" s="1707"/>
      <c r="CN87" s="1707"/>
      <c r="CO87" s="1707"/>
      <c r="CP87" s="1707"/>
      <c r="CQ87" s="1707"/>
      <c r="CR87" s="1707"/>
      <c r="CS87" s="1707"/>
      <c r="CT87" s="1707"/>
      <c r="CU87" s="1707"/>
      <c r="CV87" s="1707"/>
      <c r="CW87" s="1707"/>
      <c r="CX87" s="1707"/>
      <c r="CY87" s="1707"/>
      <c r="CZ87" s="1707"/>
      <c r="DA87" s="1707"/>
      <c r="DB87" s="1707"/>
      <c r="DC87" s="1707"/>
      <c r="DD87" s="1707"/>
      <c r="DE87" s="1707"/>
      <c r="DF87" s="1707"/>
      <c r="DG87" s="1707"/>
      <c r="DH87" s="1707"/>
      <c r="DI87" s="1707"/>
      <c r="DJ87" s="1707"/>
      <c r="DK87" s="1707"/>
      <c r="DL87" s="1707"/>
      <c r="DM87" s="1707"/>
      <c r="DN87" s="1707"/>
      <c r="DO87" s="1707"/>
      <c r="DP87" s="1707"/>
      <c r="DQ87" s="1707"/>
      <c r="DR87" s="1707"/>
      <c r="DS87" s="1707"/>
      <c r="DT87" s="1707"/>
      <c r="DU87" s="1707"/>
    </row>
    <row r="88" spans="1:125" ht="12" customHeight="1">
      <c r="A88" s="1707"/>
      <c r="B88" s="1707"/>
      <c r="C88" s="1707"/>
      <c r="D88" s="1707"/>
      <c r="E88" s="1707"/>
      <c r="F88" s="1707"/>
      <c r="G88" s="1707"/>
      <c r="H88" s="1707"/>
      <c r="I88" s="1707"/>
      <c r="J88" s="1707"/>
      <c r="K88" s="1707"/>
      <c r="L88" s="1707"/>
      <c r="M88" s="1707"/>
      <c r="N88" s="1707"/>
      <c r="O88" s="1707"/>
      <c r="P88" s="1707"/>
      <c r="Q88" s="1707"/>
      <c r="R88" s="1707"/>
      <c r="S88" s="1707"/>
      <c r="T88" s="1707"/>
      <c r="U88" s="1707"/>
      <c r="V88" s="1707"/>
      <c r="W88" s="1707"/>
      <c r="X88" s="1707"/>
      <c r="Y88" s="1707"/>
      <c r="Z88" s="1707"/>
      <c r="AA88" s="1707"/>
      <c r="AB88" s="1707"/>
      <c r="AC88" s="1707"/>
      <c r="AD88" s="1707"/>
      <c r="AE88" s="1707"/>
      <c r="AF88" s="1707"/>
      <c r="AG88" s="1707"/>
      <c r="AH88" s="1707"/>
      <c r="AI88" s="1707"/>
      <c r="AJ88" s="1707"/>
      <c r="AK88" s="1707"/>
      <c r="AL88" s="1707"/>
      <c r="AM88" s="1707"/>
      <c r="AN88" s="1707"/>
      <c r="AO88" s="1707"/>
      <c r="AP88" s="1707"/>
      <c r="AQ88" s="1707"/>
      <c r="AR88" s="1707"/>
      <c r="AS88" s="1707"/>
      <c r="AT88" s="1707"/>
      <c r="AU88" s="1707"/>
      <c r="AV88" s="1707"/>
      <c r="AW88" s="1707"/>
      <c r="AX88" s="1707"/>
      <c r="AY88" s="1707"/>
      <c r="AZ88" s="1707"/>
      <c r="BA88" s="1707"/>
      <c r="BB88" s="1707"/>
      <c r="BC88" s="1707"/>
      <c r="BD88" s="1707"/>
      <c r="BE88" s="1707"/>
      <c r="BF88" s="1707"/>
      <c r="BG88" s="1707"/>
      <c r="BH88" s="1707"/>
      <c r="BI88" s="1707"/>
      <c r="BJ88" s="1707"/>
      <c r="BK88" s="1707"/>
      <c r="BL88" s="1707"/>
      <c r="BM88" s="1707"/>
      <c r="BN88" s="1707"/>
      <c r="BO88" s="1707"/>
      <c r="BP88" s="1707"/>
      <c r="BQ88" s="1707"/>
      <c r="BR88" s="1707"/>
      <c r="BS88" s="1707"/>
      <c r="BT88" s="1707"/>
      <c r="BU88" s="1707"/>
      <c r="BV88" s="1707"/>
      <c r="BW88" s="1707"/>
      <c r="BX88" s="1707"/>
      <c r="BY88" s="1707"/>
      <c r="BZ88" s="1707"/>
      <c r="CA88" s="1707"/>
      <c r="CB88" s="1707"/>
      <c r="CC88" s="1707"/>
      <c r="CD88" s="1707"/>
      <c r="CE88" s="1707"/>
      <c r="CF88" s="1707"/>
      <c r="CG88" s="1707"/>
      <c r="CH88" s="1707"/>
      <c r="CI88" s="1707"/>
      <c r="CJ88" s="1707"/>
      <c r="CK88" s="1707"/>
      <c r="CL88" s="1707"/>
      <c r="CM88" s="1707"/>
      <c r="CN88" s="1707"/>
      <c r="CO88" s="1707"/>
      <c r="CP88" s="1707"/>
      <c r="CQ88" s="1707"/>
      <c r="CR88" s="1707"/>
      <c r="CS88" s="1707"/>
      <c r="CT88" s="1707"/>
      <c r="CU88" s="1707"/>
      <c r="CV88" s="1707"/>
      <c r="CW88" s="1707"/>
      <c r="CX88" s="1707"/>
      <c r="CY88" s="1707"/>
      <c r="CZ88" s="1707"/>
      <c r="DA88" s="1707"/>
      <c r="DB88" s="1707"/>
      <c r="DC88" s="1707"/>
      <c r="DD88" s="1707"/>
      <c r="DE88" s="1707"/>
      <c r="DF88" s="1707"/>
      <c r="DG88" s="1707"/>
      <c r="DH88" s="1707"/>
      <c r="DI88" s="1707"/>
      <c r="DJ88" s="1707"/>
      <c r="DK88" s="1707"/>
      <c r="DL88" s="1707"/>
      <c r="DM88" s="1707"/>
      <c r="DN88" s="1707"/>
      <c r="DO88" s="1707"/>
      <c r="DP88" s="1707"/>
      <c r="DQ88" s="1707"/>
      <c r="DR88" s="1707"/>
      <c r="DS88" s="1707"/>
      <c r="DT88" s="1707"/>
      <c r="DU88" s="1707"/>
    </row>
    <row r="89" spans="1:125" ht="12" customHeight="1">
      <c r="A89" s="1707"/>
      <c r="B89" s="1707"/>
      <c r="C89" s="1707"/>
      <c r="D89" s="1707"/>
      <c r="E89" s="1707"/>
      <c r="F89" s="1707"/>
      <c r="G89" s="1707"/>
      <c r="H89" s="1707"/>
      <c r="I89" s="1707"/>
      <c r="J89" s="1707"/>
      <c r="K89" s="1707"/>
      <c r="L89" s="1707"/>
      <c r="M89" s="1707"/>
      <c r="N89" s="1707"/>
      <c r="O89" s="1707"/>
      <c r="P89" s="1707"/>
      <c r="Q89" s="1707"/>
      <c r="R89" s="1707"/>
      <c r="S89" s="1707"/>
      <c r="T89" s="1707"/>
      <c r="U89" s="1707"/>
      <c r="V89" s="1707"/>
      <c r="W89" s="1707"/>
      <c r="X89" s="1707"/>
      <c r="Y89" s="1707"/>
      <c r="Z89" s="1707"/>
      <c r="AA89" s="1707"/>
      <c r="AB89" s="1707"/>
      <c r="AC89" s="1707"/>
      <c r="AD89" s="1707"/>
      <c r="AE89" s="1707"/>
      <c r="AF89" s="1707"/>
      <c r="AG89" s="1707"/>
      <c r="AH89" s="1707"/>
      <c r="AI89" s="1707"/>
      <c r="AJ89" s="1707"/>
      <c r="AK89" s="1707"/>
      <c r="AL89" s="1707"/>
      <c r="AM89" s="1707"/>
      <c r="AN89" s="1707"/>
      <c r="AO89" s="1707"/>
      <c r="AP89" s="1707"/>
      <c r="AQ89" s="1707"/>
      <c r="AR89" s="1707"/>
      <c r="AS89" s="1707"/>
      <c r="AT89" s="1707"/>
      <c r="AU89" s="1707"/>
      <c r="AV89" s="1707"/>
      <c r="AW89" s="1707"/>
      <c r="AX89" s="1707"/>
      <c r="AY89" s="1707"/>
      <c r="AZ89" s="1707"/>
      <c r="BA89" s="1707"/>
      <c r="BB89" s="1707"/>
      <c r="BC89" s="1707"/>
      <c r="BD89" s="1707"/>
      <c r="BE89" s="1707"/>
      <c r="BF89" s="1707"/>
      <c r="BG89" s="1707"/>
      <c r="BH89" s="1707"/>
      <c r="BI89" s="1707"/>
      <c r="BJ89" s="1707"/>
      <c r="BK89" s="1707"/>
      <c r="BL89" s="1707"/>
      <c r="BM89" s="1707"/>
      <c r="BN89" s="1707"/>
      <c r="BO89" s="1707"/>
      <c r="BP89" s="1707"/>
      <c r="BQ89" s="1707"/>
      <c r="BR89" s="1707"/>
      <c r="BS89" s="1707"/>
      <c r="BT89" s="1707"/>
      <c r="BU89" s="1707"/>
      <c r="BV89" s="1707"/>
      <c r="BW89" s="1707"/>
      <c r="BX89" s="1707"/>
      <c r="BY89" s="1707"/>
      <c r="BZ89" s="1707"/>
      <c r="CA89" s="1707"/>
      <c r="CB89" s="1707"/>
      <c r="CC89" s="1707"/>
      <c r="CD89" s="1707"/>
      <c r="CE89" s="1707"/>
      <c r="CF89" s="1707"/>
      <c r="CG89" s="1707"/>
      <c r="CH89" s="1707"/>
      <c r="CI89" s="1707"/>
      <c r="CJ89" s="1707"/>
      <c r="CK89" s="1707"/>
      <c r="CL89" s="1707"/>
      <c r="CM89" s="1707"/>
      <c r="CN89" s="1707"/>
      <c r="CO89" s="1707"/>
      <c r="CP89" s="1707"/>
      <c r="CQ89" s="1707"/>
      <c r="CR89" s="1707"/>
      <c r="CS89" s="1707"/>
      <c r="CT89" s="1707"/>
      <c r="CU89" s="1707"/>
      <c r="CV89" s="1707"/>
      <c r="CW89" s="1707"/>
      <c r="CX89" s="1707"/>
      <c r="CY89" s="1707"/>
      <c r="CZ89" s="1707"/>
      <c r="DA89" s="1707"/>
      <c r="DB89" s="1707"/>
      <c r="DC89" s="1707"/>
      <c r="DD89" s="1707"/>
      <c r="DE89" s="1707"/>
      <c r="DF89" s="1707"/>
      <c r="DG89" s="1707"/>
      <c r="DH89" s="1707"/>
      <c r="DI89" s="1707"/>
      <c r="DJ89" s="1707"/>
      <c r="DK89" s="1707"/>
      <c r="DL89" s="1707"/>
      <c r="DM89" s="1707"/>
      <c r="DN89" s="1707"/>
      <c r="DO89" s="1707"/>
      <c r="DP89" s="1707"/>
      <c r="DQ89" s="1707"/>
      <c r="DR89" s="1707"/>
      <c r="DS89" s="1707"/>
      <c r="DT89" s="1707"/>
      <c r="DU89" s="1707"/>
    </row>
    <row r="90" spans="1:125" ht="12" customHeight="1">
      <c r="A90" s="1707"/>
      <c r="B90" s="1707"/>
      <c r="C90" s="1707"/>
      <c r="D90" s="1707"/>
      <c r="E90" s="1707"/>
      <c r="F90" s="1707"/>
      <c r="G90" s="1707"/>
      <c r="H90" s="1707"/>
      <c r="I90" s="1707"/>
      <c r="J90" s="1707"/>
      <c r="K90" s="1707"/>
      <c r="L90" s="1707"/>
      <c r="M90" s="1707"/>
      <c r="N90" s="1707"/>
      <c r="O90" s="1707"/>
      <c r="P90" s="1707"/>
      <c r="Q90" s="1707"/>
      <c r="R90" s="1707"/>
      <c r="S90" s="1707"/>
      <c r="T90" s="1707"/>
      <c r="U90" s="1707"/>
      <c r="V90" s="1707"/>
      <c r="W90" s="1707"/>
      <c r="X90" s="1707"/>
      <c r="Y90" s="1707"/>
      <c r="Z90" s="1707"/>
      <c r="AA90" s="1707"/>
      <c r="AB90" s="1707"/>
      <c r="AC90" s="1707"/>
      <c r="AD90" s="1707"/>
      <c r="AE90" s="1707"/>
      <c r="AF90" s="1707"/>
      <c r="AG90" s="1707"/>
      <c r="AH90" s="1707"/>
      <c r="AI90" s="1707"/>
      <c r="AJ90" s="1707"/>
      <c r="AK90" s="1707"/>
      <c r="AL90" s="1707"/>
      <c r="AM90" s="1707"/>
      <c r="AN90" s="1707"/>
      <c r="AO90" s="1707"/>
      <c r="AP90" s="1707"/>
      <c r="AQ90" s="1707"/>
      <c r="AR90" s="1707"/>
      <c r="AS90" s="1707"/>
      <c r="AT90" s="1707"/>
      <c r="AU90" s="1707"/>
      <c r="AV90" s="1707"/>
      <c r="AW90" s="1707"/>
      <c r="AX90" s="1707"/>
      <c r="AY90" s="1707"/>
      <c r="AZ90" s="1707"/>
      <c r="BA90" s="1707"/>
      <c r="BB90" s="1707"/>
      <c r="BC90" s="1707"/>
      <c r="BD90" s="1707"/>
      <c r="BE90" s="1707"/>
      <c r="BF90" s="1707"/>
      <c r="BG90" s="1707"/>
      <c r="BH90" s="1707"/>
      <c r="BI90" s="1707"/>
      <c r="BJ90" s="1707"/>
      <c r="BK90" s="1707"/>
      <c r="BL90" s="1707"/>
      <c r="BM90" s="1707"/>
      <c r="BN90" s="1707"/>
      <c r="BO90" s="1707"/>
      <c r="BP90" s="1707"/>
      <c r="BQ90" s="1707"/>
      <c r="BR90" s="1707"/>
      <c r="BS90" s="1707"/>
      <c r="BT90" s="1707"/>
      <c r="BU90" s="1707"/>
      <c r="BV90" s="1707"/>
      <c r="BW90" s="1707"/>
      <c r="BX90" s="1707"/>
      <c r="BY90" s="1707"/>
      <c r="BZ90" s="1707"/>
      <c r="CA90" s="1707"/>
      <c r="CB90" s="1707"/>
      <c r="CC90" s="1707"/>
      <c r="CD90" s="1707"/>
      <c r="CE90" s="1707"/>
      <c r="CF90" s="1707"/>
      <c r="CG90" s="1707"/>
      <c r="CH90" s="1707"/>
      <c r="CI90" s="1707"/>
      <c r="CJ90" s="1707"/>
      <c r="CK90" s="1707"/>
      <c r="CL90" s="1707"/>
      <c r="CM90" s="1707"/>
      <c r="CN90" s="1707"/>
      <c r="CO90" s="1707"/>
      <c r="CP90" s="1707"/>
      <c r="CQ90" s="1707"/>
      <c r="CR90" s="1707"/>
      <c r="CS90" s="1707"/>
      <c r="CT90" s="1707"/>
      <c r="CU90" s="1707"/>
      <c r="CV90" s="1707"/>
      <c r="CW90" s="1707"/>
      <c r="CX90" s="1707"/>
      <c r="CY90" s="1707"/>
      <c r="CZ90" s="1707"/>
      <c r="DA90" s="1707"/>
      <c r="DB90" s="1707"/>
      <c r="DC90" s="1707"/>
      <c r="DD90" s="1707"/>
      <c r="DE90" s="1707"/>
      <c r="DF90" s="1707"/>
      <c r="DG90" s="1707"/>
      <c r="DH90" s="1707"/>
      <c r="DI90" s="1707"/>
      <c r="DJ90" s="1707"/>
      <c r="DK90" s="1707"/>
      <c r="DL90" s="1707"/>
      <c r="DM90" s="1707"/>
      <c r="DN90" s="1707"/>
      <c r="DO90" s="1707"/>
      <c r="DP90" s="1707"/>
      <c r="DQ90" s="1707"/>
      <c r="DR90" s="1707"/>
      <c r="DS90" s="1707"/>
      <c r="DT90" s="1707"/>
      <c r="DU90" s="1707"/>
    </row>
    <row r="91" spans="1:125" ht="12" customHeight="1">
      <c r="A91" s="1707"/>
      <c r="B91" s="1707"/>
      <c r="C91" s="1707"/>
      <c r="D91" s="1707"/>
      <c r="E91" s="1707"/>
      <c r="F91" s="1707"/>
      <c r="G91" s="1707"/>
      <c r="H91" s="1707"/>
      <c r="I91" s="1707"/>
      <c r="J91" s="1707"/>
      <c r="K91" s="1707"/>
      <c r="L91" s="1707"/>
      <c r="M91" s="1707"/>
      <c r="N91" s="1707"/>
      <c r="O91" s="1707"/>
      <c r="P91" s="1707"/>
      <c r="Q91" s="1707"/>
      <c r="R91" s="1707"/>
      <c r="S91" s="1707"/>
      <c r="T91" s="1707"/>
      <c r="U91" s="1707"/>
      <c r="V91" s="1707"/>
      <c r="W91" s="1707"/>
      <c r="X91" s="1707"/>
      <c r="Y91" s="1707"/>
      <c r="Z91" s="1707"/>
      <c r="AA91" s="1707"/>
      <c r="AB91" s="1707"/>
      <c r="AC91" s="1707"/>
      <c r="AD91" s="1707"/>
      <c r="AE91" s="1707"/>
      <c r="AF91" s="1707"/>
      <c r="AG91" s="1707"/>
      <c r="AH91" s="1707"/>
      <c r="AI91" s="1707"/>
      <c r="AJ91" s="1707"/>
      <c r="AK91" s="1707"/>
      <c r="AL91" s="1707"/>
      <c r="AM91" s="1707"/>
      <c r="AN91" s="1707"/>
      <c r="AO91" s="1707"/>
      <c r="AP91" s="1707"/>
      <c r="AQ91" s="1707"/>
      <c r="AR91" s="1707"/>
      <c r="AS91" s="1707"/>
      <c r="AT91" s="1707"/>
      <c r="AU91" s="1707"/>
      <c r="AV91" s="1707"/>
      <c r="AW91" s="1707"/>
      <c r="AX91" s="1707"/>
      <c r="AY91" s="1707"/>
      <c r="AZ91" s="1707"/>
      <c r="BA91" s="1707"/>
      <c r="BB91" s="1707"/>
      <c r="BC91" s="1707"/>
      <c r="BD91" s="1707"/>
      <c r="BE91" s="1707"/>
      <c r="BF91" s="1707"/>
      <c r="BG91" s="1707"/>
      <c r="BH91" s="1707"/>
      <c r="BI91" s="1707"/>
      <c r="BJ91" s="1707"/>
      <c r="BK91" s="1707"/>
      <c r="BL91" s="1707"/>
      <c r="BM91" s="1707"/>
      <c r="BN91" s="1707"/>
      <c r="BO91" s="1707"/>
      <c r="BP91" s="1707"/>
      <c r="BQ91" s="1707"/>
      <c r="BR91" s="1707"/>
      <c r="BS91" s="1707"/>
      <c r="BT91" s="1707"/>
      <c r="BU91" s="1707"/>
      <c r="BV91" s="1707"/>
      <c r="BW91" s="1707"/>
      <c r="BX91" s="1707"/>
      <c r="BY91" s="1707"/>
      <c r="BZ91" s="1707"/>
      <c r="CA91" s="1707"/>
      <c r="CB91" s="1707"/>
      <c r="CC91" s="1707"/>
      <c r="CD91" s="1707"/>
      <c r="CE91" s="1707"/>
      <c r="CF91" s="1707"/>
      <c r="CG91" s="1707"/>
      <c r="CH91" s="1707"/>
      <c r="CI91" s="1707"/>
      <c r="CJ91" s="1707"/>
      <c r="CK91" s="1707"/>
      <c r="CL91" s="1707"/>
      <c r="CM91" s="1707"/>
      <c r="CN91" s="1707"/>
      <c r="CO91" s="1707"/>
      <c r="CP91" s="1707"/>
      <c r="CQ91" s="1707"/>
      <c r="CR91" s="1707"/>
      <c r="CS91" s="1707"/>
      <c r="CT91" s="1707"/>
      <c r="CU91" s="1707"/>
      <c r="CV91" s="1707"/>
      <c r="CW91" s="1707"/>
      <c r="CX91" s="1707"/>
      <c r="CY91" s="1707"/>
      <c r="CZ91" s="1707"/>
      <c r="DA91" s="1707"/>
      <c r="DB91" s="1707"/>
      <c r="DC91" s="1707"/>
      <c r="DD91" s="1707"/>
      <c r="DE91" s="1707"/>
      <c r="DF91" s="1707"/>
      <c r="DG91" s="1707"/>
      <c r="DH91" s="1707"/>
      <c r="DI91" s="1707"/>
      <c r="DJ91" s="1707"/>
      <c r="DK91" s="1707"/>
      <c r="DL91" s="1707"/>
      <c r="DM91" s="1707"/>
      <c r="DN91" s="1707"/>
      <c r="DO91" s="1707"/>
      <c r="DP91" s="1707"/>
      <c r="DQ91" s="1707"/>
      <c r="DR91" s="1707"/>
      <c r="DS91" s="1707"/>
      <c r="DT91" s="1707"/>
      <c r="DU91" s="1707"/>
    </row>
    <row r="92" spans="1:125" ht="12" customHeight="1">
      <c r="A92" s="1707"/>
      <c r="B92" s="1707"/>
      <c r="C92" s="1707"/>
      <c r="D92" s="1707"/>
      <c r="E92" s="1707"/>
      <c r="F92" s="1707"/>
      <c r="G92" s="1707"/>
      <c r="H92" s="1707"/>
      <c r="I92" s="1707"/>
      <c r="J92" s="1707"/>
      <c r="K92" s="1707"/>
      <c r="L92" s="1707"/>
      <c r="M92" s="1707"/>
      <c r="N92" s="1707"/>
      <c r="O92" s="1707"/>
      <c r="P92" s="1707"/>
      <c r="Q92" s="1707"/>
      <c r="R92" s="1707"/>
      <c r="S92" s="1707"/>
      <c r="T92" s="1707"/>
      <c r="U92" s="1707"/>
      <c r="V92" s="1707"/>
      <c r="W92" s="1707"/>
      <c r="X92" s="1707"/>
      <c r="Y92" s="1707"/>
      <c r="Z92" s="1707"/>
      <c r="AA92" s="1707"/>
      <c r="AB92" s="1707"/>
      <c r="AC92" s="1707"/>
      <c r="AD92" s="1707"/>
      <c r="AE92" s="1707"/>
      <c r="AF92" s="1707"/>
      <c r="AG92" s="1707"/>
      <c r="AH92" s="1707"/>
      <c r="AI92" s="1707"/>
      <c r="AJ92" s="1707"/>
      <c r="AK92" s="1707"/>
      <c r="AL92" s="1707"/>
      <c r="AM92" s="1707"/>
      <c r="AN92" s="1707"/>
      <c r="AO92" s="1707"/>
      <c r="AP92" s="1707"/>
      <c r="AQ92" s="1707"/>
      <c r="AR92" s="1707"/>
      <c r="AS92" s="1707"/>
      <c r="AT92" s="1707"/>
      <c r="AU92" s="1707"/>
      <c r="AV92" s="1707"/>
      <c r="AW92" s="1707"/>
      <c r="AX92" s="1707"/>
      <c r="AY92" s="1707"/>
      <c r="AZ92" s="1707"/>
      <c r="BA92" s="1707"/>
      <c r="BB92" s="1707"/>
      <c r="BC92" s="1707"/>
      <c r="BD92" s="1707"/>
      <c r="BE92" s="1707"/>
      <c r="BF92" s="1707"/>
      <c r="BG92" s="1707"/>
      <c r="BH92" s="1707"/>
      <c r="BI92" s="1707"/>
      <c r="BJ92" s="1707"/>
      <c r="BK92" s="1707"/>
      <c r="BL92" s="1707"/>
      <c r="BM92" s="1707"/>
      <c r="BN92" s="1707"/>
      <c r="BO92" s="1707"/>
      <c r="BP92" s="1707"/>
      <c r="BQ92" s="1707"/>
      <c r="BR92" s="1707"/>
      <c r="BS92" s="1707"/>
      <c r="BT92" s="1707"/>
      <c r="BU92" s="1707"/>
      <c r="BV92" s="1707"/>
      <c r="BW92" s="1707"/>
      <c r="BX92" s="1707"/>
      <c r="BY92" s="1707"/>
      <c r="BZ92" s="1707"/>
      <c r="CA92" s="1707"/>
      <c r="CB92" s="1707"/>
      <c r="CC92" s="1707"/>
      <c r="CD92" s="1707"/>
      <c r="CE92" s="1707"/>
      <c r="CF92" s="1707"/>
      <c r="CG92" s="1707"/>
      <c r="CH92" s="1707"/>
      <c r="CI92" s="1707"/>
      <c r="CJ92" s="1707"/>
      <c r="CK92" s="1707"/>
      <c r="CL92" s="1707"/>
      <c r="CM92" s="1707"/>
      <c r="CN92" s="1707"/>
      <c r="CO92" s="1707"/>
      <c r="CP92" s="1707"/>
      <c r="CQ92" s="1707"/>
      <c r="CR92" s="1707"/>
      <c r="CS92" s="1707"/>
      <c r="CT92" s="1707"/>
      <c r="CU92" s="1707"/>
      <c r="CV92" s="1707"/>
      <c r="CW92" s="1707"/>
      <c r="CX92" s="1707"/>
      <c r="CY92" s="1707"/>
      <c r="CZ92" s="1707"/>
      <c r="DA92" s="1707"/>
      <c r="DB92" s="1707"/>
      <c r="DC92" s="1707"/>
      <c r="DD92" s="1707"/>
      <c r="DE92" s="1707"/>
      <c r="DF92" s="1707"/>
      <c r="DG92" s="1707"/>
      <c r="DH92" s="1707"/>
      <c r="DI92" s="1707"/>
      <c r="DJ92" s="1707"/>
      <c r="DK92" s="1707"/>
      <c r="DL92" s="1707"/>
      <c r="DM92" s="1707"/>
      <c r="DN92" s="1707"/>
      <c r="DO92" s="1707"/>
      <c r="DP92" s="1707"/>
      <c r="DQ92" s="1707"/>
      <c r="DR92" s="1707"/>
      <c r="DS92" s="1707"/>
      <c r="DT92" s="1707"/>
      <c r="DU92" s="1707"/>
    </row>
    <row r="93" spans="1:125" ht="12" customHeight="1">
      <c r="A93" s="1707"/>
      <c r="B93" s="1707"/>
      <c r="C93" s="1707"/>
      <c r="D93" s="1707"/>
      <c r="E93" s="1707"/>
      <c r="F93" s="1707"/>
      <c r="G93" s="1707"/>
      <c r="H93" s="1707"/>
      <c r="I93" s="1707"/>
      <c r="J93" s="1707"/>
      <c r="K93" s="1707"/>
      <c r="L93" s="1707"/>
      <c r="M93" s="1707"/>
      <c r="N93" s="1707"/>
      <c r="O93" s="1707"/>
      <c r="P93" s="1707"/>
      <c r="Q93" s="1707"/>
      <c r="R93" s="1707"/>
      <c r="S93" s="1707"/>
      <c r="T93" s="1707"/>
      <c r="U93" s="1707"/>
      <c r="V93" s="1707"/>
      <c r="W93" s="1707"/>
      <c r="X93" s="1707"/>
      <c r="Y93" s="1707"/>
      <c r="Z93" s="1707"/>
      <c r="AA93" s="1707"/>
      <c r="AB93" s="1707"/>
      <c r="AC93" s="1707"/>
      <c r="AD93" s="1707"/>
      <c r="AE93" s="1707"/>
      <c r="AF93" s="1707"/>
      <c r="AG93" s="1707"/>
      <c r="AH93" s="1707"/>
      <c r="AI93" s="1707"/>
      <c r="AJ93" s="1707"/>
      <c r="AK93" s="1707"/>
      <c r="AL93" s="1707"/>
      <c r="AM93" s="1707"/>
      <c r="AN93" s="1707"/>
      <c r="AO93" s="1707"/>
      <c r="AP93" s="1707"/>
      <c r="AQ93" s="1707"/>
      <c r="AR93" s="1707"/>
      <c r="AS93" s="1707"/>
      <c r="AT93" s="1707"/>
      <c r="AU93" s="1707"/>
      <c r="AV93" s="1707"/>
      <c r="AW93" s="1707"/>
      <c r="AX93" s="1707"/>
      <c r="AY93" s="1707"/>
      <c r="AZ93" s="1707"/>
      <c r="BA93" s="1707"/>
      <c r="BB93" s="1707"/>
      <c r="BC93" s="1707"/>
      <c r="BD93" s="1707"/>
      <c r="BE93" s="1707"/>
      <c r="BF93" s="1707"/>
      <c r="BG93" s="1707"/>
      <c r="BH93" s="1707"/>
      <c r="BI93" s="1707"/>
      <c r="BJ93" s="1707"/>
      <c r="BK93" s="1707"/>
      <c r="BL93" s="1707"/>
      <c r="BM93" s="1707"/>
      <c r="BN93" s="1707"/>
      <c r="BO93" s="1707"/>
      <c r="BP93" s="1707"/>
      <c r="BQ93" s="1707"/>
      <c r="BR93" s="1707"/>
      <c r="BS93" s="1707"/>
      <c r="BT93" s="1707"/>
      <c r="BU93" s="1707"/>
      <c r="BV93" s="1707"/>
      <c r="BW93" s="1707"/>
      <c r="BX93" s="1707"/>
      <c r="BY93" s="1707"/>
      <c r="BZ93" s="1707"/>
      <c r="CA93" s="1707"/>
      <c r="CB93" s="1707"/>
      <c r="CC93" s="1707"/>
      <c r="CD93" s="1707"/>
      <c r="CE93" s="1707"/>
      <c r="CF93" s="1707"/>
      <c r="CG93" s="1707"/>
      <c r="CH93" s="1707"/>
      <c r="CI93" s="1707"/>
      <c r="CJ93" s="1707"/>
      <c r="CK93" s="1707"/>
      <c r="CL93" s="1707"/>
      <c r="CM93" s="1707"/>
      <c r="CN93" s="1707"/>
      <c r="CO93" s="1707"/>
      <c r="CP93" s="1707"/>
      <c r="CQ93" s="1707"/>
      <c r="CR93" s="1707"/>
      <c r="CS93" s="1707"/>
      <c r="CT93" s="1707"/>
      <c r="CU93" s="1707"/>
      <c r="CV93" s="1707"/>
      <c r="CW93" s="1707"/>
      <c r="CX93" s="1707"/>
      <c r="CY93" s="1707"/>
      <c r="CZ93" s="1707"/>
      <c r="DA93" s="1707"/>
      <c r="DB93" s="1707"/>
      <c r="DC93" s="1707"/>
      <c r="DD93" s="1707"/>
      <c r="DE93" s="1707"/>
      <c r="DF93" s="1707"/>
      <c r="DG93" s="1707"/>
      <c r="DH93" s="1707"/>
      <c r="DI93" s="1707"/>
      <c r="DJ93" s="1707"/>
      <c r="DK93" s="1707"/>
      <c r="DL93" s="1707"/>
      <c r="DM93" s="1707"/>
      <c r="DN93" s="1707"/>
      <c r="DO93" s="1707"/>
      <c r="DP93" s="1707"/>
      <c r="DQ93" s="1707"/>
      <c r="DR93" s="1707"/>
      <c r="DS93" s="1707"/>
      <c r="DT93" s="1707"/>
      <c r="DU93" s="1707"/>
    </row>
    <row r="94" spans="1:125" ht="12" customHeight="1">
      <c r="A94" s="1707"/>
      <c r="B94" s="1707"/>
      <c r="C94" s="1707"/>
      <c r="D94" s="1707"/>
      <c r="E94" s="1707"/>
      <c r="F94" s="1707"/>
      <c r="G94" s="1707"/>
      <c r="H94" s="1707"/>
      <c r="I94" s="1707"/>
      <c r="J94" s="1707"/>
      <c r="K94" s="1707"/>
      <c r="L94" s="1707"/>
      <c r="M94" s="1707"/>
      <c r="N94" s="1707"/>
      <c r="O94" s="1707"/>
      <c r="P94" s="1707"/>
      <c r="Q94" s="1707"/>
      <c r="R94" s="1707"/>
      <c r="S94" s="1707"/>
      <c r="T94" s="1707"/>
      <c r="U94" s="1707"/>
      <c r="V94" s="1707"/>
      <c r="W94" s="1707"/>
      <c r="X94" s="1707"/>
      <c r="Y94" s="1707"/>
      <c r="Z94" s="1707"/>
      <c r="AA94" s="1707"/>
      <c r="AB94" s="1707"/>
      <c r="AC94" s="1707"/>
      <c r="AD94" s="1707"/>
      <c r="AE94" s="1707"/>
      <c r="AF94" s="1707"/>
      <c r="AG94" s="1707"/>
      <c r="AH94" s="1707"/>
      <c r="AI94" s="1707"/>
      <c r="AJ94" s="1707"/>
      <c r="AK94" s="1707"/>
      <c r="AL94" s="1707"/>
      <c r="AM94" s="1707"/>
      <c r="AN94" s="1707"/>
      <c r="AO94" s="1707"/>
      <c r="AP94" s="1707"/>
      <c r="AQ94" s="1707"/>
      <c r="AR94" s="1707"/>
      <c r="AS94" s="1707"/>
      <c r="AT94" s="1707"/>
      <c r="AU94" s="1707"/>
      <c r="AV94" s="1707"/>
      <c r="AW94" s="1707"/>
      <c r="AX94" s="1707"/>
      <c r="AY94" s="1707"/>
      <c r="AZ94" s="1707"/>
      <c r="BA94" s="1707"/>
      <c r="BB94" s="1707"/>
      <c r="BC94" s="1707"/>
      <c r="BD94" s="1707"/>
      <c r="BE94" s="1707"/>
      <c r="BF94" s="1707"/>
      <c r="BG94" s="1707"/>
      <c r="BH94" s="1707"/>
      <c r="BI94" s="1707"/>
      <c r="BJ94" s="1707"/>
      <c r="BK94" s="1707"/>
      <c r="BL94" s="1707"/>
      <c r="BM94" s="1707"/>
      <c r="BN94" s="1707"/>
      <c r="BO94" s="1707"/>
      <c r="BP94" s="1707"/>
      <c r="BQ94" s="1707"/>
      <c r="BR94" s="1707"/>
      <c r="BS94" s="1707"/>
      <c r="BT94" s="1707"/>
      <c r="BU94" s="1707"/>
      <c r="BV94" s="1707"/>
      <c r="BW94" s="1707"/>
      <c r="BX94" s="1707"/>
      <c r="BY94" s="1707"/>
      <c r="BZ94" s="1707"/>
      <c r="CA94" s="1707"/>
      <c r="CB94" s="1707"/>
      <c r="CC94" s="1707"/>
      <c r="CD94" s="1707"/>
      <c r="CE94" s="1707"/>
      <c r="CF94" s="1707"/>
      <c r="CG94" s="1707"/>
      <c r="CH94" s="1707"/>
      <c r="CI94" s="1707"/>
      <c r="CJ94" s="1707"/>
      <c r="CK94" s="1707"/>
      <c r="CL94" s="1707"/>
      <c r="CM94" s="1707"/>
      <c r="CN94" s="1707"/>
      <c r="CO94" s="1707"/>
      <c r="CP94" s="1707"/>
      <c r="CQ94" s="1707"/>
      <c r="CR94" s="1707"/>
      <c r="CS94" s="1707"/>
      <c r="CT94" s="1707"/>
      <c r="CU94" s="1707"/>
      <c r="CV94" s="1707"/>
      <c r="CW94" s="1707"/>
      <c r="CX94" s="1707"/>
      <c r="CY94" s="1707"/>
      <c r="CZ94" s="1707"/>
      <c r="DA94" s="1707"/>
      <c r="DB94" s="1707"/>
      <c r="DC94" s="1707"/>
      <c r="DD94" s="1707"/>
      <c r="DE94" s="1707"/>
      <c r="DF94" s="1707"/>
      <c r="DG94" s="1707"/>
      <c r="DH94" s="1707"/>
      <c r="DI94" s="1707"/>
      <c r="DJ94" s="1707"/>
      <c r="DK94" s="1707"/>
      <c r="DL94" s="1707"/>
      <c r="DM94" s="1707"/>
      <c r="DN94" s="1707"/>
      <c r="DO94" s="1707"/>
      <c r="DP94" s="1707"/>
      <c r="DQ94" s="1707"/>
      <c r="DR94" s="1707"/>
      <c r="DS94" s="1707"/>
      <c r="DT94" s="1707"/>
      <c r="DU94" s="1707"/>
    </row>
    <row r="95" spans="1:125" ht="12" customHeight="1">
      <c r="A95" s="1707"/>
      <c r="B95" s="1707"/>
      <c r="C95" s="1707"/>
      <c r="D95" s="1707"/>
      <c r="E95" s="1707"/>
      <c r="F95" s="1707"/>
      <c r="G95" s="1707"/>
      <c r="H95" s="1707"/>
      <c r="I95" s="1707"/>
      <c r="J95" s="1707"/>
      <c r="K95" s="1707"/>
      <c r="L95" s="1707"/>
      <c r="M95" s="1707"/>
      <c r="N95" s="1707"/>
      <c r="O95" s="1707"/>
      <c r="P95" s="1707"/>
      <c r="Q95" s="1707"/>
      <c r="R95" s="1707"/>
      <c r="S95" s="1707"/>
      <c r="T95" s="1707"/>
      <c r="U95" s="1707"/>
      <c r="V95" s="1707"/>
      <c r="W95" s="1707"/>
      <c r="X95" s="1707"/>
      <c r="Y95" s="1707"/>
      <c r="Z95" s="1707"/>
      <c r="AA95" s="1707"/>
      <c r="AB95" s="1707"/>
      <c r="AC95" s="1707"/>
      <c r="AD95" s="1707"/>
      <c r="AE95" s="1707"/>
      <c r="AF95" s="1707"/>
      <c r="AG95" s="1707"/>
      <c r="AH95" s="1707"/>
      <c r="AI95" s="1707"/>
      <c r="AJ95" s="1707"/>
      <c r="AK95" s="1707"/>
      <c r="AL95" s="1707"/>
      <c r="AM95" s="1707"/>
      <c r="AN95" s="1707"/>
      <c r="AO95" s="1707"/>
      <c r="AP95" s="1707"/>
      <c r="AQ95" s="1707"/>
      <c r="AR95" s="1707"/>
      <c r="AS95" s="1707"/>
      <c r="AT95" s="1707"/>
      <c r="AU95" s="1707"/>
      <c r="AV95" s="1707"/>
      <c r="AW95" s="1707"/>
      <c r="AX95" s="1707"/>
      <c r="AY95" s="1707"/>
      <c r="AZ95" s="1707"/>
      <c r="BA95" s="1707"/>
      <c r="BB95" s="1707"/>
      <c r="BC95" s="1707"/>
      <c r="BD95" s="1707"/>
      <c r="BE95" s="1707"/>
      <c r="BF95" s="1707"/>
      <c r="BG95" s="1707"/>
      <c r="BH95" s="1707"/>
      <c r="BI95" s="1707"/>
      <c r="BJ95" s="1707"/>
      <c r="BK95" s="1707"/>
      <c r="BL95" s="1707"/>
      <c r="BM95" s="1707"/>
      <c r="BN95" s="1707"/>
      <c r="BO95" s="1707"/>
      <c r="BP95" s="1707"/>
      <c r="BQ95" s="1707"/>
      <c r="BR95" s="1707"/>
      <c r="BS95" s="1707"/>
      <c r="BT95" s="1707"/>
      <c r="BU95" s="1707"/>
      <c r="BV95" s="1707"/>
      <c r="BW95" s="1707"/>
      <c r="BX95" s="1707"/>
      <c r="BY95" s="1707"/>
      <c r="BZ95" s="1707"/>
      <c r="CA95" s="1707"/>
      <c r="CB95" s="1707"/>
      <c r="CC95" s="1707"/>
      <c r="CD95" s="1707"/>
      <c r="CE95" s="1707"/>
      <c r="CF95" s="1707"/>
      <c r="CG95" s="1707"/>
      <c r="CH95" s="1707"/>
      <c r="CI95" s="1707"/>
      <c r="CJ95" s="1707"/>
      <c r="CK95" s="1707"/>
      <c r="CL95" s="1707"/>
      <c r="CM95" s="1707"/>
      <c r="CN95" s="1707"/>
      <c r="CO95" s="1707"/>
      <c r="CP95" s="1707"/>
      <c r="CQ95" s="1707"/>
      <c r="CR95" s="1707"/>
      <c r="CS95" s="1707"/>
      <c r="CT95" s="1707"/>
      <c r="CU95" s="1707"/>
      <c r="CV95" s="1707"/>
      <c r="CW95" s="1707"/>
      <c r="CX95" s="1707"/>
      <c r="CY95" s="1707"/>
      <c r="CZ95" s="1707"/>
      <c r="DA95" s="1707"/>
      <c r="DB95" s="1707"/>
      <c r="DC95" s="1707"/>
      <c r="DD95" s="1707"/>
      <c r="DE95" s="1707"/>
      <c r="DF95" s="1707"/>
      <c r="DG95" s="1707"/>
      <c r="DH95" s="1707"/>
      <c r="DI95" s="1707"/>
      <c r="DJ95" s="1707"/>
      <c r="DK95" s="1707"/>
      <c r="DL95" s="1707"/>
      <c r="DM95" s="1707"/>
      <c r="DN95" s="1707"/>
      <c r="DO95" s="1707"/>
      <c r="DP95" s="1707"/>
      <c r="DQ95" s="1707"/>
      <c r="DR95" s="1707"/>
      <c r="DS95" s="1707"/>
      <c r="DT95" s="1707"/>
      <c r="DU95" s="1707"/>
    </row>
    <row r="96" spans="1:125" ht="12" customHeight="1">
      <c r="A96" s="1707"/>
      <c r="B96" s="1707"/>
      <c r="C96" s="1707"/>
      <c r="D96" s="1707"/>
      <c r="E96" s="1707"/>
      <c r="F96" s="1707"/>
      <c r="G96" s="1707"/>
      <c r="H96" s="1707"/>
      <c r="I96" s="1707"/>
      <c r="J96" s="1707"/>
      <c r="K96" s="1707"/>
      <c r="L96" s="1707"/>
      <c r="M96" s="1707"/>
      <c r="N96" s="1707"/>
      <c r="O96" s="1707"/>
      <c r="P96" s="1707"/>
      <c r="Q96" s="1707"/>
      <c r="R96" s="1707"/>
      <c r="S96" s="1707"/>
      <c r="T96" s="1707"/>
      <c r="U96" s="1707"/>
      <c r="V96" s="1707"/>
      <c r="W96" s="1707"/>
      <c r="X96" s="1707"/>
      <c r="Y96" s="1707"/>
      <c r="Z96" s="1707"/>
      <c r="AA96" s="1707"/>
      <c r="AB96" s="1707"/>
      <c r="AC96" s="1707"/>
      <c r="AD96" s="1707"/>
      <c r="AE96" s="1707"/>
      <c r="AF96" s="1707"/>
      <c r="AG96" s="1707"/>
      <c r="AH96" s="1707"/>
      <c r="AI96" s="1707"/>
      <c r="AJ96" s="1707"/>
      <c r="AK96" s="1707"/>
      <c r="AL96" s="1707"/>
      <c r="AM96" s="1707"/>
      <c r="AN96" s="1707"/>
      <c r="AO96" s="1707"/>
      <c r="AP96" s="1707"/>
      <c r="AQ96" s="1707"/>
      <c r="AR96" s="1707"/>
      <c r="AS96" s="1707"/>
      <c r="AT96" s="1707"/>
      <c r="AU96" s="1707"/>
      <c r="AV96" s="1707"/>
      <c r="AW96" s="1707"/>
      <c r="AX96" s="1707"/>
      <c r="AY96" s="1707"/>
      <c r="AZ96" s="1707"/>
      <c r="BA96" s="1707"/>
      <c r="BB96" s="1707"/>
      <c r="BC96" s="1707"/>
      <c r="BD96" s="1707"/>
      <c r="BE96" s="1707"/>
      <c r="BF96" s="1707"/>
      <c r="BG96" s="1707"/>
      <c r="BH96" s="1707"/>
      <c r="BI96" s="1707"/>
      <c r="BJ96" s="1707"/>
      <c r="BK96" s="1707"/>
      <c r="BL96" s="1707"/>
      <c r="BM96" s="1707"/>
      <c r="BN96" s="1707"/>
      <c r="BO96" s="1707"/>
      <c r="BP96" s="1707"/>
      <c r="BQ96" s="1707"/>
      <c r="BR96" s="1707"/>
      <c r="BS96" s="1707"/>
      <c r="BT96" s="1707"/>
      <c r="BU96" s="1707"/>
      <c r="BV96" s="1707"/>
      <c r="BW96" s="1707"/>
      <c r="BX96" s="1707"/>
      <c r="BY96" s="1707"/>
      <c r="BZ96" s="1707"/>
      <c r="CA96" s="1707"/>
      <c r="CB96" s="1707"/>
      <c r="CC96" s="1707"/>
      <c r="CD96" s="1707"/>
      <c r="CE96" s="1707"/>
      <c r="CF96" s="1707"/>
      <c r="CG96" s="1707"/>
      <c r="CH96" s="1707"/>
      <c r="CI96" s="1707"/>
      <c r="CJ96" s="1707"/>
      <c r="CK96" s="1707"/>
      <c r="CL96" s="1707"/>
      <c r="CM96" s="1707"/>
      <c r="CN96" s="1707"/>
      <c r="CO96" s="1707"/>
      <c r="CP96" s="1707"/>
      <c r="CQ96" s="1707"/>
      <c r="CR96" s="1707"/>
      <c r="CS96" s="1707"/>
      <c r="CT96" s="1707"/>
      <c r="CU96" s="1707"/>
      <c r="CV96" s="1707"/>
      <c r="CW96" s="1707"/>
      <c r="CX96" s="1707"/>
      <c r="CY96" s="1707"/>
      <c r="CZ96" s="1707"/>
      <c r="DA96" s="1707"/>
      <c r="DB96" s="1707"/>
      <c r="DC96" s="1707"/>
      <c r="DD96" s="1707"/>
      <c r="DE96" s="1707"/>
      <c r="DF96" s="1707"/>
      <c r="DG96" s="1707"/>
      <c r="DH96" s="1707"/>
      <c r="DI96" s="1707"/>
      <c r="DJ96" s="1707"/>
      <c r="DK96" s="1707"/>
      <c r="DL96" s="1707"/>
      <c r="DM96" s="1707"/>
      <c r="DN96" s="1707"/>
      <c r="DO96" s="1707"/>
      <c r="DP96" s="1707"/>
      <c r="DQ96" s="1707"/>
      <c r="DR96" s="1707"/>
      <c r="DS96" s="1707"/>
      <c r="DT96" s="1707"/>
      <c r="DU96" s="1707"/>
    </row>
    <row r="97" spans="1:125" ht="12" customHeight="1">
      <c r="A97" s="1707"/>
      <c r="B97" s="1707"/>
      <c r="C97" s="1707"/>
      <c r="D97" s="1707"/>
      <c r="E97" s="1707"/>
      <c r="F97" s="1707"/>
      <c r="G97" s="1707"/>
      <c r="H97" s="1707"/>
      <c r="I97" s="1707"/>
      <c r="J97" s="1707"/>
      <c r="K97" s="1707"/>
      <c r="L97" s="1707"/>
      <c r="M97" s="1707"/>
      <c r="N97" s="1707"/>
      <c r="O97" s="1707"/>
      <c r="P97" s="1707"/>
      <c r="Q97" s="1707"/>
      <c r="R97" s="1707"/>
      <c r="S97" s="1707"/>
      <c r="T97" s="1707"/>
      <c r="U97" s="1707"/>
      <c r="V97" s="1707"/>
      <c r="W97" s="1707"/>
      <c r="X97" s="1707"/>
      <c r="Y97" s="1707"/>
      <c r="Z97" s="1707"/>
      <c r="AA97" s="1707"/>
      <c r="AB97" s="1707"/>
      <c r="AC97" s="1707"/>
      <c r="AD97" s="1707"/>
      <c r="AE97" s="1707"/>
      <c r="AF97" s="1707"/>
      <c r="AG97" s="1707"/>
      <c r="AH97" s="1707"/>
      <c r="AI97" s="1707"/>
      <c r="AJ97" s="1707"/>
      <c r="AK97" s="1707"/>
      <c r="AL97" s="1707"/>
      <c r="AM97" s="1707"/>
      <c r="AN97" s="1707"/>
      <c r="AO97" s="1707"/>
      <c r="AP97" s="1707"/>
      <c r="AQ97" s="1707"/>
      <c r="AR97" s="1707"/>
      <c r="AS97" s="1707"/>
      <c r="AT97" s="1707"/>
      <c r="AU97" s="1707"/>
      <c r="AV97" s="1707"/>
      <c r="AW97" s="1707"/>
      <c r="AX97" s="1707"/>
      <c r="AY97" s="1707"/>
      <c r="AZ97" s="1707"/>
      <c r="BA97" s="1707"/>
      <c r="BB97" s="1707"/>
      <c r="BC97" s="1707"/>
      <c r="BD97" s="1707"/>
      <c r="BE97" s="1707"/>
      <c r="BF97" s="1707"/>
      <c r="BG97" s="1707"/>
      <c r="BH97" s="1707"/>
      <c r="BI97" s="1707"/>
      <c r="BJ97" s="1707"/>
      <c r="BK97" s="1707"/>
      <c r="BL97" s="1707"/>
      <c r="BM97" s="1707"/>
      <c r="BN97" s="1707"/>
      <c r="BO97" s="1707"/>
      <c r="BP97" s="1707"/>
      <c r="BQ97" s="1707"/>
      <c r="BR97" s="1707"/>
      <c r="BS97" s="1707"/>
      <c r="BT97" s="1707"/>
      <c r="BU97" s="1707"/>
      <c r="BV97" s="1707"/>
      <c r="BW97" s="1707"/>
      <c r="BX97" s="1707"/>
      <c r="BY97" s="1707"/>
      <c r="BZ97" s="1707"/>
      <c r="CA97" s="1707"/>
      <c r="CB97" s="1707"/>
      <c r="CC97" s="1707"/>
      <c r="CD97" s="1707"/>
      <c r="CE97" s="1707"/>
      <c r="CF97" s="1707"/>
      <c r="CG97" s="1707"/>
      <c r="CH97" s="1707"/>
      <c r="CI97" s="1707"/>
      <c r="CJ97" s="1707"/>
      <c r="CK97" s="1707"/>
      <c r="CL97" s="1707"/>
      <c r="CM97" s="1707"/>
      <c r="CN97" s="1707"/>
      <c r="CO97" s="1707"/>
      <c r="CP97" s="1707"/>
      <c r="CQ97" s="1707"/>
      <c r="CR97" s="1707"/>
      <c r="CS97" s="1707"/>
      <c r="CT97" s="1707"/>
      <c r="CU97" s="1707"/>
      <c r="CV97" s="1707"/>
      <c r="CW97" s="1707"/>
      <c r="CX97" s="1707"/>
      <c r="CY97" s="1707"/>
      <c r="CZ97" s="1707"/>
      <c r="DA97" s="1707"/>
      <c r="DB97" s="1707"/>
      <c r="DC97" s="1707"/>
      <c r="DD97" s="1707"/>
      <c r="DE97" s="1707"/>
      <c r="DF97" s="1707"/>
      <c r="DG97" s="1707"/>
      <c r="DH97" s="1707"/>
      <c r="DI97" s="1707"/>
      <c r="DJ97" s="1707"/>
      <c r="DK97" s="1707"/>
      <c r="DL97" s="1707"/>
      <c r="DM97" s="1707"/>
      <c r="DN97" s="1707"/>
      <c r="DO97" s="1707"/>
      <c r="DP97" s="1707"/>
      <c r="DQ97" s="1707"/>
      <c r="DR97" s="1707"/>
      <c r="DS97" s="1707"/>
      <c r="DT97" s="1707"/>
      <c r="DU97" s="1707"/>
    </row>
    <row r="98" spans="1:125" ht="12" customHeight="1">
      <c r="A98" s="1707"/>
      <c r="B98" s="1707"/>
      <c r="C98" s="1707"/>
      <c r="D98" s="1707"/>
      <c r="E98" s="1707"/>
      <c r="F98" s="1707"/>
      <c r="G98" s="1707"/>
      <c r="H98" s="1707"/>
      <c r="I98" s="1707"/>
      <c r="J98" s="1707"/>
      <c r="K98" s="1707"/>
      <c r="L98" s="1707"/>
      <c r="M98" s="1707"/>
      <c r="N98" s="1707"/>
      <c r="O98" s="1707"/>
      <c r="P98" s="1707"/>
      <c r="Q98" s="1707"/>
      <c r="R98" s="1707"/>
      <c r="S98" s="1707"/>
      <c r="T98" s="1707"/>
      <c r="U98" s="1707"/>
      <c r="V98" s="1707"/>
      <c r="W98" s="1707"/>
      <c r="X98" s="1707"/>
      <c r="Y98" s="1707"/>
      <c r="Z98" s="1707"/>
      <c r="AA98" s="1707"/>
      <c r="AB98" s="1707"/>
      <c r="AC98" s="1707"/>
      <c r="AD98" s="1707"/>
      <c r="AE98" s="1707"/>
      <c r="AF98" s="1707"/>
      <c r="AG98" s="1707"/>
      <c r="AH98" s="1707"/>
      <c r="AI98" s="1707"/>
      <c r="AJ98" s="1707"/>
      <c r="AK98" s="1707"/>
      <c r="AL98" s="1707"/>
      <c r="AM98" s="1707"/>
      <c r="AN98" s="1707"/>
      <c r="AO98" s="1707"/>
      <c r="AP98" s="1707"/>
      <c r="AQ98" s="1707"/>
      <c r="AR98" s="1707"/>
      <c r="AS98" s="1707"/>
      <c r="AT98" s="1707"/>
      <c r="AU98" s="1707"/>
      <c r="AV98" s="1707"/>
      <c r="AW98" s="1707"/>
      <c r="AX98" s="1707"/>
      <c r="AY98" s="1707"/>
      <c r="AZ98" s="1707"/>
      <c r="BA98" s="1707"/>
      <c r="BB98" s="1707"/>
      <c r="BC98" s="1707"/>
      <c r="BD98" s="1707"/>
      <c r="BE98" s="1707"/>
      <c r="BF98" s="1707"/>
      <c r="BG98" s="1707"/>
      <c r="BH98" s="1707"/>
      <c r="BI98" s="1707"/>
      <c r="BJ98" s="1707"/>
      <c r="BK98" s="1707"/>
      <c r="BL98" s="1707"/>
      <c r="BM98" s="1707"/>
      <c r="BN98" s="1707"/>
      <c r="BO98" s="1707"/>
      <c r="BP98" s="1707"/>
      <c r="BQ98" s="1707"/>
      <c r="BR98" s="1707"/>
      <c r="BS98" s="1707"/>
      <c r="BT98" s="1707"/>
      <c r="BU98" s="1707"/>
      <c r="BV98" s="1707"/>
      <c r="BW98" s="1707"/>
      <c r="BX98" s="1707"/>
      <c r="BY98" s="1707"/>
      <c r="BZ98" s="1707"/>
      <c r="CA98" s="1707"/>
      <c r="CB98" s="1707"/>
      <c r="CC98" s="1707"/>
      <c r="CD98" s="1707"/>
      <c r="CE98" s="1707"/>
      <c r="CF98" s="1707"/>
      <c r="CG98" s="1707"/>
      <c r="CH98" s="1707"/>
      <c r="CI98" s="1707"/>
      <c r="CJ98" s="1707"/>
      <c r="CK98" s="1707"/>
      <c r="CL98" s="1707"/>
      <c r="CM98" s="1707"/>
      <c r="CN98" s="1707"/>
      <c r="CO98" s="1707"/>
      <c r="CP98" s="1707"/>
      <c r="CQ98" s="1707"/>
      <c r="CR98" s="1707"/>
      <c r="CS98" s="1707"/>
      <c r="CT98" s="1707"/>
      <c r="CU98" s="1707"/>
      <c r="CV98" s="1707"/>
      <c r="CW98" s="1707"/>
      <c r="CX98" s="1707"/>
      <c r="CY98" s="1707"/>
      <c r="CZ98" s="1707"/>
      <c r="DA98" s="1707"/>
      <c r="DB98" s="1707"/>
      <c r="DC98" s="1707"/>
      <c r="DD98" s="1707"/>
      <c r="DE98" s="1707"/>
      <c r="DF98" s="1707"/>
      <c r="DG98" s="1707"/>
      <c r="DH98" s="1707"/>
      <c r="DI98" s="1707"/>
      <c r="DJ98" s="1707"/>
      <c r="DK98" s="1707"/>
      <c r="DL98" s="1707"/>
      <c r="DM98" s="1707"/>
      <c r="DN98" s="1707"/>
      <c r="DO98" s="1707"/>
      <c r="DP98" s="1707"/>
      <c r="DQ98" s="1707"/>
      <c r="DR98" s="1707"/>
      <c r="DS98" s="1707"/>
      <c r="DT98" s="1707"/>
      <c r="DU98" s="1707"/>
    </row>
    <row r="99" spans="1:125" ht="12" customHeight="1">
      <c r="A99" s="1707"/>
      <c r="B99" s="1707"/>
      <c r="C99" s="1707"/>
      <c r="D99" s="1707"/>
      <c r="E99" s="1707"/>
      <c r="F99" s="1707"/>
      <c r="G99" s="1707"/>
      <c r="H99" s="1707"/>
      <c r="I99" s="1707"/>
      <c r="J99" s="1707"/>
      <c r="K99" s="1707"/>
      <c r="L99" s="1707"/>
      <c r="M99" s="1707"/>
      <c r="N99" s="1707"/>
      <c r="O99" s="1707"/>
      <c r="P99" s="1707"/>
      <c r="Q99" s="1707"/>
      <c r="R99" s="1707"/>
      <c r="S99" s="1707"/>
      <c r="T99" s="1707"/>
      <c r="U99" s="1707"/>
      <c r="V99" s="1707"/>
      <c r="W99" s="1707"/>
      <c r="X99" s="1707"/>
      <c r="Y99" s="1707"/>
      <c r="Z99" s="1707"/>
      <c r="AA99" s="1707"/>
      <c r="AB99" s="1707"/>
      <c r="AC99" s="1707"/>
      <c r="AD99" s="1707"/>
      <c r="AE99" s="1707"/>
      <c r="AF99" s="1707"/>
      <c r="AG99" s="1707"/>
      <c r="AH99" s="1707"/>
      <c r="AI99" s="1707"/>
      <c r="AJ99" s="1707"/>
      <c r="AK99" s="1707"/>
      <c r="AL99" s="1707"/>
      <c r="AM99" s="1707"/>
      <c r="AN99" s="1707"/>
      <c r="AO99" s="1707"/>
      <c r="AP99" s="1707"/>
      <c r="AQ99" s="1707"/>
      <c r="AR99" s="1707"/>
      <c r="AS99" s="1707"/>
      <c r="AT99" s="1707"/>
      <c r="AU99" s="1707"/>
      <c r="AV99" s="1707"/>
      <c r="AW99" s="1707"/>
      <c r="AX99" s="1707"/>
      <c r="AY99" s="1707"/>
      <c r="AZ99" s="1707"/>
      <c r="BA99" s="1707"/>
      <c r="BB99" s="1707"/>
      <c r="BC99" s="1707"/>
      <c r="BD99" s="1707"/>
      <c r="BE99" s="1707"/>
      <c r="BF99" s="1707"/>
      <c r="BG99" s="1707"/>
      <c r="BH99" s="1707"/>
      <c r="BI99" s="1707"/>
      <c r="BJ99" s="1707"/>
      <c r="BK99" s="1707"/>
      <c r="BL99" s="1707"/>
      <c r="BM99" s="1707"/>
      <c r="BN99" s="1707"/>
      <c r="BO99" s="1707"/>
      <c r="BP99" s="1707"/>
      <c r="BQ99" s="1707"/>
      <c r="BR99" s="1707"/>
      <c r="BS99" s="1707"/>
      <c r="BT99" s="1707"/>
      <c r="BU99" s="1707"/>
      <c r="BV99" s="1707"/>
      <c r="BW99" s="1707"/>
      <c r="BX99" s="1707"/>
      <c r="BY99" s="1707"/>
      <c r="BZ99" s="1707"/>
      <c r="CA99" s="1707"/>
      <c r="CB99" s="1707"/>
      <c r="CC99" s="1707"/>
      <c r="CD99" s="1707"/>
      <c r="CE99" s="1707"/>
      <c r="CF99" s="1707"/>
      <c r="CG99" s="1707"/>
      <c r="CH99" s="1707"/>
      <c r="CI99" s="1707"/>
      <c r="CJ99" s="1707"/>
      <c r="CK99" s="1707"/>
      <c r="CL99" s="1707"/>
      <c r="CM99" s="1707"/>
      <c r="CN99" s="1707"/>
      <c r="CO99" s="1707"/>
      <c r="CP99" s="1707"/>
      <c r="CQ99" s="1707"/>
      <c r="CR99" s="1707"/>
      <c r="CS99" s="1707"/>
      <c r="CT99" s="1707"/>
      <c r="CU99" s="1707"/>
      <c r="CV99" s="1707"/>
      <c r="CW99" s="1707"/>
      <c r="CX99" s="1707"/>
      <c r="CY99" s="1707"/>
      <c r="CZ99" s="1707"/>
      <c r="DA99" s="1707"/>
      <c r="DB99" s="1707"/>
      <c r="DC99" s="1707"/>
      <c r="DD99" s="1707"/>
      <c r="DE99" s="1707"/>
      <c r="DF99" s="1707"/>
      <c r="DG99" s="1707"/>
      <c r="DH99" s="1707"/>
      <c r="DI99" s="1707"/>
      <c r="DJ99" s="1707"/>
      <c r="DK99" s="1707"/>
      <c r="DL99" s="1707"/>
      <c r="DM99" s="1707"/>
      <c r="DN99" s="1707"/>
      <c r="DO99" s="1707"/>
      <c r="DP99" s="1707"/>
      <c r="DQ99" s="1707"/>
      <c r="DR99" s="1707"/>
      <c r="DS99" s="1707"/>
      <c r="DT99" s="1707"/>
      <c r="DU99" s="1707"/>
    </row>
    <row r="100" spans="1:125" ht="12" customHeight="1">
      <c r="A100" s="1707"/>
      <c r="B100" s="1707"/>
      <c r="C100" s="1707"/>
      <c r="D100" s="1707"/>
      <c r="E100" s="1707"/>
      <c r="F100" s="1707"/>
      <c r="G100" s="1707"/>
      <c r="H100" s="1707"/>
      <c r="I100" s="1707"/>
      <c r="J100" s="1707"/>
      <c r="K100" s="1707"/>
      <c r="L100" s="1707"/>
      <c r="M100" s="1707"/>
      <c r="N100" s="1707"/>
      <c r="O100" s="1707"/>
      <c r="P100" s="1707"/>
      <c r="Q100" s="1707"/>
      <c r="R100" s="1707"/>
      <c r="S100" s="1707"/>
      <c r="T100" s="1707"/>
      <c r="U100" s="1707"/>
      <c r="V100" s="1707"/>
      <c r="W100" s="1707"/>
      <c r="X100" s="1707"/>
      <c r="Y100" s="1707"/>
      <c r="Z100" s="1707"/>
      <c r="AA100" s="1707"/>
      <c r="AB100" s="1707"/>
      <c r="AC100" s="1707"/>
      <c r="AD100" s="1707"/>
      <c r="AE100" s="1707"/>
      <c r="AF100" s="1707"/>
      <c r="AG100" s="1707"/>
      <c r="AH100" s="1707"/>
      <c r="AI100" s="1707"/>
      <c r="AJ100" s="1707"/>
      <c r="AK100" s="1707"/>
      <c r="AL100" s="1707"/>
      <c r="AM100" s="1707"/>
      <c r="AN100" s="1707"/>
      <c r="AO100" s="1707"/>
      <c r="AP100" s="1707"/>
      <c r="AQ100" s="1707"/>
      <c r="AR100" s="1707"/>
      <c r="AS100" s="1707"/>
      <c r="AT100" s="1707"/>
      <c r="AU100" s="1707"/>
      <c r="AV100" s="1707"/>
      <c r="AW100" s="1707"/>
      <c r="AX100" s="1707"/>
      <c r="AY100" s="1707"/>
      <c r="AZ100" s="1707"/>
      <c r="BA100" s="1707"/>
      <c r="BB100" s="1707"/>
      <c r="BC100" s="1707"/>
      <c r="BD100" s="1707"/>
      <c r="BE100" s="1707"/>
      <c r="BF100" s="1707"/>
      <c r="BG100" s="1707"/>
      <c r="BH100" s="1707"/>
      <c r="BI100" s="1707"/>
      <c r="BJ100" s="1707"/>
      <c r="BK100" s="1707"/>
      <c r="BL100" s="1707"/>
      <c r="BM100" s="1707"/>
      <c r="BN100" s="1707"/>
      <c r="BO100" s="1707"/>
      <c r="BP100" s="1707"/>
      <c r="BQ100" s="1707"/>
      <c r="BR100" s="1707"/>
      <c r="BS100" s="1707"/>
      <c r="BT100" s="1707"/>
      <c r="BU100" s="1707"/>
      <c r="BV100" s="1707"/>
      <c r="BW100" s="1707"/>
      <c r="BX100" s="1707"/>
      <c r="BY100" s="1707"/>
      <c r="BZ100" s="1707"/>
      <c r="CA100" s="1707"/>
      <c r="CB100" s="1707"/>
      <c r="CC100" s="1707"/>
      <c r="CD100" s="1707"/>
      <c r="CE100" s="1707"/>
      <c r="CF100" s="1707"/>
      <c r="CG100" s="1707"/>
      <c r="CH100" s="1707"/>
      <c r="CI100" s="1707"/>
      <c r="CJ100" s="1707"/>
      <c r="CK100" s="1707"/>
      <c r="CL100" s="1707"/>
      <c r="CM100" s="1707"/>
      <c r="CN100" s="1707"/>
      <c r="CO100" s="1707"/>
      <c r="CP100" s="1707"/>
      <c r="CQ100" s="1707"/>
      <c r="CR100" s="1707"/>
      <c r="CS100" s="1707"/>
      <c r="CT100" s="1707"/>
      <c r="CU100" s="1707"/>
      <c r="CV100" s="1707"/>
      <c r="CW100" s="1707"/>
      <c r="CX100" s="1707"/>
      <c r="CY100" s="1707"/>
      <c r="CZ100" s="1707"/>
      <c r="DA100" s="1707"/>
      <c r="DB100" s="1707"/>
      <c r="DC100" s="1707"/>
      <c r="DD100" s="1707"/>
      <c r="DE100" s="1707"/>
      <c r="DF100" s="1707"/>
      <c r="DG100" s="1707"/>
      <c r="DH100" s="1707"/>
      <c r="DI100" s="1707"/>
      <c r="DJ100" s="1707"/>
      <c r="DK100" s="1707"/>
      <c r="DL100" s="1707"/>
      <c r="DM100" s="1707"/>
      <c r="DN100" s="1707"/>
      <c r="DO100" s="1707"/>
      <c r="DP100" s="1707"/>
      <c r="DQ100" s="1707"/>
      <c r="DR100" s="1707"/>
      <c r="DS100" s="1707"/>
      <c r="DT100" s="1707"/>
      <c r="DU100" s="1707"/>
    </row>
    <row r="101" spans="1:125" ht="12" customHeight="1">
      <c r="A101" s="1707"/>
      <c r="B101" s="1707"/>
      <c r="C101" s="1707"/>
      <c r="D101" s="1707"/>
      <c r="E101" s="1707"/>
      <c r="F101" s="1707"/>
      <c r="G101" s="1707"/>
      <c r="H101" s="1707"/>
      <c r="I101" s="1707"/>
      <c r="J101" s="1707"/>
      <c r="K101" s="1707"/>
      <c r="L101" s="1707"/>
      <c r="M101" s="1707"/>
      <c r="N101" s="1707"/>
      <c r="O101" s="1707"/>
      <c r="P101" s="1707"/>
      <c r="Q101" s="1707"/>
      <c r="R101" s="1707"/>
      <c r="S101" s="1707"/>
      <c r="T101" s="1707"/>
      <c r="U101" s="1707"/>
      <c r="V101" s="1707"/>
      <c r="W101" s="1707"/>
      <c r="X101" s="1707"/>
      <c r="Y101" s="1707"/>
      <c r="Z101" s="1707"/>
      <c r="AA101" s="1707"/>
      <c r="AB101" s="1707"/>
      <c r="AC101" s="1707"/>
      <c r="AD101" s="1707"/>
      <c r="AE101" s="1707"/>
      <c r="AF101" s="1707"/>
      <c r="AG101" s="1707"/>
      <c r="AH101" s="1707"/>
      <c r="AI101" s="1707"/>
      <c r="AJ101" s="1707"/>
      <c r="AK101" s="1707"/>
      <c r="AL101" s="1707"/>
      <c r="AM101" s="1707"/>
      <c r="AN101" s="1707"/>
      <c r="AO101" s="1707"/>
      <c r="AP101" s="1707"/>
      <c r="AQ101" s="1707"/>
      <c r="AR101" s="1707"/>
      <c r="AS101" s="1707"/>
      <c r="AT101" s="1707"/>
      <c r="AU101" s="1707"/>
      <c r="AV101" s="1707"/>
      <c r="AW101" s="1707"/>
      <c r="AX101" s="1707"/>
      <c r="AY101" s="1707"/>
      <c r="AZ101" s="1707"/>
      <c r="BA101" s="1707"/>
      <c r="BB101" s="1707"/>
      <c r="BC101" s="1707"/>
      <c r="BD101" s="1707"/>
      <c r="BE101" s="1707"/>
      <c r="BF101" s="1707"/>
      <c r="BG101" s="1707"/>
      <c r="BH101" s="1707"/>
      <c r="BI101" s="1707"/>
      <c r="BJ101" s="1707"/>
      <c r="BK101" s="1707"/>
      <c r="BL101" s="1707"/>
      <c r="BM101" s="1707"/>
      <c r="BN101" s="1707"/>
      <c r="BO101" s="1707"/>
      <c r="BP101" s="1707"/>
      <c r="BQ101" s="1707"/>
      <c r="BR101" s="1707"/>
      <c r="BS101" s="1707"/>
      <c r="BT101" s="1707"/>
      <c r="BU101" s="1707"/>
      <c r="BV101" s="1707"/>
      <c r="BW101" s="1707"/>
      <c r="BX101" s="1707"/>
      <c r="BY101" s="1707"/>
      <c r="BZ101" s="1707"/>
      <c r="CA101" s="1707"/>
      <c r="CB101" s="1707"/>
      <c r="CC101" s="1707"/>
      <c r="CD101" s="1707"/>
      <c r="CE101" s="1707"/>
      <c r="CF101" s="1707"/>
      <c r="CG101" s="1707"/>
      <c r="CH101" s="1707"/>
      <c r="CI101" s="1707"/>
      <c r="CJ101" s="1707"/>
      <c r="CK101" s="1707"/>
      <c r="CL101" s="1707"/>
      <c r="CM101" s="1707"/>
      <c r="CN101" s="1707"/>
      <c r="CO101" s="1707"/>
      <c r="CP101" s="1707"/>
      <c r="CQ101" s="1707"/>
      <c r="CR101" s="1707"/>
      <c r="CS101" s="1707"/>
      <c r="CT101" s="1707"/>
      <c r="CU101" s="1707"/>
      <c r="CV101" s="1707"/>
      <c r="CW101" s="1707"/>
      <c r="CX101" s="1707"/>
      <c r="CY101" s="1707"/>
      <c r="CZ101" s="1707"/>
      <c r="DA101" s="1707"/>
      <c r="DB101" s="1707"/>
      <c r="DC101" s="1707"/>
      <c r="DD101" s="1707"/>
      <c r="DE101" s="1707"/>
      <c r="DF101" s="1707"/>
      <c r="DG101" s="1707"/>
      <c r="DH101" s="1707"/>
      <c r="DI101" s="1707"/>
      <c r="DJ101" s="1707"/>
      <c r="DK101" s="1707"/>
      <c r="DL101" s="1707"/>
      <c r="DM101" s="1707"/>
      <c r="DN101" s="1707"/>
      <c r="DO101" s="1707"/>
      <c r="DP101" s="1707"/>
      <c r="DQ101" s="1707"/>
      <c r="DR101" s="1707"/>
      <c r="DS101" s="1707"/>
      <c r="DT101" s="1707"/>
      <c r="DU101" s="1707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03" t="s">
        <v>47</v>
      </c>
      <c r="CE6" s="1803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804" t="s">
        <v>48</v>
      </c>
      <c r="CT6" s="1804"/>
      <c r="CU6" s="1805" t="s">
        <v>47</v>
      </c>
      <c r="CV6" s="1805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801" t="s">
        <v>48</v>
      </c>
      <c r="DK6" s="1801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41" customWidth="1"/>
    <col min="3" max="4" width="8.83203125" style="1641" customWidth="1"/>
    <col min="5" max="5" width="8.1640625" style="1641" customWidth="1"/>
    <col min="6" max="6" width="9.83203125" style="1641" customWidth="1"/>
    <col min="7" max="7" width="1.83203125" style="1641" customWidth="1"/>
    <col min="8" max="8" width="9.1640625" style="1642" customWidth="1"/>
    <col min="9" max="10" width="9" style="1642" customWidth="1"/>
    <col min="11" max="11" width="8.5" style="1642" customWidth="1"/>
    <col min="12" max="12" width="1.83203125" style="1641" customWidth="1"/>
    <col min="13" max="16" width="8.33203125" style="1641" customWidth="1"/>
    <col min="17" max="17" width="40.6640625" style="1564" customWidth="1"/>
    <col min="18" max="18" width="7.6640625" style="1643" customWidth="1"/>
    <col min="19" max="21" width="7.6640625" style="1644" customWidth="1"/>
    <col min="22" max="16384" width="11.5" style="1376"/>
  </cols>
  <sheetData>
    <row r="1" spans="1:22" s="1369" customFormat="1" ht="15" customHeight="1" thickBot="1">
      <c r="A1" s="1358" t="str">
        <f>IF(Data!A1="","",Data!A1)</f>
        <v>South Africa Baseline Assessment</v>
      </c>
      <c r="B1" s="1359"/>
      <c r="C1" s="1358" t="str">
        <f>IF(Data!BV1="","",Data!BV1)</f>
        <v>ZACNI</v>
      </c>
      <c r="D1" s="1360"/>
      <c r="E1" s="1360"/>
      <c r="F1" s="1360"/>
      <c r="G1" s="1361"/>
      <c r="H1" s="1358" t="str">
        <f>IF(C1="","",C1)</f>
        <v>ZACNI</v>
      </c>
      <c r="I1" s="1360"/>
      <c r="J1" s="1362" t="s">
        <v>937</v>
      </c>
      <c r="K1" s="1363">
        <f>Data!$K$1</f>
        <v>4.1867999999999999</v>
      </c>
      <c r="L1" s="1361"/>
      <c r="M1" s="1364" t="s">
        <v>712</v>
      </c>
      <c r="N1" s="1365"/>
      <c r="O1" s="1365"/>
      <c r="P1" s="1366">
        <f>Data!$G$1</f>
        <v>8800</v>
      </c>
      <c r="Q1" s="1367" t="str">
        <f>Data!$H$1</f>
        <v>kJ</v>
      </c>
      <c r="R1" s="1368"/>
      <c r="S1" s="1368"/>
      <c r="T1" s="1368"/>
      <c r="U1" s="1368"/>
      <c r="V1" s="1368"/>
    </row>
    <row r="2" spans="1:22" ht="14" customHeight="1" thickBot="1">
      <c r="A2" s="1370"/>
      <c r="B2" s="1371"/>
      <c r="C2" s="1372" t="s">
        <v>109</v>
      </c>
      <c r="D2" s="1373"/>
      <c r="E2" s="1373"/>
      <c r="F2" s="1373"/>
      <c r="G2" s="1374"/>
      <c r="H2" s="1372" t="s">
        <v>484</v>
      </c>
      <c r="I2" s="1373"/>
      <c r="J2" s="1373"/>
      <c r="K2" s="1373"/>
      <c r="L2" s="1374"/>
      <c r="M2" s="1372"/>
      <c r="N2" s="1373"/>
      <c r="O2" s="1373"/>
      <c r="P2" s="1373"/>
      <c r="Q2" s="1375"/>
      <c r="R2" s="1375"/>
      <c r="S2" s="1375"/>
      <c r="T2" s="1375"/>
      <c r="U2" s="1375"/>
      <c r="V2" s="1375"/>
    </row>
    <row r="3" spans="1:22" ht="14" customHeight="1">
      <c r="A3" s="1377" t="s">
        <v>34</v>
      </c>
      <c r="B3" s="1322"/>
      <c r="C3" s="1323" t="s">
        <v>112</v>
      </c>
      <c r="D3" s="1324"/>
      <c r="E3" s="1324"/>
      <c r="F3" s="1324"/>
      <c r="G3" s="1325"/>
      <c r="H3" s="1323" t="s">
        <v>485</v>
      </c>
      <c r="I3" s="1324"/>
      <c r="J3" s="1324"/>
      <c r="K3" s="1324"/>
      <c r="L3" s="1325"/>
      <c r="M3" s="1323" t="s">
        <v>507</v>
      </c>
      <c r="N3" s="1324"/>
      <c r="O3" s="1324"/>
      <c r="P3" s="1324"/>
      <c r="Q3" s="1375"/>
      <c r="R3" s="1378"/>
      <c r="S3" s="1378"/>
      <c r="T3" s="1378"/>
      <c r="U3" s="1379"/>
      <c r="V3" s="1378"/>
    </row>
    <row r="4" spans="1:22" s="1381" customFormat="1" ht="42.75" customHeight="1">
      <c r="A4" s="1380" t="s">
        <v>41</v>
      </c>
      <c r="B4" s="1326"/>
      <c r="C4" s="1327" t="str">
        <f>Data!BV4</f>
        <v>'Very Poor'</v>
      </c>
      <c r="D4" s="1327" t="str">
        <f>Data!BW4</f>
        <v>'Poor'</v>
      </c>
      <c r="E4" s="1327" t="str">
        <f>Data!BX4</f>
        <v>'Middle'</v>
      </c>
      <c r="F4" s="1327" t="str">
        <f>Data!BY4</f>
        <v>'Better-Off'</v>
      </c>
      <c r="G4" s="1328"/>
      <c r="H4" s="1327" t="str">
        <f>C4</f>
        <v>'Very Poor'</v>
      </c>
      <c r="I4" s="1327" t="str">
        <f>D4</f>
        <v>'Poor'</v>
      </c>
      <c r="J4" s="1327" t="str">
        <f>E4</f>
        <v>'Middle'</v>
      </c>
      <c r="K4" s="1327" t="str">
        <f>F4</f>
        <v>'Better-Off'</v>
      </c>
      <c r="L4" s="1328"/>
      <c r="M4" s="1327" t="str">
        <f>C4</f>
        <v>'Very Poor'</v>
      </c>
      <c r="N4" s="1327" t="str">
        <f>D4</f>
        <v>'Poor'</v>
      </c>
      <c r="O4" s="1327" t="str">
        <f>E4</f>
        <v>'Middle'</v>
      </c>
      <c r="P4" s="1327" t="str">
        <f>F4</f>
        <v>'Better-Off'</v>
      </c>
      <c r="Q4" s="1329" t="s">
        <v>49</v>
      </c>
      <c r="R4" s="1379"/>
      <c r="S4" s="1378"/>
      <c r="T4" s="1378"/>
      <c r="U4" s="1378"/>
      <c r="V4" s="1379"/>
    </row>
    <row r="5" spans="1:22" s="1381" customFormat="1" ht="27" customHeight="1">
      <c r="A5" s="1382" t="s">
        <v>508</v>
      </c>
      <c r="B5" s="1330"/>
      <c r="C5" s="1331"/>
      <c r="D5" s="1332"/>
      <c r="E5" s="1332"/>
      <c r="F5" s="1332"/>
      <c r="G5" s="1333"/>
      <c r="H5" s="1331"/>
      <c r="I5" s="1332"/>
      <c r="J5" s="1332"/>
      <c r="K5" s="1332"/>
      <c r="L5" s="1333"/>
      <c r="M5" s="1331"/>
      <c r="N5" s="1332"/>
      <c r="O5" s="1332"/>
      <c r="P5" s="1332"/>
      <c r="Q5" s="1329"/>
      <c r="R5" s="1379"/>
      <c r="S5" s="1379"/>
      <c r="T5" s="1379"/>
      <c r="U5" s="1379"/>
      <c r="V5" s="1379"/>
    </row>
    <row r="6" spans="1:22" s="1381" customFormat="1" ht="14.25" customHeight="1">
      <c r="A6" s="1382" t="s">
        <v>120</v>
      </c>
      <c r="B6" s="1334"/>
      <c r="C6" s="1332"/>
      <c r="D6" s="1332"/>
      <c r="E6" s="1332"/>
      <c r="F6" s="1332"/>
      <c r="G6" s="1335"/>
      <c r="H6" s="1332"/>
      <c r="I6" s="1332"/>
      <c r="J6" s="1332"/>
      <c r="K6" s="1332"/>
      <c r="L6" s="1335"/>
      <c r="M6" s="1332"/>
      <c r="N6" s="1332"/>
      <c r="O6" s="1332"/>
      <c r="P6" s="1332"/>
      <c r="Q6" s="1379"/>
      <c r="R6" s="1379"/>
      <c r="S6" s="1379"/>
      <c r="T6" s="1379"/>
      <c r="U6" s="1379"/>
      <c r="V6" s="1379"/>
    </row>
    <row r="7" spans="1:22" s="1381" customFormat="1" ht="15.75" customHeight="1">
      <c r="A7" s="1383" t="s">
        <v>121</v>
      </c>
      <c r="B7" s="1336"/>
      <c r="C7" s="1337"/>
      <c r="D7" s="1337"/>
      <c r="E7" s="1337"/>
      <c r="F7" s="1337"/>
      <c r="G7" s="1336"/>
      <c r="H7" s="1337"/>
      <c r="I7" s="1337"/>
      <c r="J7" s="1337"/>
      <c r="K7" s="1337"/>
      <c r="L7" s="1336"/>
      <c r="M7" s="1337"/>
      <c r="N7" s="1337"/>
      <c r="O7" s="1337"/>
      <c r="P7" s="1337"/>
      <c r="Q7" s="1379"/>
      <c r="R7" s="1379"/>
      <c r="S7" s="1379"/>
      <c r="T7" s="1379"/>
      <c r="U7" s="1379"/>
      <c r="V7" s="1379"/>
    </row>
    <row r="8" spans="1:22" s="1381" customFormat="1" ht="15.75" customHeight="1">
      <c r="A8" s="1384" t="s">
        <v>122</v>
      </c>
      <c r="B8" s="1338"/>
      <c r="C8" s="1339" t="str">
        <f>IF(Data!BV8="","",Data!BV8)</f>
        <v>2013/14</v>
      </c>
      <c r="D8" s="1339" t="str">
        <f>IF(Data!BW8="","",Data!BW8)</f>
        <v>2013/14</v>
      </c>
      <c r="E8" s="1339" t="str">
        <f>IF(Data!BX8="","",Data!BX8)</f>
        <v>2013/14</v>
      </c>
      <c r="F8" s="1339" t="str">
        <f>IF(Data!BY8="","",Data!BY8)</f>
        <v>2013/14</v>
      </c>
      <c r="G8" s="1335"/>
      <c r="H8" s="1340"/>
      <c r="I8" s="1340"/>
      <c r="J8" s="1340"/>
      <c r="K8" s="1340"/>
      <c r="L8" s="1335"/>
      <c r="M8" s="1340"/>
      <c r="N8" s="1340"/>
      <c r="O8" s="1340"/>
      <c r="P8" s="1340"/>
      <c r="Q8" s="1385"/>
      <c r="R8" s="1379"/>
      <c r="S8" s="1379"/>
      <c r="T8" s="1379"/>
      <c r="U8" s="1379"/>
      <c r="V8" s="1386"/>
    </row>
    <row r="9" spans="1:22" s="1381" customFormat="1" ht="15.75" customHeight="1">
      <c r="A9" s="1383" t="s">
        <v>126</v>
      </c>
      <c r="B9" s="1336"/>
      <c r="C9" s="1341" t="str">
        <f>IF(Data!BV9="","",Data!BV9)</f>
        <v>ZAR</v>
      </c>
      <c r="D9" s="1341" t="str">
        <f>IF(Data!BW9="","",Data!BW9)</f>
        <v>ZAR</v>
      </c>
      <c r="E9" s="1341" t="str">
        <f>IF(Data!BX9="","",Data!BX9)</f>
        <v>ZAR</v>
      </c>
      <c r="F9" s="1341" t="str">
        <f>IF(Data!BY9="","",Data!BY9)</f>
        <v>ZAR</v>
      </c>
      <c r="G9" s="1335"/>
      <c r="H9" s="1342"/>
      <c r="I9" s="1342"/>
      <c r="J9" s="1342"/>
      <c r="K9" s="1342"/>
      <c r="L9" s="1335"/>
      <c r="M9" s="1342"/>
      <c r="N9" s="1342"/>
      <c r="O9" s="1342"/>
      <c r="P9" s="1342"/>
      <c r="Q9" s="1385"/>
      <c r="R9" s="1379"/>
      <c r="S9" s="1379"/>
      <c r="T9" s="1379"/>
      <c r="U9" s="1379"/>
      <c r="V9" s="1386"/>
    </row>
    <row r="10" spans="1:22" s="1381" customFormat="1" ht="15.75" customHeight="1">
      <c r="A10" s="1387" t="s">
        <v>128</v>
      </c>
      <c r="B10" s="1388"/>
      <c r="C10" s="1389">
        <f>SUM(C11:C19)</f>
        <v>1.2467760686117537</v>
      </c>
      <c r="D10" s="1389">
        <f>SUM(D11:D19)</f>
        <v>1.3797356171017909</v>
      </c>
      <c r="E10" s="1389">
        <f>SUM(E11:E19)</f>
        <v>1.5151107997761371</v>
      </c>
      <c r="F10" s="1389">
        <f>SUM(F11:F19)</f>
        <v>1.6819659355281449</v>
      </c>
      <c r="G10" s="1388"/>
      <c r="H10" s="1390"/>
      <c r="I10" s="1390"/>
      <c r="J10" s="1390"/>
      <c r="K10" s="1390"/>
      <c r="L10" s="1388"/>
      <c r="M10" s="1389">
        <f>SUM(M11:M19)</f>
        <v>0.11337738113125786</v>
      </c>
      <c r="N10" s="1389">
        <f>SUM(N11:N19)</f>
        <v>0.1332000884787049</v>
      </c>
      <c r="O10" s="1389">
        <f>SUM(O11:O19)</f>
        <v>0.18461214911070986</v>
      </c>
      <c r="P10" s="1389">
        <f>SUM(P11:P19)</f>
        <v>0.13944819570853753</v>
      </c>
      <c r="Q10" s="1391"/>
      <c r="R10" s="1392"/>
      <c r="S10" s="1393"/>
      <c r="T10" s="1393"/>
      <c r="U10" s="1394">
        <v>10</v>
      </c>
      <c r="V10" s="1386"/>
    </row>
    <row r="11" spans="1:22" s="1381" customFormat="1" ht="15.75" customHeight="1">
      <c r="A11" s="1344" t="s">
        <v>690</v>
      </c>
      <c r="B11" s="1395"/>
      <c r="C11" s="1343">
        <f>SUM(C832:C835,C838:C841,C844,C847,C849)</f>
        <v>0.19606839196762141</v>
      </c>
      <c r="D11" s="1343">
        <f t="shared" ref="D11:F11" si="0">SUM(D832:D835,D838:D841,D844,D847,D849)</f>
        <v>0.14383883094645081</v>
      </c>
      <c r="E11" s="1343">
        <f t="shared" si="0"/>
        <v>0.23988982331880446</v>
      </c>
      <c r="F11" s="1343">
        <f t="shared" si="0"/>
        <v>0.26859843143766426</v>
      </c>
      <c r="G11" s="1395"/>
      <c r="H11" s="1396"/>
      <c r="I11" s="1396"/>
      <c r="J11" s="1396"/>
      <c r="K11" s="1396"/>
      <c r="L11" s="1395"/>
      <c r="M11" s="1343">
        <f>SUM(M832:M835,M838:M841,M844,M847,M849)</f>
        <v>1.2464593711083438E-2</v>
      </c>
      <c r="N11" s="1343">
        <f t="shared" ref="N11:P11" si="1">SUM(N832:N835,N838:N841,N844,N847,N849)</f>
        <v>2.1995641344956414E-3</v>
      </c>
      <c r="O11" s="1343">
        <f t="shared" si="1"/>
        <v>0.10679796466376086</v>
      </c>
      <c r="P11" s="1343">
        <f t="shared" si="1"/>
        <v>0.10122626968313272</v>
      </c>
      <c r="Q11" s="1397" t="s">
        <v>509</v>
      </c>
      <c r="R11" s="1392"/>
      <c r="S11" s="1393"/>
      <c r="T11" s="1393"/>
      <c r="U11" s="1394">
        <v>11</v>
      </c>
      <c r="V11" s="1386"/>
    </row>
    <row r="12" spans="1:22" s="1381" customFormat="1" ht="15.75" customHeight="1">
      <c r="A12" s="1344" t="s">
        <v>691</v>
      </c>
      <c r="B12" s="1395"/>
      <c r="C12" s="1343">
        <f>SUM(C830:C831,C836:C837,C842:C843,C845:C846,C848)</f>
        <v>0.11970715986924037</v>
      </c>
      <c r="D12" s="1343">
        <f t="shared" ref="D12:F12" si="2">SUM(D830:D831,D836:D837,D842:D843,D845:D846,D848)</f>
        <v>0.20583994645080947</v>
      </c>
      <c r="E12" s="1343">
        <f t="shared" si="2"/>
        <v>0.24679713496264011</v>
      </c>
      <c r="F12" s="1343">
        <f t="shared" si="2"/>
        <v>0.22359404358655044</v>
      </c>
      <c r="G12" s="1395"/>
      <c r="H12" s="1396"/>
      <c r="I12" s="1396"/>
      <c r="J12" s="1396"/>
      <c r="K12" s="1396"/>
      <c r="L12" s="1395"/>
      <c r="M12" s="1343">
        <f>SUM(M830:M831,M836:M837,M842:M843,M845:M846,M848)</f>
        <v>0</v>
      </c>
      <c r="N12" s="1343">
        <f t="shared" ref="N12:P12" si="3">SUM(N830:N831,N836:N837,N842:N843,N845:N846,N848)</f>
        <v>4.7169933063511846E-2</v>
      </c>
      <c r="O12" s="1343">
        <f t="shared" si="3"/>
        <v>8.2486281911581458E-3</v>
      </c>
      <c r="P12" s="1343">
        <f t="shared" si="3"/>
        <v>3.0201792029887934E-2</v>
      </c>
      <c r="Q12" s="1397"/>
      <c r="R12" s="1392"/>
      <c r="S12" s="1393"/>
      <c r="T12" s="1393"/>
      <c r="U12" s="1394">
        <v>12</v>
      </c>
      <c r="V12" s="1386"/>
    </row>
    <row r="13" spans="1:22" s="1381" customFormat="1" ht="15.75" customHeight="1">
      <c r="A13" s="1344" t="s">
        <v>129</v>
      </c>
      <c r="B13" s="1395"/>
      <c r="C13" s="1343">
        <f>SUM(C820:C829)</f>
        <v>2.2333106320049815E-2</v>
      </c>
      <c r="D13" s="1343">
        <f t="shared" ref="D13:F13" si="4">SUM(D820:D829)</f>
        <v>3.4515284480074723E-2</v>
      </c>
      <c r="E13" s="1343">
        <f t="shared" si="4"/>
        <v>5.9473770236612711E-2</v>
      </c>
      <c r="F13" s="1343">
        <f t="shared" si="4"/>
        <v>0.15490546734467969</v>
      </c>
      <c r="G13" s="1395"/>
      <c r="H13" s="1396"/>
      <c r="I13" s="1396"/>
      <c r="J13" s="1396"/>
      <c r="K13" s="1396"/>
      <c r="L13" s="1395"/>
      <c r="M13" s="1343">
        <f>SUM(M820:M829)</f>
        <v>0</v>
      </c>
      <c r="N13" s="1343">
        <f t="shared" ref="N13:P13" si="5">SUM(N820:N829)</f>
        <v>0</v>
      </c>
      <c r="O13" s="1343">
        <f t="shared" si="5"/>
        <v>0</v>
      </c>
      <c r="P13" s="1343">
        <f t="shared" si="5"/>
        <v>0</v>
      </c>
      <c r="Q13" s="1385"/>
      <c r="R13" s="1392"/>
      <c r="S13" s="1393"/>
      <c r="T13" s="1393"/>
      <c r="U13" s="1394">
        <v>13</v>
      </c>
      <c r="V13" s="1386"/>
    </row>
    <row r="14" spans="1:22" s="1381" customFormat="1" ht="15.75" customHeight="1">
      <c r="A14" s="1344" t="s">
        <v>510</v>
      </c>
      <c r="B14" s="1395"/>
      <c r="C14" s="1343">
        <f>SUM(C851:C852)</f>
        <v>0</v>
      </c>
      <c r="D14" s="1343">
        <f t="shared" ref="D14:F14" si="6">SUM(D851:D852)</f>
        <v>0</v>
      </c>
      <c r="E14" s="1343">
        <f t="shared" si="6"/>
        <v>0</v>
      </c>
      <c r="F14" s="1343">
        <f t="shared" si="6"/>
        <v>1.1706102117061022E-2</v>
      </c>
      <c r="G14" s="1395"/>
      <c r="H14" s="1396"/>
      <c r="I14" s="1396"/>
      <c r="J14" s="1396"/>
      <c r="K14" s="1396"/>
      <c r="L14" s="1395"/>
      <c r="M14" s="1343">
        <f>SUM(M851:M852)</f>
        <v>0</v>
      </c>
      <c r="N14" s="1343">
        <f t="shared" ref="N14:P14" si="7">SUM(N851:N852)</f>
        <v>0</v>
      </c>
      <c r="O14" s="1343">
        <f t="shared" si="7"/>
        <v>0</v>
      </c>
      <c r="P14" s="1343">
        <f t="shared" si="7"/>
        <v>2.9265255292652559E-3</v>
      </c>
      <c r="Q14" s="1385"/>
      <c r="R14" s="1392"/>
      <c r="S14" s="1393"/>
      <c r="T14" s="1393"/>
      <c r="U14" s="1394">
        <v>14</v>
      </c>
      <c r="V14" s="1386"/>
    </row>
    <row r="15" spans="1:22" s="1381" customFormat="1" ht="15.75" customHeight="1">
      <c r="A15" s="1344" t="s">
        <v>511</v>
      </c>
      <c r="B15" s="1395"/>
      <c r="C15" s="1343">
        <f>SUM(C854:C858)</f>
        <v>0</v>
      </c>
      <c r="D15" s="1343">
        <f>SUM(D854:D858)</f>
        <v>7.5706520547945202E-2</v>
      </c>
      <c r="E15" s="1343">
        <f>SUM(E854:E858)</f>
        <v>0</v>
      </c>
      <c r="F15" s="1343">
        <f>SUM(F854:F858)</f>
        <v>0</v>
      </c>
      <c r="G15" s="1395"/>
      <c r="H15" s="1396"/>
      <c r="I15" s="1396"/>
      <c r="J15" s="1396"/>
      <c r="K15" s="1396"/>
      <c r="L15" s="1395"/>
      <c r="M15" s="1343">
        <f>SUM(M854:M858)</f>
        <v>0</v>
      </c>
      <c r="N15" s="1343">
        <f>SUM(N854:N858)</f>
        <v>0</v>
      </c>
      <c r="O15" s="1343">
        <f>SUM(O854:O858)</f>
        <v>0</v>
      </c>
      <c r="P15" s="1343">
        <f>SUM(P854:P858)</f>
        <v>0</v>
      </c>
      <c r="Q15" s="1385"/>
      <c r="R15" s="1392"/>
      <c r="S15" s="1393"/>
      <c r="T15" s="1393"/>
      <c r="U15" s="1394">
        <v>15</v>
      </c>
      <c r="V15" s="1386"/>
    </row>
    <row r="16" spans="1:22" s="1381" customFormat="1" ht="15.75" customHeight="1">
      <c r="A16" s="1344" t="s">
        <v>692</v>
      </c>
      <c r="B16" s="1395"/>
      <c r="C16" s="1343">
        <f>SUM(C859:C864,C886)</f>
        <v>0.57517989881693654</v>
      </c>
      <c r="D16" s="1343">
        <f t="shared" ref="D16:F16" si="8">SUM(D859:D864,D886)</f>
        <v>0.57048734589041095</v>
      </c>
      <c r="E16" s="1343">
        <f t="shared" si="8"/>
        <v>0.56457277397260275</v>
      </c>
      <c r="F16" s="1343">
        <f t="shared" si="8"/>
        <v>0.60560871481942702</v>
      </c>
      <c r="G16" s="1395"/>
      <c r="H16" s="1396"/>
      <c r="I16" s="1396"/>
      <c r="J16" s="1396"/>
      <c r="K16" s="1396"/>
      <c r="L16" s="1395"/>
      <c r="M16" s="1343">
        <f>SUM(M859:M864,M886)</f>
        <v>9.0715906068463761E-2</v>
      </c>
      <c r="N16" s="1343">
        <f t="shared" ref="N16:P16" si="9">SUM(N859:N864,N886)</f>
        <v>8.9493887077181047E-2</v>
      </c>
      <c r="O16" s="1343">
        <f t="shared" si="9"/>
        <v>8.9493887077181047E-2</v>
      </c>
      <c r="P16" s="1343">
        <f t="shared" si="9"/>
        <v>1.3079138633843586E-2</v>
      </c>
      <c r="Q16" s="1385"/>
      <c r="R16" s="1392"/>
      <c r="S16" s="1393"/>
      <c r="T16" s="1393"/>
      <c r="U16" s="1394">
        <v>16</v>
      </c>
      <c r="V16" s="1386"/>
    </row>
    <row r="17" spans="1:22" s="1381" customFormat="1" ht="15.75" customHeight="1">
      <c r="A17" s="1344" t="s">
        <v>693</v>
      </c>
      <c r="B17" s="1395"/>
      <c r="C17" s="1343">
        <f>SUM(C865:C885,C887:C888)</f>
        <v>0.2144398925902864</v>
      </c>
      <c r="D17" s="1343">
        <f t="shared" ref="D17:F17" si="10">SUM(D865:D885,D887:D888)</f>
        <v>0.23030006973848069</v>
      </c>
      <c r="E17" s="1343">
        <f t="shared" si="10"/>
        <v>0.24456510476338728</v>
      </c>
      <c r="F17" s="1343">
        <f t="shared" si="10"/>
        <v>0.23262230410958901</v>
      </c>
      <c r="G17" s="1395"/>
      <c r="H17" s="1396"/>
      <c r="I17" s="1396"/>
      <c r="J17" s="1396"/>
      <c r="K17" s="1396"/>
      <c r="L17" s="1395"/>
      <c r="M17" s="1343">
        <f>SUM(M865:M885,M887:M888)</f>
        <v>1.0196881351710665E-2</v>
      </c>
      <c r="N17" s="1343">
        <f t="shared" ref="N17:P17" si="11">SUM(N865:N885,N887:N888)</f>
        <v>-5.6632957964836105E-3</v>
      </c>
      <c r="O17" s="1343">
        <f t="shared" si="11"/>
        <v>-1.992833082139021E-2</v>
      </c>
      <c r="P17" s="1343">
        <f t="shared" si="11"/>
        <v>-7.9855301675919518E-3</v>
      </c>
      <c r="Q17" s="1385"/>
      <c r="R17" s="1392"/>
      <c r="S17" s="1393"/>
      <c r="T17" s="1393"/>
      <c r="U17" s="1394">
        <v>17</v>
      </c>
      <c r="V17" s="1386"/>
    </row>
    <row r="18" spans="1:22" s="1381" customFormat="1" ht="15.75" customHeight="1">
      <c r="A18" s="1344" t="s">
        <v>512</v>
      </c>
      <c r="B18" s="1395"/>
      <c r="C18" s="1343">
        <f>SUM(C889:C895)</f>
        <v>0.11904761904761904</v>
      </c>
      <c r="D18" s="1343">
        <f t="shared" ref="D18:F18" si="12">SUM(D889:D895)</f>
        <v>0.11904761904761904</v>
      </c>
      <c r="E18" s="1343">
        <f t="shared" si="12"/>
        <v>0.11904761904761904</v>
      </c>
      <c r="F18" s="1343">
        <f t="shared" si="12"/>
        <v>0.10582010582010581</v>
      </c>
      <c r="G18" s="1395"/>
      <c r="H18" s="1396"/>
      <c r="I18" s="1396"/>
      <c r="J18" s="1396"/>
      <c r="K18" s="1396"/>
      <c r="L18" s="1395"/>
      <c r="M18" s="1343">
        <f>SUM(M889:M895)</f>
        <v>0</v>
      </c>
      <c r="N18" s="1343">
        <f t="shared" ref="N18:P18" si="13">SUM(N889:N895)</f>
        <v>0</v>
      </c>
      <c r="O18" s="1343">
        <f t="shared" si="13"/>
        <v>0</v>
      </c>
      <c r="P18" s="1343">
        <f t="shared" si="13"/>
        <v>0</v>
      </c>
      <c r="Q18" s="1385"/>
      <c r="R18" s="1392"/>
      <c r="S18" s="1393"/>
      <c r="T18" s="1393"/>
      <c r="U18" s="1394">
        <v>18</v>
      </c>
      <c r="V18" s="1386"/>
    </row>
    <row r="19" spans="1:22" s="1381" customFormat="1" ht="15.75" customHeight="1">
      <c r="A19" s="1344" t="s">
        <v>513</v>
      </c>
      <c r="B19" s="1395"/>
      <c r="C19" s="1343">
        <f>SUM(C896:C899)</f>
        <v>0</v>
      </c>
      <c r="D19" s="1343">
        <f>SUM(D896:D899)</f>
        <v>0</v>
      </c>
      <c r="E19" s="1343">
        <f t="shared" ref="E19:F19" si="14">SUM(E896:E899)</f>
        <v>4.0764573474470739E-2</v>
      </c>
      <c r="F19" s="1343">
        <f t="shared" si="14"/>
        <v>7.9110766293067666E-2</v>
      </c>
      <c r="G19" s="1395"/>
      <c r="H19" s="1396"/>
      <c r="I19" s="1396"/>
      <c r="J19" s="1396"/>
      <c r="K19" s="1396"/>
      <c r="L19" s="1395"/>
      <c r="M19" s="1343">
        <f>SUM(M896:M899)</f>
        <v>0</v>
      </c>
      <c r="N19" s="1343">
        <f>SUM(N896:N899)</f>
        <v>0</v>
      </c>
      <c r="O19" s="1343">
        <f t="shared" ref="O19:P19" si="15">SUM(O896:O899)</f>
        <v>0</v>
      </c>
      <c r="P19" s="1343">
        <f t="shared" si="15"/>
        <v>0</v>
      </c>
      <c r="Q19" s="1385"/>
      <c r="R19" s="1392"/>
      <c r="S19" s="1393"/>
      <c r="T19" s="1393"/>
      <c r="U19" s="1394">
        <v>19</v>
      </c>
      <c r="V19" s="1386"/>
    </row>
    <row r="20" spans="1:22" s="1381" customFormat="1" ht="15.75" customHeight="1">
      <c r="A20" s="1398" t="s">
        <v>134</v>
      </c>
      <c r="B20" s="1399"/>
      <c r="C20" s="1400">
        <f>SUM(C21:C30)</f>
        <v>22020</v>
      </c>
      <c r="D20" s="1400">
        <f>SUM(D21:D30)</f>
        <v>24465</v>
      </c>
      <c r="E20" s="1400">
        <f>SUM(E21:E30)</f>
        <v>34453</v>
      </c>
      <c r="F20" s="1400">
        <f>SUM(F21:F30)</f>
        <v>57746</v>
      </c>
      <c r="G20" s="1399"/>
      <c r="H20" s="1401"/>
      <c r="I20" s="1401"/>
      <c r="J20" s="1401"/>
      <c r="K20" s="1401"/>
      <c r="L20" s="1399"/>
      <c r="M20" s="1400">
        <f>SUM(M21:M30)</f>
        <v>0</v>
      </c>
      <c r="N20" s="1400">
        <f>SUM(N21:N30)</f>
        <v>-686</v>
      </c>
      <c r="O20" s="1400">
        <f>SUM(O21:O30)</f>
        <v>1027.3</v>
      </c>
      <c r="P20" s="1400">
        <f>SUM(P21:P30)</f>
        <v>651</v>
      </c>
      <c r="Q20" s="1385"/>
      <c r="R20" s="1402"/>
      <c r="S20" s="1403"/>
      <c r="T20" s="1403"/>
      <c r="U20" s="1394">
        <v>20</v>
      </c>
      <c r="V20" s="1386"/>
    </row>
    <row r="21" spans="1:22" s="1405" customFormat="1" ht="15.75" customHeight="1">
      <c r="A21" s="1345" t="s">
        <v>135</v>
      </c>
      <c r="B21" s="1399"/>
      <c r="C21" s="1346">
        <f>SUM(C931:C960)</f>
        <v>0</v>
      </c>
      <c r="D21" s="1346">
        <f>SUM(D931:D960)</f>
        <v>836</v>
      </c>
      <c r="E21" s="1346">
        <f>SUM(E931:E960)</f>
        <v>3621</v>
      </c>
      <c r="F21" s="1346">
        <f>SUM(F931:F960)</f>
        <v>5774</v>
      </c>
      <c r="G21" s="1399"/>
      <c r="H21" s="1401"/>
      <c r="I21" s="1401"/>
      <c r="J21" s="1401"/>
      <c r="K21" s="1401"/>
      <c r="L21" s="1399"/>
      <c r="M21" s="1346">
        <f>SUM(M931:M960)</f>
        <v>0</v>
      </c>
      <c r="N21" s="1346">
        <f>SUM(N931:N960)</f>
        <v>-686</v>
      </c>
      <c r="O21" s="1346">
        <f>SUM(O931:O960)</f>
        <v>-58.5</v>
      </c>
      <c r="P21" s="1346">
        <f>SUM(P931:P960)</f>
        <v>-1849</v>
      </c>
      <c r="Q21" s="1404"/>
      <c r="R21" s="1402"/>
      <c r="S21" s="1403"/>
      <c r="T21" s="1403"/>
      <c r="U21" s="1394">
        <v>21</v>
      </c>
      <c r="V21" s="1403"/>
    </row>
    <row r="22" spans="1:22" s="1405" customFormat="1" ht="15.75" customHeight="1">
      <c r="A22" s="1345" t="s">
        <v>136</v>
      </c>
      <c r="B22" s="1399"/>
      <c r="C22" s="1346">
        <f>SUM(C904:C919)</f>
        <v>0</v>
      </c>
      <c r="D22" s="1346">
        <f>SUM(D904:D919)</f>
        <v>0</v>
      </c>
      <c r="E22" s="1346">
        <f>SUM(E904:E919)</f>
        <v>0</v>
      </c>
      <c r="F22" s="1346">
        <f>SUM(F904:F919)</f>
        <v>0</v>
      </c>
      <c r="G22" s="1399"/>
      <c r="H22" s="1401"/>
      <c r="I22" s="1401"/>
      <c r="J22" s="1401"/>
      <c r="K22" s="1401"/>
      <c r="L22" s="1399"/>
      <c r="M22" s="1346">
        <f>SUM(M904:M919)</f>
        <v>0</v>
      </c>
      <c r="N22" s="1346">
        <f>SUM(N904:N919)</f>
        <v>0</v>
      </c>
      <c r="O22" s="1346">
        <f>SUM(O904:O919)</f>
        <v>0</v>
      </c>
      <c r="P22" s="1346">
        <f>SUM(P904:P919)</f>
        <v>0</v>
      </c>
      <c r="Q22" s="1404"/>
      <c r="R22" s="1402"/>
      <c r="S22" s="1403"/>
      <c r="T22" s="1403"/>
      <c r="U22" s="1394">
        <v>22</v>
      </c>
      <c r="V22" s="1403"/>
    </row>
    <row r="23" spans="1:22" s="1405" customFormat="1" ht="15.75" customHeight="1">
      <c r="A23" s="1345" t="s">
        <v>137</v>
      </c>
      <c r="B23" s="1399"/>
      <c r="C23" s="1346">
        <f>SUM(C920:C930)</f>
        <v>0</v>
      </c>
      <c r="D23" s="1346">
        <f>SUM(D920:D930)</f>
        <v>500</v>
      </c>
      <c r="E23" s="1346">
        <f>SUM(E920:E930)</f>
        <v>3500</v>
      </c>
      <c r="F23" s="1346">
        <f>SUM(F920:F930)</f>
        <v>11050</v>
      </c>
      <c r="G23" s="1399"/>
      <c r="H23" s="1401"/>
      <c r="I23" s="1401"/>
      <c r="J23" s="1401"/>
      <c r="K23" s="1401"/>
      <c r="L23" s="1399"/>
      <c r="M23" s="1346">
        <f>SUM(M920:M930)</f>
        <v>0</v>
      </c>
      <c r="N23" s="1346">
        <f>SUM(N920:N930)</f>
        <v>0</v>
      </c>
      <c r="O23" s="1346">
        <f>SUM(O920:O930)</f>
        <v>1000</v>
      </c>
      <c r="P23" s="1346">
        <f>SUM(P920:P930)</f>
        <v>2500</v>
      </c>
      <c r="Q23" s="1385"/>
      <c r="R23" s="1402"/>
      <c r="S23" s="1403"/>
      <c r="T23" s="1403"/>
      <c r="U23" s="1394">
        <v>23</v>
      </c>
      <c r="V23" s="1403"/>
    </row>
    <row r="24" spans="1:22" s="1405" customFormat="1" ht="15.75" customHeight="1">
      <c r="A24" s="1347" t="s">
        <v>675</v>
      </c>
      <c r="B24" s="1399"/>
      <c r="C24" s="1346">
        <f>SUM(C965:C968)</f>
        <v>0</v>
      </c>
      <c r="D24" s="1346">
        <f>SUM(D965:D968)</f>
        <v>1109</v>
      </c>
      <c r="E24" s="1346">
        <f>SUM(E965:E968)</f>
        <v>752</v>
      </c>
      <c r="F24" s="1346">
        <f>SUM(F965:F968)</f>
        <v>0</v>
      </c>
      <c r="G24" s="1399"/>
      <c r="H24" s="1401"/>
      <c r="I24" s="1401"/>
      <c r="J24" s="1401"/>
      <c r="K24" s="1401"/>
      <c r="L24" s="1399"/>
      <c r="M24" s="1346">
        <f>SUM(M965:M968)</f>
        <v>0</v>
      </c>
      <c r="N24" s="1346">
        <f>SUM(N965:N968)</f>
        <v>0</v>
      </c>
      <c r="O24" s="1346">
        <f>SUM(O965:O968)</f>
        <v>0</v>
      </c>
      <c r="P24" s="1346">
        <f>SUM(P965:P968)</f>
        <v>0</v>
      </c>
      <c r="Q24" s="1404"/>
      <c r="R24" s="1402"/>
      <c r="S24" s="1403"/>
      <c r="T24" s="1403"/>
      <c r="U24" s="1394">
        <v>24</v>
      </c>
      <c r="V24" s="1403"/>
    </row>
    <row r="25" spans="1:22" s="1405" customFormat="1" ht="15.75" customHeight="1">
      <c r="A25" s="1347" t="s">
        <v>676</v>
      </c>
      <c r="B25" s="1399"/>
      <c r="C25" s="1346">
        <f>SUM(C969:C971)</f>
        <v>0</v>
      </c>
      <c r="D25" s="1346">
        <f>SUM(D969:D971)</f>
        <v>0</v>
      </c>
      <c r="E25" s="1346">
        <f>SUM(E969:E971)</f>
        <v>0</v>
      </c>
      <c r="F25" s="1346">
        <f>SUM(F969:F971)</f>
        <v>34760</v>
      </c>
      <c r="G25" s="1399"/>
      <c r="H25" s="1401"/>
      <c r="I25" s="1401"/>
      <c r="J25" s="1401"/>
      <c r="K25" s="1401"/>
      <c r="L25" s="1399"/>
      <c r="M25" s="1346">
        <f>SUM(M969:M971)</f>
        <v>0</v>
      </c>
      <c r="N25" s="1346">
        <f>SUM(N969:N971)</f>
        <v>0</v>
      </c>
      <c r="O25" s="1346">
        <f>SUM(O969:O971)</f>
        <v>0</v>
      </c>
      <c r="P25" s="1346">
        <f>SUM(P969:P971)</f>
        <v>0</v>
      </c>
      <c r="Q25" s="1406"/>
      <c r="R25" s="1402"/>
      <c r="S25" s="1403"/>
      <c r="T25" s="1403"/>
      <c r="U25" s="1394">
        <v>25</v>
      </c>
      <c r="V25" s="1403"/>
    </row>
    <row r="26" spans="1:22" s="1405" customFormat="1" ht="15.75" customHeight="1">
      <c r="A26" s="1345" t="s">
        <v>138</v>
      </c>
      <c r="B26" s="1399"/>
      <c r="C26" s="1346">
        <f>SUM(C972:C973)</f>
        <v>0</v>
      </c>
      <c r="D26" s="1346">
        <f>SUM(D972:D973)</f>
        <v>0</v>
      </c>
      <c r="E26" s="1346">
        <f>SUM(E972:E973)</f>
        <v>429</v>
      </c>
      <c r="F26" s="1346">
        <f>SUM(F972:F973)</f>
        <v>0</v>
      </c>
      <c r="G26" s="1399"/>
      <c r="H26" s="1401"/>
      <c r="I26" s="1401"/>
      <c r="J26" s="1401"/>
      <c r="K26" s="1401"/>
      <c r="L26" s="1399"/>
      <c r="M26" s="1346">
        <f>SUM(M972:M973)</f>
        <v>0</v>
      </c>
      <c r="N26" s="1346">
        <f>SUM(N972:N973)</f>
        <v>0</v>
      </c>
      <c r="O26" s="1346">
        <f>SUM(O972:O973)</f>
        <v>85.799999999999955</v>
      </c>
      <c r="P26" s="1346">
        <f>SUM(P972:P973)</f>
        <v>0</v>
      </c>
      <c r="Q26" s="1404"/>
      <c r="R26" s="1402"/>
      <c r="S26" s="1403"/>
      <c r="T26" s="1403"/>
      <c r="U26" s="1394">
        <v>26</v>
      </c>
      <c r="V26" s="1403"/>
    </row>
    <row r="27" spans="1:22" s="1405" customFormat="1" ht="15.75" customHeight="1">
      <c r="A27" s="1345" t="s">
        <v>139</v>
      </c>
      <c r="B27" s="1399"/>
      <c r="C27" s="1346">
        <f>SUM(C975:C975)</f>
        <v>0</v>
      </c>
      <c r="D27" s="1346">
        <f>SUM(D975:D975)</f>
        <v>0</v>
      </c>
      <c r="E27" s="1346">
        <f>SUM(E975:E975)</f>
        <v>2160</v>
      </c>
      <c r="F27" s="1346">
        <f>SUM(F975:F975)</f>
        <v>0</v>
      </c>
      <c r="G27" s="1399"/>
      <c r="H27" s="1401"/>
      <c r="I27" s="1401"/>
      <c r="J27" s="1401"/>
      <c r="K27" s="1401"/>
      <c r="L27" s="1399"/>
      <c r="M27" s="1346">
        <f>SUM(M975:M975)</f>
        <v>0</v>
      </c>
      <c r="N27" s="1346">
        <f>SUM(N975:N975)</f>
        <v>0</v>
      </c>
      <c r="O27" s="1346">
        <f>SUM(O975:O975)</f>
        <v>0</v>
      </c>
      <c r="P27" s="1346">
        <f>SUM(P975:P975)</f>
        <v>0</v>
      </c>
      <c r="Q27" s="1385"/>
      <c r="R27" s="1402"/>
      <c r="S27" s="1403"/>
      <c r="T27" s="1403"/>
      <c r="U27" s="1394">
        <v>27</v>
      </c>
      <c r="V27" s="1403"/>
    </row>
    <row r="28" spans="1:22" s="1381" customFormat="1" ht="15.75" customHeight="1">
      <c r="A28" s="1345" t="s">
        <v>140</v>
      </c>
      <c r="B28" s="1399"/>
      <c r="C28" s="1346">
        <f>SUM(C977:C980)</f>
        <v>22020</v>
      </c>
      <c r="D28" s="1346">
        <f>SUM(D977:D980)</f>
        <v>22020</v>
      </c>
      <c r="E28" s="1346">
        <f>SUM(E977:E980)</f>
        <v>22391</v>
      </c>
      <c r="F28" s="1346">
        <f>SUM(F977:F980)</f>
        <v>6162</v>
      </c>
      <c r="G28" s="1399"/>
      <c r="H28" s="1401"/>
      <c r="I28" s="1401"/>
      <c r="J28" s="1401"/>
      <c r="K28" s="1401"/>
      <c r="L28" s="1399"/>
      <c r="M28" s="1346">
        <f>SUM(M977:M980)</f>
        <v>0</v>
      </c>
      <c r="N28" s="1346">
        <f>SUM(N977:N980)</f>
        <v>0</v>
      </c>
      <c r="O28" s="1346">
        <f>SUM(O977:O980)</f>
        <v>0</v>
      </c>
      <c r="P28" s="1346">
        <f>SUM(P977:P980)</f>
        <v>0</v>
      </c>
      <c r="Q28" s="1385"/>
      <c r="R28" s="1402"/>
      <c r="S28" s="1403"/>
      <c r="T28" s="1403"/>
      <c r="U28" s="1394">
        <v>28</v>
      </c>
      <c r="V28" s="1386"/>
    </row>
    <row r="29" spans="1:22" s="1381" customFormat="1" ht="15.75" customHeight="1">
      <c r="A29" s="1345" t="s">
        <v>141</v>
      </c>
      <c r="B29" s="1399"/>
      <c r="C29" s="1346">
        <f>SUM(C981:C984)</f>
        <v>0</v>
      </c>
      <c r="D29" s="1346">
        <f>SUM(D981:D984)</f>
        <v>0</v>
      </c>
      <c r="E29" s="1346">
        <f>SUM(E981:E984)</f>
        <v>1600</v>
      </c>
      <c r="F29" s="1346">
        <f>SUM(F981:F984)</f>
        <v>0</v>
      </c>
      <c r="G29" s="1399"/>
      <c r="H29" s="1401"/>
      <c r="I29" s="1401"/>
      <c r="J29" s="1401"/>
      <c r="K29" s="1401"/>
      <c r="L29" s="1399"/>
      <c r="M29" s="1346">
        <f>SUM(M981:M984)</f>
        <v>0</v>
      </c>
      <c r="N29" s="1346">
        <f>SUM(N981:N984)</f>
        <v>0</v>
      </c>
      <c r="O29" s="1346">
        <f>SUM(O981:O984)</f>
        <v>0</v>
      </c>
      <c r="P29" s="1346">
        <f>SUM(P981:P984)</f>
        <v>0</v>
      </c>
      <c r="Q29" s="1385"/>
      <c r="R29" s="1402"/>
      <c r="S29" s="1403"/>
      <c r="T29" s="1403"/>
      <c r="U29" s="1394">
        <v>29</v>
      </c>
      <c r="V29" s="1386"/>
    </row>
    <row r="30" spans="1:22" s="1381" customFormat="1" ht="15.75" customHeight="1">
      <c r="A30" s="1345" t="s">
        <v>514</v>
      </c>
      <c r="B30" s="1399"/>
      <c r="C30" s="1346">
        <f>SUM(C962:C964)</f>
        <v>0</v>
      </c>
      <c r="D30" s="1346">
        <f>SUM(D962:D964)</f>
        <v>0</v>
      </c>
      <c r="E30" s="1346">
        <f>SUM(E962:E964)</f>
        <v>0</v>
      </c>
      <c r="F30" s="1346">
        <f>SUM(F962:F964)</f>
        <v>0</v>
      </c>
      <c r="G30" s="1399"/>
      <c r="H30" s="1401"/>
      <c r="I30" s="1401"/>
      <c r="J30" s="1401"/>
      <c r="K30" s="1401"/>
      <c r="L30" s="1399"/>
      <c r="M30" s="1346">
        <f>SUM(M962:M964)</f>
        <v>0</v>
      </c>
      <c r="N30" s="1346">
        <f>SUM(N962:N964)</f>
        <v>0</v>
      </c>
      <c r="O30" s="1346">
        <f>SUM(O962:O964)</f>
        <v>0</v>
      </c>
      <c r="P30" s="1346">
        <f>SUM(P962:P964)</f>
        <v>0</v>
      </c>
      <c r="Q30" s="1385"/>
      <c r="R30" s="1402"/>
      <c r="S30" s="1403"/>
      <c r="T30" s="1403"/>
      <c r="U30" s="1394">
        <v>30</v>
      </c>
      <c r="V30" s="1386"/>
    </row>
    <row r="31" spans="1:22" s="1381" customFormat="1" ht="15.75" customHeight="1">
      <c r="A31" s="1398" t="s">
        <v>143</v>
      </c>
      <c r="B31" s="1399"/>
      <c r="C31" s="1400">
        <f>SUM(C32:C41)</f>
        <v>20352</v>
      </c>
      <c r="D31" s="1400">
        <f>SUM(D32:D41)</f>
        <v>23112</v>
      </c>
      <c r="E31" s="1400">
        <f>SUM(E32:E41)</f>
        <v>35108</v>
      </c>
      <c r="F31" s="1400">
        <f>SUM(F32:F41)</f>
        <v>57018</v>
      </c>
      <c r="G31" s="1399"/>
      <c r="H31" s="1401"/>
      <c r="I31" s="1401"/>
      <c r="J31" s="1401"/>
      <c r="K31" s="1401"/>
      <c r="L31" s="1399"/>
      <c r="M31" s="1400">
        <f>SUM(M32:M41)</f>
        <v>46425.899788776471</v>
      </c>
      <c r="N31" s="1400">
        <f>SUM(N32:N41)</f>
        <v>44570.899788776471</v>
      </c>
      <c r="O31" s="1400">
        <f>SUM(O32:O41)</f>
        <v>36579.899788776471</v>
      </c>
      <c r="P31" s="1400">
        <f>SUM(P32:P41)</f>
        <v>26414.63726237353</v>
      </c>
      <c r="Q31" s="1385"/>
      <c r="R31" s="1402"/>
      <c r="S31" s="1403"/>
      <c r="T31" s="1403"/>
      <c r="U31" s="1394">
        <v>31</v>
      </c>
      <c r="V31" s="1386"/>
    </row>
    <row r="32" spans="1:22" s="1381" customFormat="1" ht="15.75" customHeight="1">
      <c r="A32" s="1348" t="s">
        <v>144</v>
      </c>
      <c r="B32" s="1407"/>
      <c r="C32" s="1349">
        <f t="shared" ref="C32:F32" si="16">C988</f>
        <v>4820</v>
      </c>
      <c r="D32" s="1349">
        <f t="shared" si="16"/>
        <v>4825</v>
      </c>
      <c r="E32" s="1349">
        <f t="shared" si="16"/>
        <v>5180</v>
      </c>
      <c r="F32" s="1349">
        <f t="shared" si="16"/>
        <v>8340</v>
      </c>
      <c r="G32" s="1407"/>
      <c r="H32" s="1408"/>
      <c r="I32" s="1408"/>
      <c r="J32" s="1408"/>
      <c r="K32" s="1408"/>
      <c r="L32" s="1407"/>
      <c r="M32" s="1349">
        <f t="shared" ref="M32:P32" si="17">M988</f>
        <v>4236.104172492991</v>
      </c>
      <c r="N32" s="1349">
        <f t="shared" si="17"/>
        <v>4196.104172492991</v>
      </c>
      <c r="O32" s="1349">
        <f t="shared" si="17"/>
        <v>4076.104172492991</v>
      </c>
      <c r="P32" s="1349">
        <f t="shared" si="17"/>
        <v>1795.6171940546151</v>
      </c>
      <c r="Q32" s="1385"/>
      <c r="R32" s="1402"/>
      <c r="S32" s="1403"/>
      <c r="T32" s="1403"/>
      <c r="U32" s="1394">
        <v>32</v>
      </c>
      <c r="V32" s="1386"/>
    </row>
    <row r="33" spans="1:36" s="1381" customFormat="1" ht="15.75" customHeight="1">
      <c r="A33" s="1348" t="s">
        <v>145</v>
      </c>
      <c r="B33" s="1407"/>
      <c r="C33" s="1349">
        <f t="shared" ref="C33:F33" si="18">SUM(C989:C991)</f>
        <v>5112</v>
      </c>
      <c r="D33" s="1349">
        <f t="shared" si="18"/>
        <v>5877</v>
      </c>
      <c r="E33" s="1349">
        <f t="shared" si="18"/>
        <v>7078</v>
      </c>
      <c r="F33" s="1349">
        <f t="shared" si="18"/>
        <v>7768</v>
      </c>
      <c r="G33" s="1407"/>
      <c r="H33" s="1408"/>
      <c r="I33" s="1408"/>
      <c r="J33" s="1408"/>
      <c r="K33" s="1408"/>
      <c r="L33" s="1407"/>
      <c r="M33" s="1349">
        <f t="shared" ref="M33:P33" si="19">SUM(M989:M991)</f>
        <v>8467.1289496168101</v>
      </c>
      <c r="N33" s="1349">
        <f t="shared" si="19"/>
        <v>7702.1289496168101</v>
      </c>
      <c r="O33" s="1349">
        <f t="shared" si="19"/>
        <v>6501.1289496168101</v>
      </c>
      <c r="P33" s="1349">
        <f t="shared" si="19"/>
        <v>7508.5200683189123</v>
      </c>
      <c r="Q33" s="1385"/>
      <c r="R33" s="1402"/>
      <c r="S33" s="1403"/>
      <c r="T33" s="1403"/>
      <c r="U33" s="1394">
        <v>33</v>
      </c>
      <c r="V33" s="1386"/>
    </row>
    <row r="34" spans="1:36" s="1381" customFormat="1" ht="15.75" customHeight="1">
      <c r="A34" s="1348" t="s">
        <v>146</v>
      </c>
      <c r="B34" s="1409"/>
      <c r="C34" s="1349">
        <f t="shared" ref="C34:F34" si="20">C992</f>
        <v>770</v>
      </c>
      <c r="D34" s="1349">
        <f t="shared" si="20"/>
        <v>830</v>
      </c>
      <c r="E34" s="1349">
        <f t="shared" si="20"/>
        <v>1850</v>
      </c>
      <c r="F34" s="1349">
        <f t="shared" si="20"/>
        <v>2510</v>
      </c>
      <c r="G34" s="1409"/>
      <c r="H34" s="1410"/>
      <c r="I34" s="1410"/>
      <c r="J34" s="1410"/>
      <c r="K34" s="1410"/>
      <c r="L34" s="1409"/>
      <c r="M34" s="1349">
        <f t="shared" ref="M34:P34" si="21">M992</f>
        <v>2490</v>
      </c>
      <c r="N34" s="1349">
        <f t="shared" si="21"/>
        <v>2490</v>
      </c>
      <c r="O34" s="1349">
        <f t="shared" si="21"/>
        <v>1470</v>
      </c>
      <c r="P34" s="1349">
        <f t="shared" si="21"/>
        <v>1217.5</v>
      </c>
      <c r="Q34" s="1385"/>
      <c r="R34" s="1402"/>
      <c r="S34" s="1403"/>
      <c r="T34" s="1403"/>
      <c r="U34" s="1394">
        <v>34</v>
      </c>
      <c r="V34" s="1386"/>
    </row>
    <row r="35" spans="1:36" s="1381" customFormat="1" ht="15.75" customHeight="1">
      <c r="A35" s="1348" t="s">
        <v>54</v>
      </c>
      <c r="B35" s="1395"/>
      <c r="C35" s="1349">
        <f>C993</f>
        <v>0</v>
      </c>
      <c r="D35" s="1349">
        <f>D993</f>
        <v>0</v>
      </c>
      <c r="E35" s="1349">
        <f>E993</f>
        <v>0</v>
      </c>
      <c r="F35" s="1349">
        <f>F993</f>
        <v>0</v>
      </c>
      <c r="G35" s="1409"/>
      <c r="H35" s="1410"/>
      <c r="I35" s="1410"/>
      <c r="J35" s="1410"/>
      <c r="K35" s="1410"/>
      <c r="L35" s="1409"/>
      <c r="M35" s="1349">
        <f>M993</f>
        <v>0</v>
      </c>
      <c r="N35" s="1349">
        <f>N993</f>
        <v>0</v>
      </c>
      <c r="O35" s="1349">
        <f>O993</f>
        <v>0</v>
      </c>
      <c r="P35" s="1349">
        <f>P993</f>
        <v>0</v>
      </c>
      <c r="Q35" s="1385"/>
      <c r="R35" s="1402"/>
      <c r="S35" s="1403"/>
      <c r="T35" s="1403"/>
      <c r="U35" s="1394">
        <v>35</v>
      </c>
      <c r="V35" s="1386"/>
    </row>
    <row r="36" spans="1:36" s="1381" customFormat="1" ht="15.75" customHeight="1">
      <c r="A36" s="1348" t="s">
        <v>147</v>
      </c>
      <c r="B36" s="1411"/>
      <c r="C36" s="1349">
        <f t="shared" ref="C36:F38" si="22">C994</f>
        <v>1200</v>
      </c>
      <c r="D36" s="1349">
        <f t="shared" si="22"/>
        <v>1830</v>
      </c>
      <c r="E36" s="1349">
        <f t="shared" si="22"/>
        <v>3600</v>
      </c>
      <c r="F36" s="1349">
        <f t="shared" si="22"/>
        <v>8450</v>
      </c>
      <c r="G36" s="1409"/>
      <c r="H36" s="1410"/>
      <c r="I36" s="1410"/>
      <c r="J36" s="1410"/>
      <c r="K36" s="1410"/>
      <c r="L36" s="1409"/>
      <c r="M36" s="1349">
        <f t="shared" ref="M36:P36" si="23">M994</f>
        <v>0</v>
      </c>
      <c r="N36" s="1349">
        <f t="shared" si="23"/>
        <v>0</v>
      </c>
      <c r="O36" s="1349">
        <f t="shared" si="23"/>
        <v>0</v>
      </c>
      <c r="P36" s="1349">
        <f t="shared" si="23"/>
        <v>0</v>
      </c>
      <c r="Q36" s="1385"/>
      <c r="R36" s="1402"/>
      <c r="S36" s="1403"/>
      <c r="T36" s="1403"/>
      <c r="U36" s="1394">
        <v>36</v>
      </c>
      <c r="V36" s="1386"/>
    </row>
    <row r="37" spans="1:36" s="1381" customFormat="1" ht="15.75" customHeight="1">
      <c r="A37" s="1348" t="s">
        <v>148</v>
      </c>
      <c r="B37" s="1388"/>
      <c r="C37" s="1349">
        <f t="shared" si="22"/>
        <v>1350</v>
      </c>
      <c r="D37" s="1349">
        <f t="shared" si="22"/>
        <v>1700</v>
      </c>
      <c r="E37" s="1349">
        <f t="shared" si="22"/>
        <v>2400</v>
      </c>
      <c r="F37" s="1349">
        <f t="shared" si="22"/>
        <v>5000</v>
      </c>
      <c r="G37" s="1409"/>
      <c r="H37" s="1410"/>
      <c r="I37" s="1410"/>
      <c r="J37" s="1410"/>
      <c r="K37" s="1410"/>
      <c r="L37" s="1409"/>
      <c r="M37" s="1349">
        <f t="shared" ref="M37:P37" si="24">M995</f>
        <v>410</v>
      </c>
      <c r="N37" s="1349">
        <f t="shared" si="24"/>
        <v>60</v>
      </c>
      <c r="O37" s="1349">
        <f t="shared" si="24"/>
        <v>-640</v>
      </c>
      <c r="P37" s="1349">
        <f t="shared" si="24"/>
        <v>-3020</v>
      </c>
      <c r="Q37" s="1385"/>
      <c r="R37" s="1402"/>
      <c r="S37" s="1403"/>
      <c r="T37" s="1403"/>
      <c r="U37" s="1394">
        <v>37</v>
      </c>
      <c r="V37" s="1386"/>
    </row>
    <row r="38" spans="1:36" s="1381" customFormat="1" ht="15.75" customHeight="1">
      <c r="A38" s="1348" t="s">
        <v>149</v>
      </c>
      <c r="B38" s="1412"/>
      <c r="C38" s="1349">
        <f t="shared" si="22"/>
        <v>1250</v>
      </c>
      <c r="D38" s="1349">
        <f t="shared" si="22"/>
        <v>1750</v>
      </c>
      <c r="E38" s="1349">
        <f t="shared" si="22"/>
        <v>3000</v>
      </c>
      <c r="F38" s="1349">
        <f t="shared" si="22"/>
        <v>6500</v>
      </c>
      <c r="G38" s="1409"/>
      <c r="H38" s="1410"/>
      <c r="I38" s="1410"/>
      <c r="J38" s="1410"/>
      <c r="K38" s="1410"/>
      <c r="L38" s="1409"/>
      <c r="M38" s="1349">
        <f t="shared" ref="M38:P38" si="25">M996</f>
        <v>1150</v>
      </c>
      <c r="N38" s="1349">
        <f t="shared" si="25"/>
        <v>650</v>
      </c>
      <c r="O38" s="1349">
        <f t="shared" si="25"/>
        <v>-600</v>
      </c>
      <c r="P38" s="1349">
        <f t="shared" si="25"/>
        <v>-3800</v>
      </c>
      <c r="Q38" s="1385"/>
      <c r="R38" s="1402"/>
      <c r="S38" s="1403"/>
      <c r="T38" s="1403"/>
      <c r="U38" s="1394">
        <v>38</v>
      </c>
      <c r="V38" s="1386"/>
    </row>
    <row r="39" spans="1:36" s="1381" customFormat="1" ht="15.75" customHeight="1">
      <c r="A39" s="1348" t="s">
        <v>150</v>
      </c>
      <c r="B39" s="1412"/>
      <c r="C39" s="1349">
        <f t="shared" ref="C39:F39" si="26">SUM(C802,C804)</f>
        <v>1300</v>
      </c>
      <c r="D39" s="1349">
        <f t="shared" si="26"/>
        <v>1750</v>
      </c>
      <c r="E39" s="1349">
        <f t="shared" si="26"/>
        <v>4900</v>
      </c>
      <c r="F39" s="1349">
        <f t="shared" si="26"/>
        <v>4200</v>
      </c>
      <c r="G39" s="1409"/>
      <c r="H39" s="1410"/>
      <c r="I39" s="1410"/>
      <c r="J39" s="1410"/>
      <c r="K39" s="1410"/>
      <c r="L39" s="1409"/>
      <c r="M39" s="1349">
        <f t="shared" ref="M39:P39" si="27">SUM(M802,M804)</f>
        <v>-220</v>
      </c>
      <c r="N39" s="1349">
        <f t="shared" si="27"/>
        <v>-420</v>
      </c>
      <c r="O39" s="1349">
        <f t="shared" si="27"/>
        <v>-2020</v>
      </c>
      <c r="P39" s="1349">
        <f t="shared" si="27"/>
        <v>-2160</v>
      </c>
      <c r="Q39" s="1385"/>
      <c r="R39" s="1402"/>
      <c r="S39" s="1403"/>
      <c r="T39" s="1403"/>
      <c r="U39" s="1394">
        <v>39</v>
      </c>
      <c r="V39" s="1386"/>
    </row>
    <row r="40" spans="1:36" s="1381" customFormat="1" ht="15.75" customHeight="1">
      <c r="A40" s="1348" t="s">
        <v>942</v>
      </c>
      <c r="B40" s="1412"/>
      <c r="C40" s="1349">
        <f t="shared" ref="C40:F40" si="28">SUM(C803)</f>
        <v>1200</v>
      </c>
      <c r="D40" s="1349">
        <f t="shared" si="28"/>
        <v>1200</v>
      </c>
      <c r="E40" s="1349">
        <f t="shared" si="28"/>
        <v>2600</v>
      </c>
      <c r="F40" s="1349">
        <f t="shared" si="28"/>
        <v>8500</v>
      </c>
      <c r="G40" s="1409"/>
      <c r="H40" s="1410"/>
      <c r="I40" s="1410"/>
      <c r="J40" s="1410"/>
      <c r="K40" s="1410"/>
      <c r="L40" s="1409"/>
      <c r="M40" s="1349">
        <f t="shared" ref="M40:P40" si="29">SUM(M803)</f>
        <v>-496</v>
      </c>
      <c r="N40" s="1349">
        <f t="shared" si="29"/>
        <v>-496</v>
      </c>
      <c r="O40" s="1349">
        <f t="shared" si="29"/>
        <v>-1896</v>
      </c>
      <c r="P40" s="1349">
        <f t="shared" si="29"/>
        <v>-7708</v>
      </c>
      <c r="Q40" s="1385"/>
      <c r="R40" s="1402"/>
      <c r="S40" s="1403"/>
      <c r="T40" s="1403"/>
      <c r="U40" s="1394">
        <v>40</v>
      </c>
      <c r="V40" s="1386"/>
    </row>
    <row r="41" spans="1:36" s="1381" customFormat="1" ht="15.75" customHeight="1">
      <c r="A41" s="1348" t="s">
        <v>151</v>
      </c>
      <c r="B41" s="1412"/>
      <c r="C41" s="1350">
        <f t="shared" ref="C41:F41" si="30">SUM(C805:C810)</f>
        <v>3350</v>
      </c>
      <c r="D41" s="1350">
        <f t="shared" si="30"/>
        <v>3350</v>
      </c>
      <c r="E41" s="1350">
        <f t="shared" si="30"/>
        <v>4500</v>
      </c>
      <c r="F41" s="1350">
        <f t="shared" si="30"/>
        <v>5750</v>
      </c>
      <c r="G41" s="1409"/>
      <c r="H41" s="1410"/>
      <c r="I41" s="1410"/>
      <c r="J41" s="1410"/>
      <c r="K41" s="1410"/>
      <c r="L41" s="1409"/>
      <c r="M41" s="1350">
        <f t="shared" ref="M41:P41" si="31">SUM(M805:M810)</f>
        <v>30388.666666666668</v>
      </c>
      <c r="N41" s="1350">
        <f t="shared" si="31"/>
        <v>30388.666666666668</v>
      </c>
      <c r="O41" s="1350">
        <f t="shared" si="31"/>
        <v>29688.666666666668</v>
      </c>
      <c r="P41" s="1350">
        <f t="shared" si="31"/>
        <v>32581</v>
      </c>
      <c r="Q41" s="1385"/>
      <c r="R41" s="1402"/>
      <c r="S41" s="1403"/>
      <c r="T41" s="1403"/>
      <c r="U41" s="1394">
        <v>41</v>
      </c>
      <c r="V41" s="1386"/>
    </row>
    <row r="42" spans="1:36" s="1381" customFormat="1" ht="15.75" customHeight="1">
      <c r="A42" s="1382" t="s">
        <v>152</v>
      </c>
      <c r="B42" s="1412"/>
      <c r="C42" s="1343">
        <f>IF(C20=0,"",C32/C20)</f>
        <v>0.21889191643960038</v>
      </c>
      <c r="D42" s="1343">
        <f>IF(D20=0,"",D32/D20)</f>
        <v>0.19722051910893112</v>
      </c>
      <c r="E42" s="1343">
        <f>IF(E20=0,"",E32/E20)</f>
        <v>0.15034975183583432</v>
      </c>
      <c r="F42" s="1343">
        <f>IF(F20=0,"",F32/F20)</f>
        <v>0.14442558791950957</v>
      </c>
      <c r="G42" s="1395"/>
      <c r="H42" s="1396"/>
      <c r="I42" s="1396"/>
      <c r="J42" s="1396"/>
      <c r="K42" s="1396"/>
      <c r="L42" s="1395"/>
      <c r="M42" s="1413"/>
      <c r="N42" s="1413"/>
      <c r="O42" s="1413"/>
      <c r="P42" s="1413"/>
      <c r="Q42" s="1385"/>
      <c r="R42" s="1379"/>
      <c r="S42" s="1386"/>
      <c r="T42" s="1386"/>
      <c r="U42" s="1394">
        <v>42</v>
      </c>
      <c r="V42" s="1386"/>
    </row>
    <row r="43" spans="1:36" s="1381" customFormat="1" ht="15.75" customHeight="1">
      <c r="A43" s="1414" t="s">
        <v>374</v>
      </c>
      <c r="B43" s="1415"/>
      <c r="C43" s="1351">
        <f>C811</f>
        <v>1668</v>
      </c>
      <c r="D43" s="1351">
        <f>D20-D31</f>
        <v>1353</v>
      </c>
      <c r="E43" s="1351">
        <f>E20-E31</f>
        <v>-655</v>
      </c>
      <c r="F43" s="1351">
        <f>F20-F31</f>
        <v>728</v>
      </c>
      <c r="G43" s="1411"/>
      <c r="H43" s="1416"/>
      <c r="I43" s="1416"/>
      <c r="J43" s="1416"/>
      <c r="K43" s="1416"/>
      <c r="L43" s="1411"/>
      <c r="M43" s="1417"/>
      <c r="N43" s="1417"/>
      <c r="O43" s="1417"/>
      <c r="P43" s="1417"/>
      <c r="Q43" s="1385"/>
      <c r="R43" s="1379"/>
      <c r="S43" s="1386"/>
      <c r="T43" s="1386"/>
      <c r="U43" s="1394">
        <v>43</v>
      </c>
      <c r="V43" s="1386"/>
    </row>
    <row r="44" spans="1:36" s="1422" customFormat="1" ht="15.75" customHeight="1">
      <c r="A44" s="1418" t="s">
        <v>58</v>
      </c>
      <c r="B44" s="1415"/>
      <c r="C44" s="1389"/>
      <c r="D44" s="1389"/>
      <c r="E44" s="1389"/>
      <c r="F44" s="1389"/>
      <c r="G44" s="1388"/>
      <c r="H44" s="1419"/>
      <c r="I44" s="1419"/>
      <c r="J44" s="1419"/>
      <c r="K44" s="1419"/>
      <c r="L44" s="1388"/>
      <c r="M44" s="1389"/>
      <c r="N44" s="1389"/>
      <c r="O44" s="1389"/>
      <c r="P44" s="1389"/>
      <c r="Q44" s="1420"/>
      <c r="R44" s="1378"/>
      <c r="S44" s="1421"/>
      <c r="T44" s="1421"/>
      <c r="U44" s="1394">
        <v>44</v>
      </c>
      <c r="V44" s="1421"/>
      <c r="AB44" s="1381"/>
      <c r="AC44" s="1381"/>
      <c r="AD44" s="1381"/>
      <c r="AE44" s="1381"/>
      <c r="AF44" s="1381"/>
      <c r="AG44" s="1381"/>
      <c r="AH44" s="1381"/>
      <c r="AI44" s="1381"/>
      <c r="AJ44" s="1381"/>
    </row>
    <row r="45" spans="1:36" s="1422" customFormat="1" ht="15.75" customHeight="1">
      <c r="A45" s="1380" t="s">
        <v>515</v>
      </c>
      <c r="B45" s="1415"/>
      <c r="C45" s="1423">
        <f>IF(WB!CK9="","",WB!CK9)</f>
        <v>0.5</v>
      </c>
      <c r="D45" s="1423">
        <f>IF(WB!CK10="","",WB!CK10)</f>
        <v>0.3</v>
      </c>
      <c r="E45" s="1423">
        <f>IF(WB!CK11="","",WB!CK11)</f>
        <v>0.15</v>
      </c>
      <c r="F45" s="1423">
        <f>IF(WB!CK12="","",WB!CK12)</f>
        <v>0.05</v>
      </c>
      <c r="G45" s="1412"/>
      <c r="H45" s="1424"/>
      <c r="I45" s="1424"/>
      <c r="J45" s="1424"/>
      <c r="K45" s="1424"/>
      <c r="L45" s="1412"/>
      <c r="M45" s="1425"/>
      <c r="N45" s="1425"/>
      <c r="O45" s="1425"/>
      <c r="P45" s="1425"/>
      <c r="Q45" s="1420"/>
      <c r="R45" s="1392"/>
      <c r="S45" s="1393"/>
      <c r="T45" s="1393"/>
      <c r="U45" s="1394">
        <v>45</v>
      </c>
      <c r="V45" s="1421"/>
      <c r="AB45" s="1381"/>
      <c r="AC45" s="1381"/>
      <c r="AD45" s="1381"/>
      <c r="AE45" s="1381"/>
      <c r="AF45" s="1381"/>
      <c r="AG45" s="1381"/>
      <c r="AH45" s="1381"/>
      <c r="AI45" s="1381"/>
      <c r="AJ45" s="1381"/>
    </row>
    <row r="46" spans="1:36" s="1422" customFormat="1" ht="15.75" customHeight="1">
      <c r="A46" s="1380" t="s">
        <v>64</v>
      </c>
      <c r="B46" s="1415"/>
      <c r="C46" s="1352">
        <f>IF(WB!CK14="","",WB!CK14)</f>
        <v>8</v>
      </c>
      <c r="D46" s="1352">
        <f>IF(WB!CK15="","",WB!CK15)</f>
        <v>8</v>
      </c>
      <c r="E46" s="1352">
        <f>IF(WB!CK16="","",WB!CK16)</f>
        <v>8</v>
      </c>
      <c r="F46" s="1352">
        <f>IF(WB!CK17="","",WB!CK17)</f>
        <v>9</v>
      </c>
      <c r="G46" s="1412"/>
      <c r="H46" s="1424">
        <f>SUM(C46)</f>
        <v>8</v>
      </c>
      <c r="I46" s="1424">
        <f>SUM(D46)</f>
        <v>8</v>
      </c>
      <c r="J46" s="1424">
        <f>SUM(E46)</f>
        <v>8</v>
      </c>
      <c r="K46" s="1424">
        <f>SUM(F46)</f>
        <v>9</v>
      </c>
      <c r="L46" s="1412"/>
      <c r="M46" s="1425"/>
      <c r="N46" s="1425"/>
      <c r="O46" s="1425"/>
      <c r="P46" s="1425"/>
      <c r="Q46" s="1420"/>
      <c r="R46" s="1402"/>
      <c r="S46" s="1403"/>
      <c r="T46" s="1403"/>
      <c r="U46" s="1394">
        <v>46</v>
      </c>
      <c r="V46" s="1421"/>
      <c r="AB46" s="1381"/>
      <c r="AC46" s="1381"/>
      <c r="AD46" s="1381"/>
      <c r="AE46" s="1381"/>
      <c r="AF46" s="1381"/>
      <c r="AG46" s="1381"/>
      <c r="AH46" s="1381"/>
      <c r="AI46" s="1381"/>
      <c r="AJ46" s="1381"/>
    </row>
    <row r="47" spans="1:36" s="1422" customFormat="1" ht="15.75" customHeight="1">
      <c r="A47" s="1380" t="s">
        <v>516</v>
      </c>
      <c r="B47" s="1415"/>
      <c r="C47" s="1352">
        <f>IF(WB!CK18="","",WB!CK18)</f>
        <v>0.5</v>
      </c>
      <c r="D47" s="1352">
        <f>IF(WB!CK19="","",WB!CK19)</f>
        <v>1</v>
      </c>
      <c r="E47" s="1352">
        <f>IF(WB!CK20="","",WB!CK20)</f>
        <v>1.8</v>
      </c>
      <c r="F47" s="1352">
        <f>IF(WB!CK21="","",WB!CK21)</f>
        <v>1</v>
      </c>
      <c r="G47" s="1412"/>
      <c r="H47" s="1424"/>
      <c r="I47" s="1424"/>
      <c r="J47" s="1424"/>
      <c r="K47" s="1424"/>
      <c r="L47" s="1412"/>
      <c r="M47" s="1425"/>
      <c r="N47" s="1425"/>
      <c r="O47" s="1425"/>
      <c r="P47" s="1425"/>
      <c r="Q47" s="1420"/>
      <c r="R47" s="1402"/>
      <c r="S47" s="1403"/>
      <c r="T47" s="1403"/>
      <c r="U47" s="1394">
        <v>47</v>
      </c>
      <c r="V47" s="1421"/>
      <c r="AB47" s="1381"/>
      <c r="AC47" s="1381"/>
      <c r="AD47" s="1381"/>
      <c r="AE47" s="1381"/>
      <c r="AF47" s="1381"/>
      <c r="AG47" s="1381"/>
      <c r="AH47" s="1381"/>
      <c r="AI47" s="1381"/>
      <c r="AJ47" s="1381"/>
    </row>
    <row r="48" spans="1:36" s="1422" customFormat="1" ht="15.75" customHeight="1">
      <c r="A48" s="1380" t="s">
        <v>517</v>
      </c>
      <c r="B48" s="1415"/>
      <c r="C48" s="1352">
        <f>IF(WB!CK22="","",WB!CK22)</f>
        <v>1</v>
      </c>
      <c r="D48" s="1352">
        <f>IF(WB!CK23="","",WB!CK23)</f>
        <v>0.8</v>
      </c>
      <c r="E48" s="1352">
        <f>IF(WB!CK24="","",WB!CK24)</f>
        <v>1</v>
      </c>
      <c r="F48" s="1352">
        <f>IF(WB!CK25="","",WB!CK25)</f>
        <v>1</v>
      </c>
      <c r="G48" s="1412"/>
      <c r="H48" s="1424"/>
      <c r="I48" s="1424"/>
      <c r="J48" s="1424"/>
      <c r="K48" s="1424"/>
      <c r="L48" s="1412"/>
      <c r="M48" s="1425"/>
      <c r="N48" s="1425"/>
      <c r="O48" s="1425"/>
      <c r="P48" s="1425"/>
      <c r="Q48" s="1420"/>
      <c r="R48" s="1402"/>
      <c r="S48" s="1403"/>
      <c r="T48" s="1403"/>
      <c r="U48" s="1394">
        <v>48</v>
      </c>
      <c r="V48" s="1421"/>
      <c r="AB48" s="1381"/>
      <c r="AC48" s="1381"/>
      <c r="AD48" s="1381"/>
      <c r="AE48" s="1381"/>
      <c r="AF48" s="1381"/>
      <c r="AG48" s="1381"/>
      <c r="AH48" s="1381"/>
      <c r="AI48" s="1381"/>
      <c r="AJ48" s="1381"/>
    </row>
    <row r="49" spans="1:36" s="1422" customFormat="1" ht="15.75" customHeight="1">
      <c r="A49" s="1380" t="s">
        <v>518</v>
      </c>
      <c r="B49" s="1415"/>
      <c r="C49" s="1352">
        <f>IF(WB!CK26="","",WB!CK26)</f>
        <v>0.5</v>
      </c>
      <c r="D49" s="1352">
        <f>IF(WB!CK27="","",WB!CK27)</f>
        <v>0.5</v>
      </c>
      <c r="E49" s="1352">
        <f>IF(WB!CK28="","",WB!CK28)</f>
        <v>1</v>
      </c>
      <c r="F49" s="1352">
        <f>IF(WB!CK29="","",WB!CK29)</f>
        <v>1.5</v>
      </c>
      <c r="G49" s="1412"/>
      <c r="H49" s="1424"/>
      <c r="I49" s="1424"/>
      <c r="J49" s="1424"/>
      <c r="K49" s="1424"/>
      <c r="L49" s="1412"/>
      <c r="M49" s="1425"/>
      <c r="N49" s="1425"/>
      <c r="O49" s="1425"/>
      <c r="P49" s="1425"/>
      <c r="Q49" s="1420"/>
      <c r="R49" s="1402"/>
      <c r="S49" s="1403"/>
      <c r="T49" s="1403"/>
      <c r="U49" s="1394">
        <v>49</v>
      </c>
      <c r="V49" s="1421"/>
      <c r="AB49" s="1381"/>
      <c r="AC49" s="1381"/>
      <c r="AD49" s="1381"/>
      <c r="AE49" s="1381"/>
      <c r="AF49" s="1381"/>
      <c r="AG49" s="1381"/>
      <c r="AH49" s="1381"/>
      <c r="AI49" s="1381"/>
      <c r="AJ49" s="1381"/>
    </row>
    <row r="50" spans="1:36" s="1422" customFormat="1" ht="15.75" customHeight="1">
      <c r="A50" s="1380" t="s">
        <v>519</v>
      </c>
      <c r="B50" s="1415"/>
      <c r="C50" s="1352">
        <f>IF(WB!CK30="","",WB!CK30)</f>
        <v>0</v>
      </c>
      <c r="D50" s="1352">
        <f>IF(WB!CK31="","",WB!CK31)</f>
        <v>0</v>
      </c>
      <c r="E50" s="1352">
        <f>IF(WB!CK32="","",WB!CK32)</f>
        <v>0.25</v>
      </c>
      <c r="F50" s="1352">
        <f>IF(WB!CK33="","",WB!CK33)</f>
        <v>0.25</v>
      </c>
      <c r="G50" s="1412"/>
      <c r="H50" s="1424"/>
      <c r="I50" s="1424"/>
      <c r="J50" s="1424"/>
      <c r="K50" s="1424"/>
      <c r="L50" s="1412"/>
      <c r="M50" s="1425"/>
      <c r="N50" s="1425"/>
      <c r="O50" s="1425"/>
      <c r="P50" s="1425"/>
      <c r="Q50" s="1420"/>
      <c r="R50" s="1402"/>
      <c r="S50" s="1403"/>
      <c r="T50" s="1403"/>
      <c r="U50" s="1394">
        <v>50</v>
      </c>
      <c r="V50" s="1421"/>
      <c r="AB50" s="1381"/>
      <c r="AC50" s="1381"/>
      <c r="AD50" s="1381"/>
      <c r="AE50" s="1381"/>
      <c r="AF50" s="1381"/>
      <c r="AG50" s="1381"/>
      <c r="AH50" s="1381"/>
      <c r="AI50" s="1381"/>
      <c r="AJ50" s="1381"/>
    </row>
    <row r="51" spans="1:36" s="1422" customFormat="1" ht="15.75" customHeight="1">
      <c r="A51" s="1380" t="s">
        <v>159</v>
      </c>
      <c r="B51" s="1415"/>
      <c r="C51" s="1352" t="str">
        <f>IF(WB!CK34="","",WB!CK34)</f>
        <v/>
      </c>
      <c r="D51" s="1352" t="str">
        <f>IF(WB!CK42="","",WB!CK42)</f>
        <v/>
      </c>
      <c r="E51" s="1352" t="str">
        <f>IF(WB!CK50="","",WB!CK50)</f>
        <v/>
      </c>
      <c r="F51" s="1352" t="str">
        <f>IF(WB!CK58="","",WB!CK58)</f>
        <v/>
      </c>
      <c r="G51" s="1412"/>
      <c r="H51" s="1426">
        <f t="shared" ref="H51:K52" si="32">SUM(C51)</f>
        <v>0</v>
      </c>
      <c r="I51" s="1426">
        <f t="shared" si="32"/>
        <v>0</v>
      </c>
      <c r="J51" s="1426">
        <f t="shared" si="32"/>
        <v>0</v>
      </c>
      <c r="K51" s="1426">
        <f t="shared" si="32"/>
        <v>0</v>
      </c>
      <c r="L51" s="1412"/>
      <c r="M51" s="1425"/>
      <c r="N51" s="1425"/>
      <c r="O51" s="1425"/>
      <c r="P51" s="1425"/>
      <c r="Q51" s="1420"/>
      <c r="R51" s="1402"/>
      <c r="S51" s="1403"/>
      <c r="T51" s="1403"/>
      <c r="U51" s="1394">
        <v>51</v>
      </c>
      <c r="V51" s="1421"/>
      <c r="AB51" s="1381"/>
      <c r="AC51" s="1381"/>
      <c r="AD51" s="1381"/>
      <c r="AE51" s="1381"/>
      <c r="AF51" s="1381"/>
      <c r="AG51" s="1381"/>
      <c r="AH51" s="1381"/>
      <c r="AI51" s="1381"/>
      <c r="AJ51" s="1381"/>
    </row>
    <row r="52" spans="1:36" s="1422" customFormat="1" ht="15.75" customHeight="1">
      <c r="A52" s="1382" t="s">
        <v>160</v>
      </c>
      <c r="B52" s="1415"/>
      <c r="C52" s="1352">
        <f>IF(WB!CK70="","",WB!CK70)</f>
        <v>2</v>
      </c>
      <c r="D52" s="1352">
        <f>IF(WB!CK78="","",WB!CK78)</f>
        <v>4</v>
      </c>
      <c r="E52" s="1352">
        <f>IF(WB!CK86="","",WB!CK86)</f>
        <v>10</v>
      </c>
      <c r="F52" s="1352">
        <f>IF(WB!CK94="","",WB!CK94)</f>
        <v>25</v>
      </c>
      <c r="G52" s="1415"/>
      <c r="H52" s="1426">
        <f t="shared" si="32"/>
        <v>2</v>
      </c>
      <c r="I52" s="1426">
        <f t="shared" si="32"/>
        <v>4</v>
      </c>
      <c r="J52" s="1426">
        <f t="shared" si="32"/>
        <v>10</v>
      </c>
      <c r="K52" s="1426">
        <f t="shared" si="32"/>
        <v>25</v>
      </c>
      <c r="L52" s="1415"/>
      <c r="M52" s="1427"/>
      <c r="N52" s="1427"/>
      <c r="O52" s="1427"/>
      <c r="P52" s="1427"/>
      <c r="Q52" s="1420"/>
      <c r="R52" s="1402"/>
      <c r="S52" s="1403"/>
      <c r="T52" s="1403"/>
      <c r="U52" s="1394">
        <v>52</v>
      </c>
      <c r="V52" s="1421"/>
      <c r="AB52" s="1381"/>
      <c r="AC52" s="1381"/>
      <c r="AD52" s="1381"/>
      <c r="AE52" s="1381"/>
      <c r="AF52" s="1381"/>
      <c r="AG52" s="1381"/>
      <c r="AH52" s="1381"/>
      <c r="AI52" s="1381"/>
      <c r="AJ52" s="1381"/>
    </row>
    <row r="53" spans="1:36" s="1422" customFormat="1" ht="15.75" customHeight="1">
      <c r="A53" s="1380" t="s">
        <v>161</v>
      </c>
      <c r="B53" s="1415"/>
      <c r="C53" s="1352">
        <f>IF(WB!CK66="","",WB!CK66)</f>
        <v>0</v>
      </c>
      <c r="D53" s="1352">
        <f>IF(WB!CK67="","",WB!CK67)</f>
        <v>0</v>
      </c>
      <c r="E53" s="1352">
        <f>IF(WB!CK68="","",WB!CK68)</f>
        <v>0</v>
      </c>
      <c r="F53" s="1352">
        <f>IF(WB!CK69="","",WB!CK69)</f>
        <v>2</v>
      </c>
      <c r="G53" s="1415"/>
      <c r="H53" s="1426"/>
      <c r="I53" s="1426"/>
      <c r="J53" s="1426"/>
      <c r="K53" s="1426"/>
      <c r="L53" s="1415"/>
      <c r="M53" s="1427"/>
      <c r="N53" s="1427"/>
      <c r="O53" s="1427"/>
      <c r="P53" s="1427"/>
      <c r="Q53" s="1420"/>
      <c r="R53" s="1402"/>
      <c r="S53" s="1403"/>
      <c r="T53" s="1403"/>
      <c r="U53" s="1394">
        <v>53</v>
      </c>
      <c r="V53" s="1421"/>
      <c r="AB53" s="1381"/>
      <c r="AC53" s="1381"/>
      <c r="AD53" s="1381"/>
      <c r="AE53" s="1381"/>
      <c r="AF53" s="1381"/>
      <c r="AG53" s="1381"/>
      <c r="AH53" s="1381"/>
      <c r="AI53" s="1381"/>
      <c r="AJ53" s="1381"/>
    </row>
    <row r="54" spans="1:36" s="1422" customFormat="1" ht="15.75" customHeight="1">
      <c r="A54" s="1382" t="s">
        <v>162</v>
      </c>
      <c r="B54" s="1415"/>
      <c r="C54" s="1352">
        <f>IF(WB!CK102="","",WB!CK102)</f>
        <v>3</v>
      </c>
      <c r="D54" s="1352">
        <f>IF(WB!CK110="","",WB!CK110)</f>
        <v>8</v>
      </c>
      <c r="E54" s="1352">
        <f>IF(WB!CK118="","",WB!CK118)</f>
        <v>15</v>
      </c>
      <c r="F54" s="1352">
        <f>IF(WB!CK126="","",WB!CK126)</f>
        <v>20</v>
      </c>
      <c r="G54" s="1415"/>
      <c r="H54" s="1426">
        <f t="shared" ref="H54:K55" si="33">SUM(C54)</f>
        <v>3</v>
      </c>
      <c r="I54" s="1426">
        <f t="shared" si="33"/>
        <v>8</v>
      </c>
      <c r="J54" s="1426">
        <f t="shared" si="33"/>
        <v>15</v>
      </c>
      <c r="K54" s="1426">
        <f t="shared" si="33"/>
        <v>20</v>
      </c>
      <c r="L54" s="1415"/>
      <c r="M54" s="1427"/>
      <c r="N54" s="1427"/>
      <c r="O54" s="1427"/>
      <c r="P54" s="1427"/>
      <c r="Q54" s="1420"/>
      <c r="R54" s="1402"/>
      <c r="S54" s="1403"/>
      <c r="T54" s="1403"/>
      <c r="U54" s="1394">
        <v>54</v>
      </c>
      <c r="V54" s="1421"/>
      <c r="AB54" s="1381"/>
      <c r="AC54" s="1381"/>
      <c r="AD54" s="1381"/>
      <c r="AE54" s="1381"/>
      <c r="AF54" s="1381"/>
      <c r="AG54" s="1381"/>
      <c r="AH54" s="1381"/>
      <c r="AI54" s="1381"/>
      <c r="AJ54" s="1381"/>
    </row>
    <row r="55" spans="1:36" s="1422" customFormat="1" ht="15.75" customHeight="1">
      <c r="A55" s="1382" t="s">
        <v>163</v>
      </c>
      <c r="B55" s="1415"/>
      <c r="C55" s="1352">
        <f>IF(WB!CK134="","",WB!CK134)</f>
        <v>0</v>
      </c>
      <c r="D55" s="1352">
        <f>IF(WB!CK142="","",WB!CK142)</f>
        <v>0</v>
      </c>
      <c r="E55" s="1352">
        <f>IF(WB!CK150="","",WB!CK150)</f>
        <v>0</v>
      </c>
      <c r="F55" s="1352">
        <f>IF(WB!CK158="","",WB!CK158)</f>
        <v>0</v>
      </c>
      <c r="G55" s="1415"/>
      <c r="H55" s="1426">
        <f t="shared" si="33"/>
        <v>0</v>
      </c>
      <c r="I55" s="1426">
        <f t="shared" si="33"/>
        <v>0</v>
      </c>
      <c r="J55" s="1426">
        <f t="shared" si="33"/>
        <v>0</v>
      </c>
      <c r="K55" s="1426">
        <f t="shared" si="33"/>
        <v>0</v>
      </c>
      <c r="L55" s="1415"/>
      <c r="M55" s="1427"/>
      <c r="N55" s="1427"/>
      <c r="O55" s="1427"/>
      <c r="P55" s="1427"/>
      <c r="Q55" s="1420"/>
      <c r="R55" s="1402"/>
      <c r="S55" s="1403"/>
      <c r="T55" s="1403"/>
      <c r="U55" s="1394">
        <v>55</v>
      </c>
      <c r="V55" s="1421"/>
      <c r="AB55" s="1381"/>
      <c r="AC55" s="1381"/>
      <c r="AD55" s="1381"/>
      <c r="AE55" s="1381"/>
      <c r="AF55" s="1381"/>
      <c r="AG55" s="1381"/>
      <c r="AH55" s="1381"/>
      <c r="AI55" s="1381"/>
      <c r="AJ55" s="1381"/>
    </row>
    <row r="56" spans="1:36" s="1422" customFormat="1" ht="15.75" customHeight="1">
      <c r="A56" s="1382" t="s">
        <v>164</v>
      </c>
      <c r="B56" s="1415"/>
      <c r="C56" s="1352" t="str">
        <f>IF(WB!CK166="","",WB!CK166)</f>
        <v/>
      </c>
      <c r="D56" s="1352" t="str">
        <f>IF(WB!CK167="","",WB!CK167)</f>
        <v/>
      </c>
      <c r="E56" s="1352" t="str">
        <f>IF(WB!CK168="","",WB!CK168)</f>
        <v/>
      </c>
      <c r="F56" s="1352" t="str">
        <f>IF(WB!CK169="","",WB!CK169)</f>
        <v/>
      </c>
      <c r="G56" s="1415"/>
      <c r="H56" s="1426"/>
      <c r="I56" s="1426"/>
      <c r="J56" s="1426"/>
      <c r="K56" s="1426"/>
      <c r="L56" s="1415"/>
      <c r="M56" s="1427"/>
      <c r="N56" s="1427"/>
      <c r="O56" s="1427"/>
      <c r="P56" s="1427"/>
      <c r="Q56" s="1420"/>
      <c r="R56" s="1402"/>
      <c r="S56" s="1403"/>
      <c r="T56" s="1403"/>
      <c r="U56" s="1394">
        <v>56</v>
      </c>
      <c r="V56" s="1421"/>
      <c r="AB56" s="1381"/>
      <c r="AC56" s="1381"/>
      <c r="AD56" s="1381"/>
      <c r="AE56" s="1381"/>
      <c r="AF56" s="1381"/>
      <c r="AG56" s="1381"/>
      <c r="AH56" s="1381"/>
      <c r="AI56" s="1381"/>
      <c r="AJ56" s="1381"/>
    </row>
    <row r="57" spans="1:36" s="1422" customFormat="1" ht="15.75" customHeight="1">
      <c r="A57" s="1428" t="s">
        <v>165</v>
      </c>
      <c r="B57" s="1415"/>
      <c r="C57" s="1352">
        <f>IF(WB!CK170="","",WB!CK170)</f>
        <v>7.5</v>
      </c>
      <c r="D57" s="1352">
        <f>IF(WB!CK171="","",WB!CK171)</f>
        <v>5</v>
      </c>
      <c r="E57" s="1352">
        <f>IF(WB!CK172="","",WB!CK172)</f>
        <v>10</v>
      </c>
      <c r="F57" s="1352">
        <f>IF(WB!CK173="","",WB!CK173)</f>
        <v>22</v>
      </c>
      <c r="G57" s="1415"/>
      <c r="H57" s="1426"/>
      <c r="I57" s="1426"/>
      <c r="J57" s="1426"/>
      <c r="K57" s="1426"/>
      <c r="L57" s="1415"/>
      <c r="M57" s="1427"/>
      <c r="N57" s="1427"/>
      <c r="O57" s="1427"/>
      <c r="P57" s="1427"/>
      <c r="Q57" s="1420"/>
      <c r="R57" s="1402"/>
      <c r="S57" s="1403"/>
      <c r="T57" s="1403"/>
      <c r="U57" s="1394">
        <v>57</v>
      </c>
      <c r="V57" s="1421"/>
      <c r="AB57" s="1381"/>
      <c r="AC57" s="1381"/>
      <c r="AD57" s="1381"/>
      <c r="AE57" s="1381"/>
      <c r="AF57" s="1381"/>
      <c r="AG57" s="1381"/>
      <c r="AH57" s="1381"/>
      <c r="AI57" s="1381"/>
      <c r="AJ57" s="1381"/>
    </row>
    <row r="58" spans="1:36" s="1422" customFormat="1" ht="15.75" customHeight="1">
      <c r="A58" s="1429" t="str">
        <f>WB!A174</f>
        <v>Other: Donkeys</v>
      </c>
      <c r="B58" s="1415"/>
      <c r="C58" s="1352">
        <f>IF(WB!CK174="","",WB!CK174)</f>
        <v>0</v>
      </c>
      <c r="D58" s="1352">
        <f>IF(WB!CK175="","",WB!CK175)</f>
        <v>0</v>
      </c>
      <c r="E58" s="1352">
        <f>IF(WB!CK176="","",WB!CK176)</f>
        <v>0</v>
      </c>
      <c r="F58" s="1352">
        <f>IF(WB!CK177="","",WB!CK177)</f>
        <v>0</v>
      </c>
      <c r="G58" s="1415"/>
      <c r="H58" s="1426"/>
      <c r="I58" s="1426"/>
      <c r="J58" s="1426"/>
      <c r="K58" s="1426"/>
      <c r="L58" s="1415"/>
      <c r="M58" s="1427"/>
      <c r="N58" s="1427"/>
      <c r="O58" s="1427"/>
      <c r="P58" s="1427"/>
      <c r="Q58" s="1420"/>
      <c r="R58" s="1402"/>
      <c r="S58" s="1403"/>
      <c r="T58" s="1403"/>
      <c r="U58" s="1394">
        <v>58</v>
      </c>
      <c r="V58" s="1421"/>
      <c r="AB58" s="1381"/>
      <c r="AC58" s="1381"/>
      <c r="AD58" s="1381"/>
      <c r="AE58" s="1381"/>
      <c r="AF58" s="1381"/>
      <c r="AG58" s="1381"/>
      <c r="AH58" s="1381"/>
      <c r="AI58" s="1381"/>
      <c r="AJ58" s="1381"/>
    </row>
    <row r="59" spans="1:36" s="1422" customFormat="1" ht="15.75" customHeight="1">
      <c r="A59" s="1382" t="str">
        <f>WB!A178</f>
        <v>Other: Donkey or Ox Carts</v>
      </c>
      <c r="B59" s="1430"/>
      <c r="C59" s="1352" t="str">
        <f>IF(WB!CK178="","",WB!CK178)</f>
        <v/>
      </c>
      <c r="D59" s="1352" t="str">
        <f>IF(WB!CK179="","",WB!CK179)</f>
        <v/>
      </c>
      <c r="E59" s="1352" t="str">
        <f>IF(WB!CK180="","",WB!CK180)</f>
        <v/>
      </c>
      <c r="F59" s="1352" t="str">
        <f>IF(WB!CK181="","",WB!CK181)</f>
        <v/>
      </c>
      <c r="G59" s="1415"/>
      <c r="H59" s="1426"/>
      <c r="I59" s="1426"/>
      <c r="J59" s="1426"/>
      <c r="K59" s="1426"/>
      <c r="L59" s="1415"/>
      <c r="M59" s="1427"/>
      <c r="N59" s="1427"/>
      <c r="O59" s="1427"/>
      <c r="P59" s="1427"/>
      <c r="Q59" s="1420"/>
      <c r="R59" s="1402"/>
      <c r="S59" s="1403"/>
      <c r="T59" s="1403"/>
      <c r="U59" s="1394">
        <v>59</v>
      </c>
      <c r="V59" s="1421"/>
      <c r="AB59" s="1381"/>
      <c r="AC59" s="1381"/>
      <c r="AD59" s="1381"/>
      <c r="AE59" s="1381"/>
      <c r="AF59" s="1381"/>
      <c r="AG59" s="1381"/>
      <c r="AH59" s="1381"/>
      <c r="AI59" s="1381"/>
      <c r="AJ59" s="1381"/>
    </row>
    <row r="60" spans="1:36" s="1422" customFormat="1" ht="15.75" customHeight="1">
      <c r="A60" s="1382" t="str">
        <f>WB!A182</f>
        <v>Other: Ploughs</v>
      </c>
      <c r="B60" s="1412"/>
      <c r="C60" s="1352">
        <f>IF(WB!CK182="","",WB!CK182)</f>
        <v>0</v>
      </c>
      <c r="D60" s="1352">
        <f>IF(WB!CK183="","",WB!CK183)</f>
        <v>0</v>
      </c>
      <c r="E60" s="1352">
        <f>IF(WB!CK184="","",WB!CK184)</f>
        <v>0</v>
      </c>
      <c r="F60" s="1352">
        <f>IF(WB!CK185="","",WB!CK185)</f>
        <v>1.5</v>
      </c>
      <c r="G60" s="1415"/>
      <c r="H60" s="1426"/>
      <c r="I60" s="1426"/>
      <c r="J60" s="1426"/>
      <c r="K60" s="1426"/>
      <c r="L60" s="1415"/>
      <c r="M60" s="1427"/>
      <c r="N60" s="1427"/>
      <c r="O60" s="1427"/>
      <c r="P60" s="1427"/>
      <c r="Q60" s="1420"/>
      <c r="R60" s="1402"/>
      <c r="S60" s="1403"/>
      <c r="T60" s="1403"/>
      <c r="U60" s="1394">
        <v>60</v>
      </c>
      <c r="V60" s="1421"/>
      <c r="AB60" s="1381"/>
      <c r="AC60" s="1381"/>
      <c r="AD60" s="1381"/>
      <c r="AE60" s="1381"/>
      <c r="AF60" s="1381"/>
      <c r="AG60" s="1381"/>
      <c r="AH60" s="1381"/>
      <c r="AI60" s="1381"/>
      <c r="AJ60" s="1381"/>
    </row>
    <row r="61" spans="1:36" s="1422" customFormat="1" ht="15.75" customHeight="1">
      <c r="A61" s="1382" t="str">
        <f>WB!A186</f>
        <v>Other: Vehicles</v>
      </c>
      <c r="B61" s="1431"/>
      <c r="C61" s="1352">
        <f>IF(WB!CK186="","",WB!CK186)</f>
        <v>0</v>
      </c>
      <c r="D61" s="1352">
        <f>IF(WB!CK187="","",WB!CK187)</f>
        <v>0</v>
      </c>
      <c r="E61" s="1352">
        <f>IF(WB!CK188="","",WB!CK188)</f>
        <v>0</v>
      </c>
      <c r="F61" s="1352">
        <f>IF(WB!CK189="","",WB!CK189)</f>
        <v>1</v>
      </c>
      <c r="G61" s="1415"/>
      <c r="H61" s="1426"/>
      <c r="I61" s="1426"/>
      <c r="J61" s="1426"/>
      <c r="K61" s="1426"/>
      <c r="L61" s="1415"/>
      <c r="M61" s="1427"/>
      <c r="N61" s="1427"/>
      <c r="O61" s="1427"/>
      <c r="P61" s="1427"/>
      <c r="Q61" s="1420"/>
      <c r="R61" s="1402"/>
      <c r="S61" s="1403"/>
      <c r="T61" s="1403"/>
      <c r="U61" s="1394">
        <v>61</v>
      </c>
      <c r="V61" s="1421"/>
      <c r="AB61" s="1381"/>
      <c r="AC61" s="1381"/>
      <c r="AD61" s="1381"/>
      <c r="AE61" s="1381"/>
      <c r="AF61" s="1381"/>
      <c r="AG61" s="1381"/>
      <c r="AH61" s="1381"/>
      <c r="AI61" s="1381"/>
      <c r="AJ61" s="1381"/>
    </row>
    <row r="62" spans="1:36" s="1422" customFormat="1" ht="15.75" customHeight="1">
      <c r="A62" s="1382" t="str">
        <f>WB!A190</f>
        <v>Other: Spaza Shop</v>
      </c>
      <c r="B62" s="1432"/>
      <c r="C62" s="1352">
        <f>IF(WB!CK190="","",WB!CK190)</f>
        <v>0</v>
      </c>
      <c r="D62" s="1352">
        <f>IF(WB!CK191="","",WB!CK191)</f>
        <v>0</v>
      </c>
      <c r="E62" s="1352">
        <f>IF(WB!CK192="","",WB!CK192)</f>
        <v>0</v>
      </c>
      <c r="F62" s="1352">
        <f>IF(WB!CK193="","",WB!CK193)</f>
        <v>1</v>
      </c>
      <c r="G62" s="1415"/>
      <c r="H62" s="1426"/>
      <c r="I62" s="1426"/>
      <c r="J62" s="1426"/>
      <c r="K62" s="1426"/>
      <c r="L62" s="1415"/>
      <c r="M62" s="1427"/>
      <c r="N62" s="1427"/>
      <c r="O62" s="1427"/>
      <c r="P62" s="1427"/>
      <c r="Q62" s="1420"/>
      <c r="R62" s="1402"/>
      <c r="S62" s="1403"/>
      <c r="T62" s="1403"/>
      <c r="U62" s="1394">
        <v>62</v>
      </c>
      <c r="V62" s="1421"/>
      <c r="AB62" s="1381"/>
      <c r="AC62" s="1381"/>
      <c r="AD62" s="1381"/>
      <c r="AE62" s="1381"/>
      <c r="AF62" s="1381"/>
      <c r="AG62" s="1381"/>
      <c r="AH62" s="1381"/>
      <c r="AI62" s="1381"/>
      <c r="AJ62" s="1381"/>
    </row>
    <row r="63" spans="1:36" s="1422" customFormat="1" ht="15.75" customHeight="1">
      <c r="A63" s="1383" t="str">
        <f>WB!A194</f>
        <v>Other: (horse)</v>
      </c>
      <c r="B63" s="1433"/>
      <c r="C63" s="1352">
        <f>IF(WB!CK194="","",WB!CK194)</f>
        <v>0</v>
      </c>
      <c r="D63" s="1352">
        <f>IF(WB!CK195="","",WB!CK195)</f>
        <v>0</v>
      </c>
      <c r="E63" s="1352">
        <f>IF(WB!CK196="","",WB!CK196)</f>
        <v>0</v>
      </c>
      <c r="F63" s="1352">
        <f>IF(WB!CK197="","",WB!CK197)</f>
        <v>0</v>
      </c>
      <c r="G63" s="1415"/>
      <c r="H63" s="1434"/>
      <c r="I63" s="1434"/>
      <c r="J63" s="1434"/>
      <c r="K63" s="1434"/>
      <c r="L63" s="1415"/>
      <c r="M63" s="1435"/>
      <c r="N63" s="1435"/>
      <c r="O63" s="1435"/>
      <c r="P63" s="1435"/>
      <c r="Q63" s="1420"/>
      <c r="R63" s="1402"/>
      <c r="S63" s="1403"/>
      <c r="T63" s="1403"/>
      <c r="U63" s="1394">
        <v>63</v>
      </c>
      <c r="V63" s="1421"/>
      <c r="AB63" s="1381"/>
      <c r="AC63" s="1381"/>
      <c r="AD63" s="1381"/>
      <c r="AE63" s="1381"/>
      <c r="AF63" s="1381"/>
      <c r="AG63" s="1381"/>
      <c r="AH63" s="1381"/>
      <c r="AI63" s="1381"/>
      <c r="AJ63" s="1381"/>
    </row>
    <row r="64" spans="1:36" s="1422" customFormat="1" ht="15.75" customHeight="1">
      <c r="A64" s="1436" t="s">
        <v>166</v>
      </c>
      <c r="B64" s="1433"/>
      <c r="C64" s="1437"/>
      <c r="D64" s="1437"/>
      <c r="E64" s="1437"/>
      <c r="F64" s="1437"/>
      <c r="G64" s="1430"/>
      <c r="H64" s="1438"/>
      <c r="I64" s="1438"/>
      <c r="J64" s="1438"/>
      <c r="K64" s="1438"/>
      <c r="L64" s="1430"/>
      <c r="M64" s="1439"/>
      <c r="N64" s="1439"/>
      <c r="O64" s="1439"/>
      <c r="P64" s="1439"/>
      <c r="Q64" s="1420"/>
      <c r="R64" s="1378"/>
      <c r="S64" s="1421"/>
      <c r="T64" s="1421"/>
      <c r="U64" s="1394">
        <v>64</v>
      </c>
      <c r="V64" s="1421"/>
      <c r="AB64" s="1381"/>
      <c r="AC64" s="1381"/>
      <c r="AD64" s="1381"/>
      <c r="AE64" s="1381"/>
      <c r="AF64" s="1381"/>
      <c r="AG64" s="1381"/>
      <c r="AH64" s="1381"/>
      <c r="AI64" s="1381"/>
      <c r="AJ64" s="1381"/>
    </row>
    <row r="65" spans="1:36" s="1422" customFormat="1" ht="15.75" hidden="1" customHeight="1">
      <c r="A65" s="1440" t="s">
        <v>167</v>
      </c>
      <c r="B65" s="1433"/>
      <c r="C65" s="1441"/>
      <c r="D65" s="1441"/>
      <c r="E65" s="1441"/>
      <c r="F65" s="1374"/>
      <c r="G65" s="1412"/>
      <c r="H65" s="1442"/>
      <c r="I65" s="1442"/>
      <c r="J65" s="1442"/>
      <c r="K65" s="1442"/>
      <c r="L65" s="1412"/>
      <c r="M65" s="1425"/>
      <c r="N65" s="1425"/>
      <c r="O65" s="1425"/>
      <c r="P65" s="1425"/>
      <c r="Q65" s="1420"/>
      <c r="R65" s="1378"/>
      <c r="S65" s="1421"/>
      <c r="T65" s="1421"/>
      <c r="U65" s="1394">
        <v>65</v>
      </c>
      <c r="V65" s="1421"/>
      <c r="AE65" s="1381"/>
      <c r="AF65" s="1381"/>
      <c r="AG65" s="1381"/>
      <c r="AH65" s="1381"/>
      <c r="AI65" s="1381"/>
      <c r="AJ65" s="1381"/>
    </row>
    <row r="66" spans="1:36" s="1422" customFormat="1" ht="15.75" hidden="1" customHeight="1">
      <c r="A66" s="1382" t="s">
        <v>169</v>
      </c>
      <c r="B66" s="1443"/>
      <c r="C66" s="1444">
        <f>IF(Data!BV66="","",Data!BV66)</f>
        <v>0</v>
      </c>
      <c r="D66" s="1444">
        <f>IF(Data!BW66="","",Data!BW66)</f>
        <v>0</v>
      </c>
      <c r="E66" s="1444">
        <f>IF(Data!BX66="","",Data!BX66)</f>
        <v>0</v>
      </c>
      <c r="F66" s="1374">
        <f>IF(Data!BY66="","",Data!BY66)</f>
        <v>0</v>
      </c>
      <c r="G66" s="1431"/>
      <c r="H66" s="1427"/>
      <c r="I66" s="1427"/>
      <c r="J66" s="1427"/>
      <c r="K66" s="1427"/>
      <c r="L66" s="1431"/>
      <c r="M66" s="1427"/>
      <c r="N66" s="1427"/>
      <c r="O66" s="1427"/>
      <c r="P66" s="1427"/>
      <c r="Q66" s="1420"/>
      <c r="R66" s="1445"/>
      <c r="S66" s="1446"/>
      <c r="T66" s="1446"/>
      <c r="U66" s="1394">
        <v>66</v>
      </c>
      <c r="V66" s="1421"/>
      <c r="AE66" s="1381"/>
      <c r="AF66" s="1381"/>
      <c r="AG66" s="1381"/>
      <c r="AH66" s="1381"/>
      <c r="AI66" s="1381"/>
      <c r="AJ66" s="1381"/>
    </row>
    <row r="67" spans="1:36" s="1422" customFormat="1" ht="15.75" hidden="1" customHeight="1">
      <c r="A67" s="1447" t="s">
        <v>950</v>
      </c>
      <c r="B67" s="1431"/>
      <c r="C67" s="1444" t="str">
        <f>IF(Data!BV67="","",Data!BV67)</f>
        <v/>
      </c>
      <c r="D67" s="1444" t="str">
        <f>IF(Data!BW67="","",Data!BW67)</f>
        <v/>
      </c>
      <c r="E67" s="1444" t="str">
        <f>IF(Data!BX67="","",Data!BX67)</f>
        <v/>
      </c>
      <c r="F67" s="1374" t="str">
        <f>IF(Data!BY67="","",Data!BY67)</f>
        <v/>
      </c>
      <c r="G67" s="1431"/>
      <c r="H67" s="1427"/>
      <c r="I67" s="1427"/>
      <c r="J67" s="1427"/>
      <c r="K67" s="1427"/>
      <c r="L67" s="1431"/>
      <c r="M67" s="1427"/>
      <c r="N67" s="1427"/>
      <c r="O67" s="1427"/>
      <c r="P67" s="1427"/>
      <c r="Q67" s="1420"/>
      <c r="R67" s="1402"/>
      <c r="S67" s="1403"/>
      <c r="T67" s="1403"/>
      <c r="U67" s="1394">
        <v>67</v>
      </c>
      <c r="V67" s="1421"/>
      <c r="AE67" s="1381"/>
      <c r="AF67" s="1381"/>
      <c r="AG67" s="1381"/>
      <c r="AH67" s="1381"/>
      <c r="AI67" s="1381"/>
      <c r="AJ67" s="1381"/>
    </row>
    <row r="68" spans="1:36" s="1422" customFormat="1" ht="15.75" hidden="1" customHeight="1">
      <c r="A68" s="1428" t="s">
        <v>173</v>
      </c>
      <c r="B68" s="1433"/>
      <c r="C68" s="1448" t="str">
        <f>IF(Data!BV68="","",Data!BV68)</f>
        <v/>
      </c>
      <c r="D68" s="1448" t="str">
        <f>IF(Data!BW68="","",Data!BW68)</f>
        <v/>
      </c>
      <c r="E68" s="1448" t="str">
        <f>IF(Data!BX68="","",Data!BX68)</f>
        <v/>
      </c>
      <c r="F68" s="1374" t="str">
        <f>IF(Data!BY68="","",Data!BY68)</f>
        <v/>
      </c>
      <c r="G68" s="1433"/>
      <c r="H68" s="1427"/>
      <c r="I68" s="1427"/>
      <c r="J68" s="1427"/>
      <c r="K68" s="1427"/>
      <c r="L68" s="1433"/>
      <c r="M68" s="1449"/>
      <c r="N68" s="1449"/>
      <c r="O68" s="1449"/>
      <c r="P68" s="1449"/>
      <c r="Q68" s="1420"/>
      <c r="R68" s="1445"/>
      <c r="S68" s="1446"/>
      <c r="T68" s="1446"/>
      <c r="U68" s="1394">
        <v>68</v>
      </c>
      <c r="V68" s="1421"/>
      <c r="AE68" s="1381"/>
      <c r="AF68" s="1381"/>
      <c r="AG68" s="1381"/>
      <c r="AH68" s="1381"/>
      <c r="AI68" s="1381"/>
      <c r="AJ68" s="1381"/>
    </row>
    <row r="69" spans="1:36" s="1422" customFormat="1" ht="15.75" hidden="1" customHeight="1">
      <c r="A69" s="1428" t="s">
        <v>177</v>
      </c>
      <c r="B69" s="1433"/>
      <c r="C69" s="1450" t="str">
        <f>IF(C68="","",C66*C67*C68)</f>
        <v/>
      </c>
      <c r="D69" s="1450" t="str">
        <f>IF(D68="","",D66*D67*D68)</f>
        <v/>
      </c>
      <c r="E69" s="1450" t="str">
        <f>IF(E68="","",E66*E67*E68)</f>
        <v/>
      </c>
      <c r="F69" s="1451" t="str">
        <f>IF(F68="","",F66*F67*F68)</f>
        <v/>
      </c>
      <c r="G69" s="1432"/>
      <c r="H69" s="1427"/>
      <c r="I69" s="1427"/>
      <c r="J69" s="1427"/>
      <c r="K69" s="1427"/>
      <c r="L69" s="1432"/>
      <c r="M69" s="1449"/>
      <c r="N69" s="1449"/>
      <c r="O69" s="1449"/>
      <c r="P69" s="1449"/>
      <c r="Q69" s="1420"/>
      <c r="R69" s="1402"/>
      <c r="S69" s="1403"/>
      <c r="T69" s="1403"/>
      <c r="U69" s="1394">
        <v>69</v>
      </c>
      <c r="V69" s="1421"/>
      <c r="AE69" s="1381"/>
      <c r="AF69" s="1381"/>
      <c r="AG69" s="1381"/>
      <c r="AH69" s="1381"/>
      <c r="AI69" s="1381"/>
      <c r="AJ69" s="1381"/>
    </row>
    <row r="70" spans="1:36" s="1422" customFormat="1" ht="15.75" hidden="1" customHeight="1">
      <c r="A70" s="1428" t="s">
        <v>179</v>
      </c>
      <c r="B70" s="1433"/>
      <c r="C70" s="1448" t="str">
        <f>IF(Data!BV70="","",Data!BV70)</f>
        <v/>
      </c>
      <c r="D70" s="1448" t="str">
        <f>IF(Data!BW70="","",Data!BW70)</f>
        <v/>
      </c>
      <c r="E70" s="1448" t="str">
        <f>IF(Data!BX70="","",Data!BX70)</f>
        <v/>
      </c>
      <c r="F70" s="1374" t="str">
        <f>IF(Data!BY70="","",Data!BY70)</f>
        <v/>
      </c>
      <c r="G70" s="1433"/>
      <c r="H70" s="1452" t="str">
        <f>IF(SUM(C70)&gt;0,MIN(C69-H74-SUM(C74)*(H74=""),C70*'Exp factors'!C$8),"")</f>
        <v/>
      </c>
      <c r="I70" s="1452" t="str">
        <f>IF(SUM(D70)&gt;0,MIN(D69-I74-SUM(D74)*(I74=""),D70*'Exp factors'!D$8),"")</f>
        <v/>
      </c>
      <c r="J70" s="1452" t="str">
        <f>IF(SUM(E70)&gt;0,MIN(E69-J74-SUM(E74)*(J74=""),E70*'Exp factors'!E$8),"")</f>
        <v/>
      </c>
      <c r="K70" s="1452" t="str">
        <f>IF(SUM(F70)&gt;0,MIN(F69-K74-SUM(F74)*(K74=""),F70*'Exp factors'!F$8),"")</f>
        <v/>
      </c>
      <c r="L70" s="1433"/>
      <c r="M70" s="1449"/>
      <c r="N70" s="1449"/>
      <c r="O70" s="1449"/>
      <c r="P70" s="1449"/>
      <c r="Q70" s="1420"/>
      <c r="R70" s="1402"/>
      <c r="S70" s="1403"/>
      <c r="T70" s="1403"/>
      <c r="U70" s="1394">
        <v>70</v>
      </c>
      <c r="V70" s="1421"/>
    </row>
    <row r="71" spans="1:36" s="1422" customFormat="1" ht="15.75" hidden="1" customHeight="1">
      <c r="A71" s="1428" t="s">
        <v>181</v>
      </c>
      <c r="B71" s="1433"/>
      <c r="C71" s="1448" t="str">
        <f>IF(Data!BV71="","",Data!BV71)</f>
        <v/>
      </c>
      <c r="D71" s="1448" t="str">
        <f>IF(Data!BW71="","",Data!BW71)</f>
        <v/>
      </c>
      <c r="E71" s="1448" t="str">
        <f>IF(Data!BX71="","",Data!BX71)</f>
        <v/>
      </c>
      <c r="F71" s="1374" t="str">
        <f>IF(Data!BY71="","",Data!BY71)</f>
        <v/>
      </c>
      <c r="G71" s="1433"/>
      <c r="H71" s="1427"/>
      <c r="I71" s="1427"/>
      <c r="J71" s="1427"/>
      <c r="K71" s="1427"/>
      <c r="L71" s="1433"/>
      <c r="M71" s="1449"/>
      <c r="N71" s="1449"/>
      <c r="O71" s="1449"/>
      <c r="P71" s="1449"/>
      <c r="Q71" s="1420"/>
      <c r="R71" s="1445"/>
      <c r="S71" s="1446"/>
      <c r="T71" s="1446"/>
      <c r="U71" s="1394">
        <v>71</v>
      </c>
      <c r="V71" s="1421"/>
    </row>
    <row r="72" spans="1:36" s="1422" customFormat="1" ht="15.75" hidden="1" customHeight="1">
      <c r="A72" s="1428" t="s">
        <v>183</v>
      </c>
      <c r="B72" s="1453"/>
      <c r="C72" s="1448" t="str">
        <f>IF(SUM(C70)=0,"",C70*C71)</f>
        <v/>
      </c>
      <c r="D72" s="1448" t="str">
        <f>IF(SUM(D70)=0,"",D70*D71)</f>
        <v/>
      </c>
      <c r="E72" s="1448" t="str">
        <f>IF(SUM(E70)=0,"",E70*E71)</f>
        <v/>
      </c>
      <c r="F72" s="1374" t="str">
        <f>IF(SUM(F70)=0,"",F70*F71)</f>
        <v/>
      </c>
      <c r="G72" s="1433"/>
      <c r="H72" s="1454" t="str">
        <f>IF(H70="","",H70*C71)</f>
        <v/>
      </c>
      <c r="I72" s="1454" t="str">
        <f>IF(I70="","",I70*D71)</f>
        <v/>
      </c>
      <c r="J72" s="1454" t="str">
        <f>IF(J70="","",J70*E71)</f>
        <v/>
      </c>
      <c r="K72" s="1454" t="str">
        <f>IF(K70="","",K70*F71)</f>
        <v/>
      </c>
      <c r="L72" s="1433"/>
      <c r="M72" s="1454" t="str">
        <f>IF(H72="","",SUM(H72)-SUM(C72))</f>
        <v/>
      </c>
      <c r="N72" s="1454" t="str">
        <f>IF(I72="","",SUM(I72)-SUM(D72))</f>
        <v/>
      </c>
      <c r="O72" s="1454" t="str">
        <f>IF(J72="","",SUM(J72)-SUM(E72))</f>
        <v/>
      </c>
      <c r="P72" s="1454" t="str">
        <f>IF(K72="","",SUM(K72)-SUM(F72))</f>
        <v/>
      </c>
      <c r="Q72" s="1420"/>
      <c r="R72" s="1402"/>
      <c r="S72" s="1403"/>
      <c r="T72" s="1403"/>
      <c r="U72" s="1394">
        <v>72</v>
      </c>
      <c r="V72" s="1421"/>
    </row>
    <row r="73" spans="1:36" s="1422" customFormat="1" ht="15.75" hidden="1" customHeight="1">
      <c r="A73" s="1429" t="s">
        <v>185</v>
      </c>
      <c r="B73" s="1455"/>
      <c r="C73" s="1456" t="str">
        <f>IF(Data!BV73="","",Data!BV73)</f>
        <v/>
      </c>
      <c r="D73" s="1456" t="str">
        <f>IF(Data!BW73="","",Data!BW73)</f>
        <v/>
      </c>
      <c r="E73" s="1456" t="str">
        <f>IF(Data!BX73="","",Data!BX73)</f>
        <v/>
      </c>
      <c r="F73" s="1451" t="str">
        <f>IF(Data!BY73="","",Data!BY73)</f>
        <v/>
      </c>
      <c r="G73" s="1443"/>
      <c r="H73" s="1427"/>
      <c r="I73" s="1427"/>
      <c r="J73" s="1427"/>
      <c r="K73" s="1427"/>
      <c r="L73" s="1443"/>
      <c r="M73" s="1427"/>
      <c r="N73" s="1427"/>
      <c r="O73" s="1427"/>
      <c r="P73" s="1427"/>
      <c r="Q73" s="1420"/>
      <c r="R73" s="1402"/>
      <c r="S73" s="1403"/>
      <c r="T73" s="1403"/>
      <c r="U73" s="1394">
        <v>73</v>
      </c>
      <c r="V73" s="1421"/>
    </row>
    <row r="74" spans="1:36" s="1422" customFormat="1" ht="15.75" hidden="1" customHeight="1">
      <c r="A74" s="1429" t="s">
        <v>187</v>
      </c>
      <c r="B74" s="1455"/>
      <c r="C74" s="1456" t="str">
        <f>IF(Data!BV74="","",Data!BV74)</f>
        <v/>
      </c>
      <c r="D74" s="1456" t="str">
        <f>IF(Data!BW74="","",Data!BW74)</f>
        <v/>
      </c>
      <c r="E74" s="1456" t="str">
        <f>IF(Data!BX74="","",Data!BX74)</f>
        <v/>
      </c>
      <c r="F74" s="1451" t="str">
        <f>IF(Data!BY74="","",Data!BY74)</f>
        <v/>
      </c>
      <c r="G74" s="1443"/>
      <c r="H74" s="1457"/>
      <c r="I74" s="1457"/>
      <c r="J74" s="1457"/>
      <c r="K74" s="1457"/>
      <c r="L74" s="1443"/>
      <c r="M74" s="1427"/>
      <c r="N74" s="1427"/>
      <c r="O74" s="1427"/>
      <c r="P74" s="1427"/>
      <c r="Q74" s="1420"/>
      <c r="R74" s="1402"/>
      <c r="S74" s="1403"/>
      <c r="T74" s="1403"/>
      <c r="U74" s="1394">
        <v>74</v>
      </c>
      <c r="V74" s="1421"/>
    </row>
    <row r="75" spans="1:36" s="1422" customFormat="1" ht="15.75" hidden="1" customHeight="1">
      <c r="A75" s="1447" t="s">
        <v>951</v>
      </c>
      <c r="B75" s="1458"/>
      <c r="C75" s="1444" t="str">
        <f>IF(Data!BV75="","",Data!BV75)</f>
        <v/>
      </c>
      <c r="D75" s="1444" t="str">
        <f>IF(Data!BW75="","",Data!BW75)</f>
        <v/>
      </c>
      <c r="E75" s="1444" t="str">
        <f>IF(Data!BX75="","",Data!BX75)</f>
        <v/>
      </c>
      <c r="F75" s="1374" t="str">
        <f>IF(Data!BY75="","",Data!BY75)</f>
        <v/>
      </c>
      <c r="G75" s="1431"/>
      <c r="H75" s="1427"/>
      <c r="I75" s="1427"/>
      <c r="J75" s="1427"/>
      <c r="K75" s="1427"/>
      <c r="L75" s="1431"/>
      <c r="M75" s="1427"/>
      <c r="N75" s="1427"/>
      <c r="O75" s="1427"/>
      <c r="P75" s="1427"/>
      <c r="Q75" s="1420"/>
      <c r="R75" s="1402"/>
      <c r="S75" s="1403"/>
      <c r="T75" s="1403"/>
      <c r="U75" s="1394">
        <v>75</v>
      </c>
      <c r="V75" s="1421"/>
    </row>
    <row r="76" spans="1:36" s="1422" customFormat="1" ht="15.75" hidden="1" customHeight="1">
      <c r="A76" s="1428" t="s">
        <v>173</v>
      </c>
      <c r="B76" s="1458"/>
      <c r="C76" s="1448" t="str">
        <f>IF(Data!BV76="","",Data!BV76)</f>
        <v/>
      </c>
      <c r="D76" s="1448" t="str">
        <f>IF(Data!BW76="","",Data!BW76)</f>
        <v/>
      </c>
      <c r="E76" s="1448" t="str">
        <f>IF(Data!BX76="","",Data!BX76)</f>
        <v/>
      </c>
      <c r="F76" s="1374" t="str">
        <f>IF(Data!BY76="","",Data!BY76)</f>
        <v/>
      </c>
      <c r="G76" s="1433"/>
      <c r="H76" s="1427"/>
      <c r="I76" s="1427"/>
      <c r="J76" s="1427"/>
      <c r="K76" s="1427"/>
      <c r="L76" s="1433"/>
      <c r="M76" s="1449"/>
      <c r="N76" s="1449"/>
      <c r="O76" s="1449"/>
      <c r="P76" s="1449"/>
      <c r="Q76" s="1420"/>
      <c r="R76" s="1445"/>
      <c r="S76" s="1446"/>
      <c r="T76" s="1446"/>
      <c r="U76" s="1394">
        <v>76</v>
      </c>
      <c r="V76" s="1421"/>
    </row>
    <row r="77" spans="1:36" s="1422" customFormat="1" ht="15.75" hidden="1" customHeight="1">
      <c r="A77" s="1428" t="s">
        <v>177</v>
      </c>
      <c r="B77" s="1459"/>
      <c r="C77" s="1450" t="str">
        <f>IF(C76="","",C66*C75*C76)</f>
        <v/>
      </c>
      <c r="D77" s="1450" t="str">
        <f>IF(D76="","",D66*D75*D76)</f>
        <v/>
      </c>
      <c r="E77" s="1450" t="str">
        <f>IF(E76="","",E66*E75*E76)</f>
        <v/>
      </c>
      <c r="F77" s="1451" t="str">
        <f>IF(F76="","",F66*F75*F76)</f>
        <v/>
      </c>
      <c r="G77" s="1433"/>
      <c r="H77" s="1427"/>
      <c r="I77" s="1427"/>
      <c r="J77" s="1427"/>
      <c r="K77" s="1427"/>
      <c r="L77" s="1433"/>
      <c r="M77" s="1449"/>
      <c r="N77" s="1449"/>
      <c r="O77" s="1449"/>
      <c r="P77" s="1449"/>
      <c r="Q77" s="1420"/>
      <c r="R77" s="1402"/>
      <c r="S77" s="1403"/>
      <c r="T77" s="1403"/>
      <c r="U77" s="1394">
        <v>77</v>
      </c>
      <c r="V77" s="1421"/>
    </row>
    <row r="78" spans="1:36" s="1422" customFormat="1" ht="15.75" hidden="1" customHeight="1">
      <c r="A78" s="1428" t="s">
        <v>179</v>
      </c>
      <c r="B78" s="1460"/>
      <c r="C78" s="1448" t="str">
        <f>IF(Data!BV78="","",Data!BV78)</f>
        <v/>
      </c>
      <c r="D78" s="1448" t="str">
        <f>IF(Data!BW78="","",Data!BW78)</f>
        <v/>
      </c>
      <c r="E78" s="1448" t="str">
        <f>IF(Data!BX78="","",Data!BX78)</f>
        <v/>
      </c>
      <c r="F78" s="1374" t="str">
        <f>IF(Data!BY78="","",Data!BY78)</f>
        <v/>
      </c>
      <c r="G78" s="1433"/>
      <c r="H78" s="1452" t="str">
        <f>IF(SUM(C78)&gt;0,MIN(C77-H82-SUM(C82)*(H82=""),C78*'Exp factors'!C$8),"")</f>
        <v/>
      </c>
      <c r="I78" s="1452" t="str">
        <f>IF(SUM(D78)&gt;0,MIN(D77-I82-SUM(D82)*(I82=""),D78*'Exp factors'!D$8),"")</f>
        <v/>
      </c>
      <c r="J78" s="1452" t="str">
        <f>IF(SUM(E78)&gt;0,MIN(E77-J82-SUM(E82)*(J82=""),E78*'Exp factors'!E$8),"")</f>
        <v/>
      </c>
      <c r="K78" s="1452" t="str">
        <f>IF(SUM(F78)&gt;0,MIN(F77-K82-SUM(F82)*(K82=""),F78*'Exp factors'!F$8),"")</f>
        <v/>
      </c>
      <c r="L78" s="1433"/>
      <c r="M78" s="1449"/>
      <c r="N78" s="1449"/>
      <c r="O78" s="1449"/>
      <c r="P78" s="1449"/>
      <c r="Q78" s="1420"/>
      <c r="R78" s="1402"/>
      <c r="S78" s="1403"/>
      <c r="T78" s="1403"/>
      <c r="U78" s="1394">
        <v>78</v>
      </c>
      <c r="V78" s="1421"/>
    </row>
    <row r="79" spans="1:36" s="1422" customFormat="1" ht="15.75" hidden="1" customHeight="1">
      <c r="A79" s="1428" t="s">
        <v>181</v>
      </c>
      <c r="B79" s="1461"/>
      <c r="C79" s="1448" t="str">
        <f>IF(Data!BV79="","",Data!BV79)</f>
        <v/>
      </c>
      <c r="D79" s="1448" t="str">
        <f>IF(Data!BW79="","",Data!BW79)</f>
        <v/>
      </c>
      <c r="E79" s="1448" t="str">
        <f>IF(Data!BX79="","",Data!BX79)</f>
        <v/>
      </c>
      <c r="F79" s="1374" t="str">
        <f>IF(Data!BY79="","",Data!BY79)</f>
        <v/>
      </c>
      <c r="G79" s="1433"/>
      <c r="H79" s="1427"/>
      <c r="I79" s="1427"/>
      <c r="J79" s="1427"/>
      <c r="K79" s="1427"/>
      <c r="L79" s="1433"/>
      <c r="M79" s="1449"/>
      <c r="N79" s="1449"/>
      <c r="O79" s="1449"/>
      <c r="P79" s="1449"/>
      <c r="Q79" s="1420"/>
      <c r="R79" s="1445"/>
      <c r="S79" s="1446"/>
      <c r="T79" s="1446"/>
      <c r="U79" s="1394">
        <v>79</v>
      </c>
      <c r="V79" s="1421"/>
    </row>
    <row r="80" spans="1:36" s="1422" customFormat="1" ht="15.75" hidden="1" customHeight="1">
      <c r="A80" s="1462" t="s">
        <v>183</v>
      </c>
      <c r="B80" s="1443"/>
      <c r="C80" s="1448" t="str">
        <f>IF(SUM(C78)=0,"",C78*C79)</f>
        <v/>
      </c>
      <c r="D80" s="1448" t="str">
        <f>IF(SUM(D78)=0,"",D78*D79)</f>
        <v/>
      </c>
      <c r="E80" s="1448" t="str">
        <f>IF(SUM(E78)=0,"",E78*E79)</f>
        <v/>
      </c>
      <c r="F80" s="1374" t="str">
        <f>IF(SUM(F78)=0,"",F78*F79)</f>
        <v/>
      </c>
      <c r="G80" s="1453"/>
      <c r="H80" s="1463" t="str">
        <f>IF(H78="","",H78*C79)</f>
        <v/>
      </c>
      <c r="I80" s="1463" t="str">
        <f>IF(I78="","",I78*D79)</f>
        <v/>
      </c>
      <c r="J80" s="1463" t="str">
        <f>IF(J78="","",J78*E79)</f>
        <v/>
      </c>
      <c r="K80" s="1463" t="str">
        <f>IF(K78="","",K78*F79)</f>
        <v/>
      </c>
      <c r="L80" s="1453"/>
      <c r="M80" s="1454" t="str">
        <f>IF(H80="","",SUM(H80)-SUM(C80))</f>
        <v/>
      </c>
      <c r="N80" s="1454" t="str">
        <f>IF(I80="","",SUM(I80)-SUM(D80))</f>
        <v/>
      </c>
      <c r="O80" s="1454" t="str">
        <f>IF(J80="","",SUM(J80)-SUM(E80))</f>
        <v/>
      </c>
      <c r="P80" s="1454" t="str">
        <f>IF(K80="","",SUM(K80)-SUM(F80))</f>
        <v/>
      </c>
      <c r="Q80" s="1420"/>
      <c r="R80" s="1402"/>
      <c r="S80" s="1403"/>
      <c r="T80" s="1403"/>
      <c r="U80" s="1394">
        <v>80</v>
      </c>
      <c r="V80" s="1421"/>
    </row>
    <row r="81" spans="1:22" ht="15.75" hidden="1" customHeight="1">
      <c r="A81" s="1429" t="s">
        <v>185</v>
      </c>
      <c r="B81" s="1443"/>
      <c r="C81" s="1456">
        <f>IF(Data!BV81="","",Data!BV81)</f>
        <v>1</v>
      </c>
      <c r="D81" s="1456">
        <f>IF(Data!BW81="","",Data!BW81)</f>
        <v>1</v>
      </c>
      <c r="E81" s="1456">
        <f>IF(Data!BX81="","",Data!BX81)</f>
        <v>1</v>
      </c>
      <c r="F81" s="1451">
        <f>IF(Data!BY81="","",Data!BY81)</f>
        <v>1</v>
      </c>
      <c r="G81" s="1455"/>
      <c r="H81" s="1427"/>
      <c r="I81" s="1427"/>
      <c r="J81" s="1427"/>
      <c r="K81" s="1427"/>
      <c r="L81" s="1455"/>
      <c r="M81" s="1427"/>
      <c r="N81" s="1427"/>
      <c r="O81" s="1427"/>
      <c r="P81" s="1427"/>
      <c r="Q81" s="1464"/>
      <c r="R81" s="1402"/>
      <c r="S81" s="1403"/>
      <c r="T81" s="1403"/>
      <c r="U81" s="1394">
        <v>81</v>
      </c>
      <c r="V81" s="1421"/>
    </row>
    <row r="82" spans="1:22" ht="15.75" hidden="1" customHeight="1">
      <c r="A82" s="1429" t="s">
        <v>187</v>
      </c>
      <c r="B82" s="1465"/>
      <c r="C82" s="1456" t="str">
        <f>IF(Data!BV82="","",Data!BV82)</f>
        <v/>
      </c>
      <c r="D82" s="1456" t="str">
        <f>IF(Data!BW82="","",Data!BW82)</f>
        <v/>
      </c>
      <c r="E82" s="1456" t="str">
        <f>IF(Data!BX82="","",Data!BX82)</f>
        <v/>
      </c>
      <c r="F82" s="1451" t="str">
        <f>IF(Data!BY82="","",Data!BY82)</f>
        <v/>
      </c>
      <c r="G82" s="1455"/>
      <c r="H82" s="1457"/>
      <c r="I82" s="1457"/>
      <c r="J82" s="1457"/>
      <c r="K82" s="1457"/>
      <c r="L82" s="1455"/>
      <c r="M82" s="1449"/>
      <c r="N82" s="1449"/>
      <c r="O82" s="1449"/>
      <c r="P82" s="1449"/>
      <c r="Q82" s="1464"/>
      <c r="R82" s="1402"/>
      <c r="S82" s="1403"/>
      <c r="T82" s="1403"/>
      <c r="U82" s="1394">
        <v>82</v>
      </c>
      <c r="V82" s="1421"/>
    </row>
    <row r="83" spans="1:22" ht="15.75" hidden="1" customHeight="1">
      <c r="A83" s="1429" t="s">
        <v>194</v>
      </c>
      <c r="B83" s="1412"/>
      <c r="C83" s="1466" t="str">
        <f>IF(SUM(C69,C77)&gt;0,SUM(C70,C78)/SUM(C69,C77),"")</f>
        <v/>
      </c>
      <c r="D83" s="1466" t="str">
        <f>IF(SUM(D69,D77)&gt;0,SUM(D70,D78)/SUM(D69,D77),"")</f>
        <v/>
      </c>
      <c r="E83" s="1466" t="str">
        <f>IF(SUM(E69,E77)&gt;0,SUM(E70,E78)/SUM(E69,E77),"")</f>
        <v/>
      </c>
      <c r="F83" s="1467" t="str">
        <f>IF(SUM(F69,F77)&gt;0,SUM(F70,F78)/SUM(F69,F77),"")</f>
        <v/>
      </c>
      <c r="G83" s="1455"/>
      <c r="H83" s="1468" t="str">
        <f>IF(SUM(C69,C77)&gt;0,SUM(H70,SUM(C70)*(SUM(H70)=0),H78,SUM(C78)*(SUM(H78)=0))/SUM(C69,C77),"")</f>
        <v/>
      </c>
      <c r="I83" s="1468" t="str">
        <f>IF(SUM(D69,D77)&gt;0,SUM(I70,SUM(D70)*(SUM(I70)=0),I78,SUM(D78)*(SUM(I78)=0))/SUM(D69,D77),"")</f>
        <v/>
      </c>
      <c r="J83" s="1468" t="str">
        <f>IF(SUM(E69,E77)&gt;0,SUM(J70,SUM(E70)*(SUM(J70)=0),J78,SUM(E78)*(SUM(J78)=0))/SUM(E69,E77),"")</f>
        <v/>
      </c>
      <c r="K83" s="1468" t="str">
        <f>IF(SUM(F69,F77)&gt;0,SUM(K70,SUM(F70)*(SUM(K70)=0),K78,SUM(F78)*(SUM(K78)=0))/SUM(F69,F77),"")</f>
        <v/>
      </c>
      <c r="L83" s="1455"/>
      <c r="M83" s="1449"/>
      <c r="N83" s="1449"/>
      <c r="O83" s="1449"/>
      <c r="P83" s="1449"/>
      <c r="Q83" s="1464"/>
      <c r="R83" s="1392"/>
      <c r="S83" s="1393"/>
      <c r="T83" s="1393"/>
      <c r="U83" s="1394">
        <v>83</v>
      </c>
      <c r="V83" s="1421"/>
    </row>
    <row r="84" spans="1:22" ht="15.75" hidden="1" customHeight="1">
      <c r="A84" s="1429" t="s">
        <v>196</v>
      </c>
      <c r="B84" s="1431"/>
      <c r="C84" s="1469" t="str">
        <f>IF(SUM(C69,C77)=0,"",SUM(C69,-SUM(C70)*C73,-SUM(C74)*C73,C77,-SUM(C78)*C81,-SUM(C82)*C81)*0.049)</f>
        <v/>
      </c>
      <c r="D84" s="1469" t="str">
        <f>IF(SUM(D69,D77)=0,"",SUM(D69,-SUM(D70)*D73,-SUM(D74)*D73,D77,-SUM(D78)*D81,-SUM(D82)*D81)*0.049)</f>
        <v/>
      </c>
      <c r="E84" s="1469" t="str">
        <f>IF(SUM(E69,E77)=0,"",SUM(E69,-SUM(E70)*E73,-SUM(E74)*E73,E77,-SUM(E78)*E81,-SUM(E82)*E81)*0.049)</f>
        <v/>
      </c>
      <c r="F84" s="1470" t="str">
        <f>IF(SUM(F69,F77)=0,"",SUM(F69,-SUM(F70)*F73,-SUM(F74)*F73,F77,-SUM(F78)*F81,-SUM(F82)*F81)*0.049)</f>
        <v/>
      </c>
      <c r="G84" s="1458"/>
      <c r="H84" s="1471" t="str">
        <f>IF(SUM(C69,C77)=0,"",(SUM(C69)-(SUM(C70)*(H70="")+SUM(C74)*(H74="")+SUM(H70,H74))*C73+SUM(C77)-(SUM(C78)*(H78="")+SUM(C82)*(H82="")+SUM(H78,H82))*C81)*0.049)</f>
        <v/>
      </c>
      <c r="I84" s="1471" t="str">
        <f>IF(SUM(D69,D77)=0,"",(SUM(D69)-(SUM(D70)*(I70="")+SUM(D74)*(I74="")+SUM(I70,I74))*D73+SUM(D77)-(SUM(D78)*(I78="")+SUM(D82)*(I82="")+SUM(I78,I82))*D81)*0.049)</f>
        <v/>
      </c>
      <c r="J84" s="1471" t="str">
        <f>IF(SUM(E69,E77)=0,"",(SUM(E69)-(SUM(E70)*(J70="")+SUM(E74)*(J74="")+SUM(J70,J74))*E73+SUM(E77)-(SUM(E78)*(J78="")+SUM(E82)*(J82="")+SUM(J78,J82))*E81)*0.049)</f>
        <v/>
      </c>
      <c r="K84" s="1471" t="str">
        <f>IF(SUM(F69,F77)=0,"",(SUM(F69)-(SUM(F70)*(K70="")+SUM(F74)*(K74="")+SUM(K70,K74))*F73+SUM(F77)-(SUM(F78)*(K78="")+SUM(F82)*(K82="")+SUM(K78,K82))*F81)*0.049)</f>
        <v/>
      </c>
      <c r="L84" s="1458"/>
      <c r="M84" s="1449"/>
      <c r="N84" s="1449"/>
      <c r="O84" s="1449"/>
      <c r="P84" s="1449"/>
      <c r="Q84" s="1464"/>
      <c r="R84" s="1402"/>
      <c r="S84" s="1403"/>
      <c r="T84" s="1403"/>
      <c r="U84" s="1394">
        <v>84</v>
      </c>
      <c r="V84" s="1421"/>
    </row>
    <row r="85" spans="1:22" ht="15.75" hidden="1" customHeight="1">
      <c r="A85" s="1382" t="s">
        <v>197</v>
      </c>
      <c r="B85" s="1431"/>
      <c r="C85" s="1469" t="str">
        <f>IF(Data!BV85="","",Data!BV85)</f>
        <v/>
      </c>
      <c r="D85" s="1469" t="str">
        <f>IF(Data!BW85="","",Data!BW85)</f>
        <v/>
      </c>
      <c r="E85" s="1469" t="str">
        <f>IF(Data!BX85="","",Data!BX85)</f>
        <v/>
      </c>
      <c r="F85" s="1470" t="str">
        <f>IF(Data!BY85="","",Data!BY85)</f>
        <v/>
      </c>
      <c r="G85" s="1458"/>
      <c r="H85" s="1472"/>
      <c r="I85" s="1472"/>
      <c r="J85" s="1472"/>
      <c r="K85" s="1472"/>
      <c r="L85" s="1458"/>
      <c r="M85" s="1473"/>
      <c r="N85" s="1473"/>
      <c r="O85" s="1473"/>
      <c r="P85" s="1473"/>
      <c r="Q85" s="1464"/>
      <c r="R85" s="1445"/>
      <c r="S85" s="1446"/>
      <c r="T85" s="1446"/>
      <c r="U85" s="1394">
        <v>85</v>
      </c>
      <c r="V85" s="1421"/>
    </row>
    <row r="86" spans="1:22" ht="15.75" hidden="1" customHeight="1">
      <c r="A86" s="1429" t="s">
        <v>198</v>
      </c>
      <c r="B86" s="1433"/>
      <c r="C86" s="1469" t="str">
        <f>IF(Data!BV86="","",Data!BV86)</f>
        <v/>
      </c>
      <c r="D86" s="1469" t="str">
        <f>IF(Data!BW86="","",Data!BW86)</f>
        <v/>
      </c>
      <c r="E86" s="1469" t="str">
        <f>IF(Data!BX86="","",Data!BX86)</f>
        <v/>
      </c>
      <c r="F86" s="1470" t="str">
        <f>IF(Data!BY86="","",Data!BY86)</f>
        <v/>
      </c>
      <c r="G86" s="1459"/>
      <c r="H86" s="1474" t="str">
        <f>IF(SUM(C86)&gt;0,MIN(H84-H85-SUM(C85)*(H85=""),C86*'Exp factors'!C$8),"")</f>
        <v/>
      </c>
      <c r="I86" s="1474" t="str">
        <f>IF(SUM(D86)&gt;0,MIN(I84-I85-SUM(D85)*(I85=""),D86*'Exp factors'!D$8),"")</f>
        <v/>
      </c>
      <c r="J86" s="1474" t="str">
        <f>IF(SUM(E86)&gt;0,MIN(J84-J85-SUM(E85)*(J85=""),E86*'Exp factors'!E$8),"")</f>
        <v/>
      </c>
      <c r="K86" s="1474" t="str">
        <f>IF(SUM(F86)&gt;0,MIN(K84-K85-SUM(F85)*(K85=""),F86*'Exp factors'!F$8),"")</f>
        <v/>
      </c>
      <c r="L86" s="1459"/>
      <c r="M86" s="1473"/>
      <c r="N86" s="1473"/>
      <c r="O86" s="1473"/>
      <c r="P86" s="1473"/>
      <c r="Q86" s="1464"/>
      <c r="R86" s="1445"/>
      <c r="S86" s="1446"/>
      <c r="T86" s="1446"/>
      <c r="U86" s="1394">
        <v>86</v>
      </c>
      <c r="V86" s="1421"/>
    </row>
    <row r="87" spans="1:22" ht="15.75" hidden="1" customHeight="1">
      <c r="A87" s="1428" t="s">
        <v>200</v>
      </c>
      <c r="B87" s="1432"/>
      <c r="C87" s="1475" t="str">
        <f>IF(Data!BV87="","",Data!BV87)</f>
        <v/>
      </c>
      <c r="D87" s="1475" t="str">
        <f>IF(Data!BW87="","",Data!BW87)</f>
        <v/>
      </c>
      <c r="E87" s="1475" t="str">
        <f>IF(Data!BX87="","",Data!BX87)</f>
        <v/>
      </c>
      <c r="F87" s="1476" t="str">
        <f>IF(Data!BY87="","",Data!BY87)</f>
        <v/>
      </c>
      <c r="G87" s="1460"/>
      <c r="H87" s="1427"/>
      <c r="I87" s="1427"/>
      <c r="J87" s="1427"/>
      <c r="K87" s="1427"/>
      <c r="L87" s="1460"/>
      <c r="M87" s="1477"/>
      <c r="N87" s="1477"/>
      <c r="O87" s="1477"/>
      <c r="P87" s="1477"/>
      <c r="Q87" s="1478"/>
      <c r="R87" s="1445"/>
      <c r="S87" s="1446"/>
      <c r="T87" s="1446"/>
      <c r="U87" s="1394">
        <v>87</v>
      </c>
      <c r="V87" s="1421"/>
    </row>
    <row r="88" spans="1:22" s="1482" customFormat="1" ht="15.75" hidden="1" customHeight="1">
      <c r="A88" s="1382" t="s">
        <v>202</v>
      </c>
      <c r="B88" s="1443"/>
      <c r="C88" s="1448" t="str">
        <f>IF(SUM(C86)=0,"",C86*C87)</f>
        <v/>
      </c>
      <c r="D88" s="1448" t="str">
        <f>IF(SUM(D86)=0,"",D86*D87)</f>
        <v/>
      </c>
      <c r="E88" s="1448" t="str">
        <f>IF(SUM(E86)=0,"",E86*E87)</f>
        <v/>
      </c>
      <c r="F88" s="1374" t="str">
        <f>IF(SUM(F86)=0,"",F86*F87)</f>
        <v/>
      </c>
      <c r="G88" s="1461"/>
      <c r="H88" s="1479" t="str">
        <f>IF(H86="","",H86*C87)</f>
        <v/>
      </c>
      <c r="I88" s="1479" t="str">
        <f>IF(I86="","",I86*D87)</f>
        <v/>
      </c>
      <c r="J88" s="1479" t="str">
        <f>IF(J86="","",J86*E87)</f>
        <v/>
      </c>
      <c r="K88" s="1479" t="str">
        <f>IF(K86="","",K86*F87)</f>
        <v/>
      </c>
      <c r="L88" s="1461"/>
      <c r="M88" s="1454" t="str">
        <f t="shared" ref="M88:P90" si="34">IF(H88="","",SUM(H88)-SUM(C88))</f>
        <v/>
      </c>
      <c r="N88" s="1454" t="str">
        <f t="shared" si="34"/>
        <v/>
      </c>
      <c r="O88" s="1454" t="str">
        <f t="shared" si="34"/>
        <v/>
      </c>
      <c r="P88" s="1454" t="str">
        <f t="shared" si="34"/>
        <v/>
      </c>
      <c r="Q88" s="1480"/>
      <c r="R88" s="1402"/>
      <c r="S88" s="1403"/>
      <c r="T88" s="1403"/>
      <c r="U88" s="1394">
        <v>88</v>
      </c>
      <c r="V88" s="1481"/>
    </row>
    <row r="89" spans="1:22" ht="15.75" hidden="1" customHeight="1">
      <c r="A89" s="1382" t="s">
        <v>213</v>
      </c>
      <c r="B89" s="1431"/>
      <c r="C89" s="1466" t="str">
        <f>IF(C84="","",(SUM(C69)*2973-SUM(C70,C74)*(2973-1549*(C73=0))-SUM(C85,C86)*32930)/$P$1/365/C$46)</f>
        <v/>
      </c>
      <c r="D89" s="1466" t="str">
        <f>IF(D84="","",(SUM(D69)*2973-SUM(D70,D74)*(2973-1549*(D73=0))-SUM(D85,D86)*32930)/$P$1/365/D$46)</f>
        <v/>
      </c>
      <c r="E89" s="1466" t="str">
        <f>IF(E84="","",(SUM(E69)*2973-SUM(E70,E74)*(2973-1549*(E73=0))-SUM(E85,E86)*32930)/$P$1/365/E$46)</f>
        <v/>
      </c>
      <c r="F89" s="1467" t="str">
        <f>IF(F84="","",(SUM(F69)*2973-SUM(F70,F74)*(2973-1549*(F73=0))-SUM(F85,F86)*32930)/$P$1/365/F$46)</f>
        <v/>
      </c>
      <c r="G89" s="1443"/>
      <c r="H89" s="148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8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8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8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43"/>
      <c r="M89" s="1484" t="str">
        <f t="shared" si="34"/>
        <v/>
      </c>
      <c r="N89" s="1484" t="str">
        <f t="shared" si="34"/>
        <v/>
      </c>
      <c r="O89" s="1484" t="str">
        <f t="shared" si="34"/>
        <v/>
      </c>
      <c r="P89" s="1484" t="str">
        <f t="shared" si="34"/>
        <v/>
      </c>
      <c r="Q89" s="1464"/>
      <c r="R89" s="1392"/>
      <c r="S89" s="1393"/>
      <c r="T89" s="1393"/>
      <c r="U89" s="1394">
        <v>89</v>
      </c>
      <c r="V89" s="1421"/>
    </row>
    <row r="90" spans="1:22" ht="15.75" hidden="1" customHeight="1">
      <c r="A90" s="1382" t="s">
        <v>214</v>
      </c>
      <c r="B90" s="1431"/>
      <c r="C90" s="1466" t="str">
        <f>IF(C84="","",(SUM(C77)*2973-SUM(C78,C82)*(2973-1549*(C81=0)))/$P$1/365/C$46)</f>
        <v/>
      </c>
      <c r="D90" s="1466" t="str">
        <f>IF(D84="","",(SUM(D77)*2973-SUM(D78,D82)*(2973-1549*(D81=0)))/$P$1/365/D$46)</f>
        <v/>
      </c>
      <c r="E90" s="1466" t="str">
        <f>IF(E84="","",(SUM(E77)*2973-SUM(E78,E82)*(2973-1549*(E81=0)))/$P$1/365/E$46)</f>
        <v/>
      </c>
      <c r="F90" s="1467" t="str">
        <f>IF(F84="","",(SUM(F77)*2973-SUM(F78,F82)*(2973-1549*(F81=0)))/$P$1/365/F$46)</f>
        <v/>
      </c>
      <c r="G90" s="1443"/>
      <c r="H90" s="1483" t="str">
        <f>IF(AND(H70="",H74="",H78="",H82="",H86=""),"",(SUM(C77)*2973-(SUM(H78,H82)+SUM(C78)*(H78="")+SUM(C82)*(H82=""))*(2973-1549*(C81=0)))/$P$1/365/C$46)</f>
        <v/>
      </c>
      <c r="I90" s="1483" t="str">
        <f>IF(AND(I70="",I74="",I78="",I82="",I86=""),"",(SUM(D77)*2973-(SUM(I78,I82)+SUM(D78)*(I78="")+SUM(D82)*(I82=""))*(2973-1549*(D81=0)))/$P$1/365/D$46)</f>
        <v/>
      </c>
      <c r="J90" s="1483" t="str">
        <f>IF(AND(J70="",J74="",J78="",J82="",J86=""),"",(SUM(E77)*2973-(SUM(J78,J82)+SUM(E78)*(J78="")+SUM(E82)*(J82=""))*(2973-1549*(E81=0)))/$P$1/365/E$46)</f>
        <v/>
      </c>
      <c r="K90" s="1483" t="str">
        <f>IF(AND(K70="",K74="",K78="",K82="",K86=""),"",(SUM(F77)*2973-(SUM(K78,K82)+SUM(F78)*(K78="")+SUM(F82)*(K82=""))*(2973-1549*(F81=0)))/$P$1/365/F$46)</f>
        <v/>
      </c>
      <c r="L90" s="1443"/>
      <c r="M90" s="1484" t="str">
        <f t="shared" si="34"/>
        <v/>
      </c>
      <c r="N90" s="1484" t="str">
        <f t="shared" si="34"/>
        <v/>
      </c>
      <c r="O90" s="1484" t="str">
        <f t="shared" si="34"/>
        <v/>
      </c>
      <c r="P90" s="1484" t="str">
        <f t="shared" si="34"/>
        <v/>
      </c>
      <c r="Q90" s="1464"/>
      <c r="R90" s="1392"/>
      <c r="S90" s="1393"/>
      <c r="T90" s="1393"/>
      <c r="U90" s="1394">
        <v>90</v>
      </c>
      <c r="V90" s="1421"/>
    </row>
    <row r="91" spans="1:22" ht="15.75" hidden="1" customHeight="1">
      <c r="A91" s="1485" t="s">
        <v>206</v>
      </c>
      <c r="B91" s="1431"/>
      <c r="C91" s="1466" t="str">
        <f>IF(SUM(C84)&gt;0,SUM(C86)/C84,"")</f>
        <v/>
      </c>
      <c r="D91" s="1466" t="str">
        <f>IF(SUM(D84)&gt;0,SUM(D86)/D84,"")</f>
        <v/>
      </c>
      <c r="E91" s="1466" t="str">
        <f>IF(SUM(E84)&gt;0,SUM(E86)/E84,"")</f>
        <v/>
      </c>
      <c r="F91" s="1467" t="str">
        <f>IF(SUM(F84)&gt;0,SUM(F86)/F84,"")</f>
        <v/>
      </c>
      <c r="G91" s="1443"/>
      <c r="H91" s="1468" t="str">
        <f>IF(H84="","",SUM(H86)/H84)</f>
        <v/>
      </c>
      <c r="I91" s="1468" t="str">
        <f>IF(I84="","",SUM(I86)/I84)</f>
        <v/>
      </c>
      <c r="J91" s="1468" t="str">
        <f>IF(J84="","",SUM(J86)/J84)</f>
        <v/>
      </c>
      <c r="K91" s="1468" t="str">
        <f>IF(K84="","",SUM(K86)/K84)</f>
        <v/>
      </c>
      <c r="L91" s="1443"/>
      <c r="M91" s="1427"/>
      <c r="N91" s="1427"/>
      <c r="O91" s="1427"/>
      <c r="P91" s="1427"/>
      <c r="Q91" s="1464"/>
      <c r="R91" s="1392"/>
      <c r="S91" s="1393"/>
      <c r="T91" s="1393"/>
      <c r="U91" s="1394">
        <v>91</v>
      </c>
      <c r="V91" s="1421"/>
    </row>
    <row r="92" spans="1:22" s="1422" customFormat="1" ht="15.75" customHeight="1">
      <c r="A92" s="1486" t="s">
        <v>207</v>
      </c>
      <c r="B92" s="1432"/>
      <c r="C92" s="1441"/>
      <c r="D92" s="1441"/>
      <c r="E92" s="1441"/>
      <c r="F92" s="1441"/>
      <c r="G92" s="1412"/>
      <c r="H92" s="1427"/>
      <c r="I92" s="1427"/>
      <c r="J92" s="1427"/>
      <c r="K92" s="1427"/>
      <c r="L92" s="1412"/>
      <c r="M92" s="1425"/>
      <c r="N92" s="1425"/>
      <c r="O92" s="1425"/>
      <c r="P92" s="1425"/>
      <c r="Q92" s="1420"/>
      <c r="R92" s="1378"/>
      <c r="S92" s="1378"/>
      <c r="T92" s="1378"/>
      <c r="U92" s="1394">
        <v>92</v>
      </c>
      <c r="V92" s="1421"/>
    </row>
    <row r="93" spans="1:22" s="1422" customFormat="1" ht="15.75" customHeight="1">
      <c r="A93" s="1382" t="s">
        <v>169</v>
      </c>
      <c r="B93" s="1431"/>
      <c r="C93" s="1444">
        <f>IF(Data!BV93="","",Data!BV93)</f>
        <v>0.5</v>
      </c>
      <c r="D93" s="1444">
        <f>IF(Data!BW93="","",Data!BW93)</f>
        <v>1</v>
      </c>
      <c r="E93" s="1444">
        <f>IF(Data!BX93="","",Data!BX93)</f>
        <v>3</v>
      </c>
      <c r="F93" s="1444">
        <f>IF(Data!BY93="","",Data!BY93)</f>
        <v>9</v>
      </c>
      <c r="G93" s="1431"/>
      <c r="H93" s="1427"/>
      <c r="I93" s="1427"/>
      <c r="J93" s="1427"/>
      <c r="K93" s="1427"/>
      <c r="L93" s="1431"/>
      <c r="M93" s="1427"/>
      <c r="N93" s="1427"/>
      <c r="O93" s="1427"/>
      <c r="P93" s="1427"/>
      <c r="Q93" s="1420"/>
      <c r="R93" s="1445"/>
      <c r="S93" s="1446"/>
      <c r="T93" s="1446"/>
      <c r="U93" s="1394">
        <v>93</v>
      </c>
      <c r="V93" s="1421"/>
    </row>
    <row r="94" spans="1:22" s="1422" customFormat="1" ht="15.75" customHeight="1">
      <c r="A94" s="1447" t="s">
        <v>950</v>
      </c>
      <c r="B94" s="1443"/>
      <c r="C94" s="1444">
        <f>IF(Data!BV94="","",Data!BV94)</f>
        <v>90</v>
      </c>
      <c r="D94" s="1444">
        <f>IF(Data!BW94="","",Data!BW94)</f>
        <v>90</v>
      </c>
      <c r="E94" s="1444">
        <f>IF(Data!BX94="","",Data!BX94)</f>
        <v>90</v>
      </c>
      <c r="F94" s="1444">
        <f>IF(Data!BY94="","",Data!BY94)</f>
        <v>90</v>
      </c>
      <c r="G94" s="1431"/>
      <c r="H94" s="1427"/>
      <c r="I94" s="1427"/>
      <c r="J94" s="1427"/>
      <c r="K94" s="1427"/>
      <c r="L94" s="1431"/>
      <c r="M94" s="1427"/>
      <c r="N94" s="1427"/>
      <c r="O94" s="1427"/>
      <c r="P94" s="1427"/>
      <c r="Q94" s="1420"/>
      <c r="R94" s="1402"/>
      <c r="S94" s="1403"/>
      <c r="T94" s="1403"/>
      <c r="U94" s="1394">
        <v>94</v>
      </c>
      <c r="V94" s="1421"/>
    </row>
    <row r="95" spans="1:22" s="1422" customFormat="1" ht="15.75" customHeight="1">
      <c r="A95" s="1428" t="s">
        <v>173</v>
      </c>
      <c r="B95" s="1431"/>
      <c r="C95" s="1448">
        <f>IF(Data!BV95="","",Data!BV95)</f>
        <v>3</v>
      </c>
      <c r="D95" s="1448">
        <f>IF(Data!BW95="","",Data!BW95)</f>
        <v>1</v>
      </c>
      <c r="E95" s="1448">
        <f>IF(Data!BX95="","",Data!BX95)</f>
        <v>1</v>
      </c>
      <c r="F95" s="1448">
        <f>IF(Data!BY95="","",Data!BY95)</f>
        <v>2</v>
      </c>
      <c r="G95" s="1433"/>
      <c r="H95" s="1427"/>
      <c r="I95" s="1427"/>
      <c r="J95" s="1427"/>
      <c r="K95" s="1427"/>
      <c r="L95" s="1433"/>
      <c r="M95" s="1449"/>
      <c r="N95" s="1449"/>
      <c r="O95" s="1449"/>
      <c r="P95" s="1449"/>
      <c r="Q95" s="1420"/>
      <c r="R95" s="1445"/>
      <c r="S95" s="1446"/>
      <c r="T95" s="1446"/>
      <c r="U95" s="1394">
        <v>95</v>
      </c>
      <c r="V95" s="1421"/>
    </row>
    <row r="96" spans="1:22" s="1422" customFormat="1" ht="15.75" customHeight="1">
      <c r="A96" s="1428" t="s">
        <v>177</v>
      </c>
      <c r="B96" s="1431"/>
      <c r="C96" s="1463">
        <f>IF(C95="","",C93*C94*C95)</f>
        <v>135</v>
      </c>
      <c r="D96" s="1463">
        <f>IF(D95="","",D93*D94*D95)</f>
        <v>90</v>
      </c>
      <c r="E96" s="1463">
        <f>IF(E95="","",E93*E94*E95)</f>
        <v>270</v>
      </c>
      <c r="F96" s="1479">
        <f>IF(F95="","",F93*F94*F95)</f>
        <v>1620</v>
      </c>
      <c r="G96" s="1432"/>
      <c r="H96" s="1427"/>
      <c r="I96" s="1427"/>
      <c r="J96" s="1427"/>
      <c r="K96" s="1427"/>
      <c r="L96" s="1432"/>
      <c r="M96" s="1449"/>
      <c r="N96" s="1449"/>
      <c r="O96" s="1449"/>
      <c r="P96" s="1449"/>
      <c r="Q96" s="1420"/>
      <c r="R96" s="1402"/>
      <c r="S96" s="1403"/>
      <c r="T96" s="1403"/>
      <c r="U96" s="1394">
        <v>96</v>
      </c>
      <c r="V96" s="1421"/>
    </row>
    <row r="97" spans="1:22" s="1422" customFormat="1" ht="15.75" customHeight="1">
      <c r="A97" s="1428" t="s">
        <v>179</v>
      </c>
      <c r="B97" s="1443"/>
      <c r="C97" s="1444" t="str">
        <f>IF(Data!BV97="","",Data!BV97)</f>
        <v/>
      </c>
      <c r="D97" s="1444" t="str">
        <f>IF(Data!BW97="","",Data!BW97)</f>
        <v/>
      </c>
      <c r="E97" s="1444" t="str">
        <f>IF(Data!BX97="","",Data!BX97)</f>
        <v/>
      </c>
      <c r="F97" s="1444" t="str">
        <f>IF(Data!BY97="","",Data!BY97)</f>
        <v/>
      </c>
      <c r="G97" s="1433"/>
      <c r="H97" s="1452" t="str">
        <f>IF(SUM(C97)&gt;0,MIN(C96-H101-SUM(C101)*(H101=""),C97*'Exp factors'!C$8),"")</f>
        <v/>
      </c>
      <c r="I97" s="1452" t="str">
        <f>IF(SUM(D97)&gt;0,MIN(D96-I101-SUM(D101)*(I101=""),D97*'Exp factors'!D$8),"")</f>
        <v/>
      </c>
      <c r="J97" s="1452" t="str">
        <f>IF(SUM(E97)&gt;0,MIN(E96-J101-SUM(E101)*(J101=""),E97*'Exp factors'!E$8),"")</f>
        <v/>
      </c>
      <c r="K97" s="1452" t="str">
        <f>IF(SUM(F97)&gt;0,MIN(F96-K101-SUM(F101)*(K101=""),F97*'Exp factors'!F$8),"")</f>
        <v/>
      </c>
      <c r="L97" s="1433"/>
      <c r="M97" s="1449"/>
      <c r="N97" s="1449"/>
      <c r="O97" s="1449"/>
      <c r="P97" s="1449"/>
      <c r="Q97" s="1420"/>
      <c r="R97" s="1402"/>
      <c r="S97" s="1403"/>
      <c r="T97" s="1403"/>
      <c r="U97" s="1394">
        <v>97</v>
      </c>
      <c r="V97" s="1421"/>
    </row>
    <row r="98" spans="1:22" s="1422" customFormat="1" ht="15.75" customHeight="1">
      <c r="A98" s="1428" t="s">
        <v>181</v>
      </c>
      <c r="B98" s="1431"/>
      <c r="C98" s="1444" t="str">
        <f>IF(Data!BV98="","",Data!BV98)</f>
        <v/>
      </c>
      <c r="D98" s="1444" t="str">
        <f>IF(Data!BW98="","",Data!BW98)</f>
        <v/>
      </c>
      <c r="E98" s="1444" t="str">
        <f>IF(Data!BX98="","",Data!BX98)</f>
        <v/>
      </c>
      <c r="F98" s="1444" t="str">
        <f>IF(Data!BY98="","",Data!BY98)</f>
        <v/>
      </c>
      <c r="G98" s="1433"/>
      <c r="H98" s="1427"/>
      <c r="I98" s="1427"/>
      <c r="J98" s="1427"/>
      <c r="K98" s="1427"/>
      <c r="L98" s="1433"/>
      <c r="M98" s="1449"/>
      <c r="N98" s="1449"/>
      <c r="O98" s="1449"/>
      <c r="P98" s="1449"/>
      <c r="Q98" s="1420"/>
      <c r="R98" s="1445"/>
      <c r="S98" s="1446"/>
      <c r="T98" s="1446"/>
      <c r="U98" s="1394">
        <v>98</v>
      </c>
      <c r="V98" s="1421"/>
    </row>
    <row r="99" spans="1:22" s="1422" customFormat="1" ht="15.75" customHeight="1">
      <c r="A99" s="1428" t="s">
        <v>183</v>
      </c>
      <c r="B99" s="1431"/>
      <c r="C99" s="1454" t="str">
        <f>IF(SUM(C97)=0,"",C97*C98)</f>
        <v/>
      </c>
      <c r="D99" s="1454" t="str">
        <f>IF(SUM(D97)=0,"",D97*D98)</f>
        <v/>
      </c>
      <c r="E99" s="1454" t="str">
        <f>IF(SUM(E97)=0,"",E97*E98)</f>
        <v/>
      </c>
      <c r="F99" s="1454" t="str">
        <f>IF(SUM(F97)=0,"",F97*F98)</f>
        <v/>
      </c>
      <c r="G99" s="1433"/>
      <c r="H99" s="1463" t="str">
        <f>IF(H97="","",H97*C98)</f>
        <v/>
      </c>
      <c r="I99" s="1463" t="str">
        <f>IF(I97="","",I97*D98)</f>
        <v/>
      </c>
      <c r="J99" s="1463" t="str">
        <f>IF(J97="","",J97*E98)</f>
        <v/>
      </c>
      <c r="K99" s="1463" t="str">
        <f>IF(K97="","",K97*F98)</f>
        <v/>
      </c>
      <c r="L99" s="1433"/>
      <c r="M99" s="1454" t="str">
        <f>IF(H99="","",SUM(H99)-SUM(C99))</f>
        <v/>
      </c>
      <c r="N99" s="1454" t="str">
        <f>IF(I99="","",SUM(I99)-SUM(D99))</f>
        <v/>
      </c>
      <c r="O99" s="1454" t="str">
        <f>IF(J99="","",SUM(J99)-SUM(E99))</f>
        <v/>
      </c>
      <c r="P99" s="1454" t="str">
        <f>IF(K99="","",SUM(K99)-SUM(F99))</f>
        <v/>
      </c>
      <c r="Q99" s="1420"/>
      <c r="R99" s="1402"/>
      <c r="S99" s="1403"/>
      <c r="T99" s="1403"/>
      <c r="U99" s="1394">
        <v>99</v>
      </c>
      <c r="V99" s="1421"/>
    </row>
    <row r="100" spans="1:22" s="1422" customFormat="1" ht="15.75" customHeight="1">
      <c r="A100" s="1429" t="s">
        <v>185</v>
      </c>
      <c r="B100" s="1431"/>
      <c r="C100" s="1456">
        <f>IF(Data!BV100="","",Data!BV100)</f>
        <v>1</v>
      </c>
      <c r="D100" s="1456">
        <f>IF(Data!BW100="","",Data!BW100)</f>
        <v>1</v>
      </c>
      <c r="E100" s="1456">
        <f>IF(Data!BX100="","",Data!BX100)</f>
        <v>1</v>
      </c>
      <c r="F100" s="1456">
        <f>IF(Data!BY100="","",Data!BY100)</f>
        <v>1</v>
      </c>
      <c r="G100" s="1443"/>
      <c r="H100" s="1427"/>
      <c r="I100" s="1427"/>
      <c r="J100" s="1427"/>
      <c r="K100" s="1427"/>
      <c r="L100" s="1443"/>
      <c r="M100" s="1427"/>
      <c r="N100" s="1427"/>
      <c r="O100" s="1427"/>
      <c r="P100" s="1427"/>
      <c r="Q100" s="1420"/>
      <c r="R100" s="1402"/>
      <c r="S100" s="1403"/>
      <c r="T100" s="1403"/>
      <c r="U100" s="1394">
        <v>100</v>
      </c>
      <c r="V100" s="1421"/>
    </row>
    <row r="101" spans="1:22" s="1422" customFormat="1" ht="15.75" customHeight="1">
      <c r="A101" s="1429" t="s">
        <v>187</v>
      </c>
      <c r="B101" s="1455"/>
      <c r="C101" s="1444" t="str">
        <f>IF(Data!BV101="","",Data!BV101)</f>
        <v/>
      </c>
      <c r="D101" s="1444">
        <f>IF(Data!BW101="","",Data!BW101)</f>
        <v>10</v>
      </c>
      <c r="E101" s="1444">
        <f>IF(Data!BX101="","",Data!BX101)</f>
        <v>145</v>
      </c>
      <c r="F101" s="1456">
        <f>IF(Data!BY101="","",Data!BY101)</f>
        <v>698</v>
      </c>
      <c r="G101" s="1443"/>
      <c r="H101" s="1457"/>
      <c r="I101" s="1457"/>
      <c r="J101" s="1457"/>
      <c r="K101" s="1457"/>
      <c r="L101" s="1443"/>
      <c r="M101" s="1427"/>
      <c r="N101" s="1427"/>
      <c r="O101" s="1427"/>
      <c r="P101" s="1427"/>
      <c r="Q101" s="1420"/>
      <c r="R101" s="1402"/>
      <c r="S101" s="1403"/>
      <c r="T101" s="1403"/>
      <c r="U101" s="1394">
        <v>101</v>
      </c>
      <c r="V101" s="1421"/>
    </row>
    <row r="102" spans="1:22" s="1422" customFormat="1" ht="15.75" customHeight="1">
      <c r="A102" s="1447" t="s">
        <v>951</v>
      </c>
      <c r="B102" s="1431"/>
      <c r="C102" s="1444">
        <f>IF(Data!BV102="","",Data!BV102)</f>
        <v>90</v>
      </c>
      <c r="D102" s="1444">
        <f>IF(Data!BW102="","",Data!BW102)</f>
        <v>90</v>
      </c>
      <c r="E102" s="1444">
        <f>IF(Data!BX102="","",Data!BX102)</f>
        <v>90</v>
      </c>
      <c r="F102" s="1444">
        <f>IF(Data!BY102="","",Data!BY102)</f>
        <v>90</v>
      </c>
      <c r="G102" s="1431"/>
      <c r="H102" s="1427"/>
      <c r="I102" s="1427"/>
      <c r="J102" s="1427"/>
      <c r="K102" s="1427"/>
      <c r="L102" s="1431"/>
      <c r="M102" s="1427"/>
      <c r="N102" s="1427"/>
      <c r="O102" s="1427"/>
      <c r="P102" s="1427"/>
      <c r="Q102" s="1420"/>
      <c r="R102" s="1402"/>
      <c r="S102" s="1403"/>
      <c r="T102" s="1403"/>
      <c r="U102" s="1394">
        <v>102</v>
      </c>
      <c r="V102" s="1421"/>
    </row>
    <row r="103" spans="1:22" s="1422" customFormat="1" ht="15.75" customHeight="1">
      <c r="A103" s="1428" t="s">
        <v>173</v>
      </c>
      <c r="B103" s="1431"/>
      <c r="C103" s="1444">
        <f>IF(Data!BV103="","",Data!BV103)</f>
        <v>0.5</v>
      </c>
      <c r="D103" s="1444" t="str">
        <f>IF(Data!BW103="","",Data!BW103)</f>
        <v/>
      </c>
      <c r="E103" s="1444" t="str">
        <f>IF(Data!BX103="","",Data!BX103)</f>
        <v/>
      </c>
      <c r="F103" s="1444">
        <f>IF(Data!BY103="","",Data!BY103)</f>
        <v>0</v>
      </c>
      <c r="G103" s="1433"/>
      <c r="H103" s="1427"/>
      <c r="I103" s="1427"/>
      <c r="J103" s="1427"/>
      <c r="K103" s="1427"/>
      <c r="L103" s="1433"/>
      <c r="M103" s="1449"/>
      <c r="N103" s="1449"/>
      <c r="O103" s="1449"/>
      <c r="P103" s="1449"/>
      <c r="Q103" s="1420"/>
      <c r="R103" s="1445"/>
      <c r="S103" s="1446"/>
      <c r="T103" s="1446"/>
      <c r="U103" s="1394">
        <v>103</v>
      </c>
      <c r="V103" s="1421"/>
    </row>
    <row r="104" spans="1:22" s="1422" customFormat="1" ht="15.75" customHeight="1">
      <c r="A104" s="1428" t="s">
        <v>177</v>
      </c>
      <c r="B104" s="1431"/>
      <c r="C104" s="1454">
        <f>IF(C103="","",C$93*C102*C103)</f>
        <v>22.5</v>
      </c>
      <c r="D104" s="1454" t="str">
        <f>IF(D103="","",D$93*D102*D103)</f>
        <v/>
      </c>
      <c r="E104" s="1454" t="str">
        <f>IF(E103="","",E$93*E102*E103)</f>
        <v/>
      </c>
      <c r="F104" s="1426">
        <f>IF(F103="","",F$93*F102*F103)</f>
        <v>0</v>
      </c>
      <c r="G104" s="1433"/>
      <c r="H104" s="1427"/>
      <c r="I104" s="1427"/>
      <c r="J104" s="1427"/>
      <c r="K104" s="1427"/>
      <c r="L104" s="1433"/>
      <c r="M104" s="1449"/>
      <c r="N104" s="1449"/>
      <c r="O104" s="1449"/>
      <c r="P104" s="1449"/>
      <c r="Q104" s="1420"/>
      <c r="R104" s="1402"/>
      <c r="S104" s="1403"/>
      <c r="T104" s="1403"/>
      <c r="U104" s="1394">
        <v>104</v>
      </c>
      <c r="V104" s="1421"/>
    </row>
    <row r="105" spans="1:22" s="1422" customFormat="1" ht="15.75" customHeight="1">
      <c r="A105" s="1428" t="s">
        <v>179</v>
      </c>
      <c r="B105" s="1433"/>
      <c r="C105" s="1444" t="str">
        <f>IF(Data!BV105="","",Data!BV105)</f>
        <v/>
      </c>
      <c r="D105" s="1444" t="str">
        <f>IF(Data!BW105="","",Data!BW105)</f>
        <v/>
      </c>
      <c r="E105" s="1444" t="str">
        <f>IF(Data!BX105="","",Data!BX105)</f>
        <v/>
      </c>
      <c r="F105" s="1444" t="str">
        <f>IF(Data!BY105="","",Data!BY105)</f>
        <v/>
      </c>
      <c r="G105" s="1433"/>
      <c r="H105" s="1452" t="str">
        <f>IF(SUM(C105)&gt;0,MIN(C104-H109-SUM(C109)*(H109=""),C105*'Exp factors'!C$8),"")</f>
        <v/>
      </c>
      <c r="I105" s="1452" t="str">
        <f>IF(SUM(D105)&gt;0,MIN(D104-I109-SUM(D109)*(I109=""),D105*'Exp factors'!D$8),"")</f>
        <v/>
      </c>
      <c r="J105" s="1452" t="str">
        <f>IF(SUM(E105)&gt;0,MIN(E104-J109-SUM(E109)*(J109=""),E105*'Exp factors'!E$8),"")</f>
        <v/>
      </c>
      <c r="K105" s="1452" t="str">
        <f>IF(SUM(F105)&gt;0,MIN(F104-K109-SUM(F109)*(K109=""),F105*'Exp factors'!F$8),"")</f>
        <v/>
      </c>
      <c r="L105" s="1433"/>
      <c r="M105" s="1449"/>
      <c r="N105" s="1449"/>
      <c r="O105" s="1449"/>
      <c r="P105" s="1449"/>
      <c r="Q105" s="1420"/>
      <c r="R105" s="1402"/>
      <c r="S105" s="1403"/>
      <c r="T105" s="1403"/>
      <c r="U105" s="1394">
        <v>105</v>
      </c>
      <c r="V105" s="1421"/>
    </row>
    <row r="106" spans="1:22" s="1422" customFormat="1" ht="15.75" customHeight="1">
      <c r="A106" s="1428" t="s">
        <v>181</v>
      </c>
      <c r="B106" s="1431"/>
      <c r="C106" s="1444" t="str">
        <f>IF(Data!BV106="","",Data!BV106)</f>
        <v/>
      </c>
      <c r="D106" s="1444" t="str">
        <f>IF(Data!BW106="","",Data!BW106)</f>
        <v/>
      </c>
      <c r="E106" s="1444" t="str">
        <f>IF(Data!BX106="","",Data!BX106)</f>
        <v/>
      </c>
      <c r="F106" s="1444" t="str">
        <f>IF(Data!BY106="","",Data!BY106)</f>
        <v/>
      </c>
      <c r="G106" s="1433"/>
      <c r="H106" s="1427"/>
      <c r="I106" s="1427"/>
      <c r="J106" s="1427"/>
      <c r="K106" s="1427"/>
      <c r="L106" s="1433"/>
      <c r="M106" s="1449"/>
      <c r="N106" s="1449"/>
      <c r="O106" s="1449"/>
      <c r="P106" s="1449"/>
      <c r="Q106" s="1420"/>
      <c r="R106" s="1445"/>
      <c r="S106" s="1446"/>
      <c r="T106" s="1446"/>
      <c r="U106" s="1394">
        <v>106</v>
      </c>
      <c r="V106" s="1421"/>
    </row>
    <row r="107" spans="1:22" s="1422" customFormat="1" ht="15.75" customHeight="1">
      <c r="A107" s="1462" t="s">
        <v>183</v>
      </c>
      <c r="B107" s="1431"/>
      <c r="C107" s="1454" t="str">
        <f>IF(SUM(C105)=0,"",C105*C106)</f>
        <v/>
      </c>
      <c r="D107" s="1454" t="str">
        <f>IF(SUM(D105)=0,"",D105*D106)</f>
        <v/>
      </c>
      <c r="E107" s="1454" t="str">
        <f>IF(SUM(E105)=0,"",E105*E106)</f>
        <v/>
      </c>
      <c r="F107" s="1454" t="str">
        <f>IF(SUM(F105)=0,"",F105*F106)</f>
        <v/>
      </c>
      <c r="G107" s="1453"/>
      <c r="H107" s="1463" t="str">
        <f>IF(H105="","",H105*C106)</f>
        <v/>
      </c>
      <c r="I107" s="1463" t="str">
        <f>IF(I105="","",I105*D106)</f>
        <v/>
      </c>
      <c r="J107" s="1463" t="str">
        <f>IF(J105="","",J105*E106)</f>
        <v/>
      </c>
      <c r="K107" s="1463" t="str">
        <f>IF(K105="","",K105*F106)</f>
        <v/>
      </c>
      <c r="L107" s="1453"/>
      <c r="M107" s="1454" t="str">
        <f>IF(H107="","",SUM(H107)-SUM(C107))</f>
        <v/>
      </c>
      <c r="N107" s="1454" t="str">
        <f>IF(I107="","",SUM(I107)-SUM(D107))</f>
        <v/>
      </c>
      <c r="O107" s="1454" t="str">
        <f>IF(J107="","",SUM(J107)-SUM(E107))</f>
        <v/>
      </c>
      <c r="P107" s="1454" t="str">
        <f>IF(K107="","",SUM(K107)-SUM(F107))</f>
        <v/>
      </c>
      <c r="Q107" s="1420"/>
      <c r="R107" s="1402"/>
      <c r="S107" s="1403"/>
      <c r="T107" s="1403"/>
      <c r="U107" s="1394">
        <v>107</v>
      </c>
      <c r="V107" s="1421"/>
    </row>
    <row r="108" spans="1:22" ht="15.75" customHeight="1">
      <c r="A108" s="1429" t="s">
        <v>185</v>
      </c>
      <c r="B108" s="1431"/>
      <c r="C108" s="1456">
        <f>IF(Data!BV108="","",Data!BV108)</f>
        <v>1</v>
      </c>
      <c r="D108" s="1456">
        <f>IF(Data!BW108="","",Data!BW108)</f>
        <v>1</v>
      </c>
      <c r="E108" s="1456">
        <f>IF(Data!BX108="","",Data!BX108)</f>
        <v>1</v>
      </c>
      <c r="F108" s="1456">
        <f>IF(Data!BY108="","",Data!BY108)</f>
        <v>1</v>
      </c>
      <c r="G108" s="1455"/>
      <c r="H108" s="1427"/>
      <c r="I108" s="1427"/>
      <c r="J108" s="1427"/>
      <c r="K108" s="1427"/>
      <c r="L108" s="1455"/>
      <c r="M108" s="1427"/>
      <c r="N108" s="1427"/>
      <c r="O108" s="1427"/>
      <c r="P108" s="1427"/>
      <c r="Q108" s="1464"/>
      <c r="R108" s="1402"/>
      <c r="S108" s="1403"/>
      <c r="T108" s="1403"/>
      <c r="U108" s="1394">
        <v>108</v>
      </c>
      <c r="V108" s="1421"/>
    </row>
    <row r="109" spans="1:22" s="1422" customFormat="1" ht="15.75" customHeight="1">
      <c r="A109" s="1429" t="s">
        <v>187</v>
      </c>
      <c r="B109" s="1455"/>
      <c r="C109" s="1444" t="str">
        <f>IF(Data!BV109="","",Data!BV109)</f>
        <v/>
      </c>
      <c r="D109" s="1444" t="str">
        <f>IF(Data!BW109="","",Data!BW109)</f>
        <v/>
      </c>
      <c r="E109" s="1444" t="str">
        <f>IF(Data!BX109="","",Data!BX109)</f>
        <v/>
      </c>
      <c r="F109" s="1444" t="str">
        <f>IF(Data!BY109="","",Data!BY109)</f>
        <v/>
      </c>
      <c r="G109" s="1443"/>
      <c r="H109" s="1457"/>
      <c r="I109" s="1457"/>
      <c r="J109" s="1457"/>
      <c r="K109" s="1457"/>
      <c r="L109" s="1443"/>
      <c r="M109" s="1427"/>
      <c r="N109" s="1427"/>
      <c r="O109" s="1427"/>
      <c r="P109" s="1427"/>
      <c r="Q109" s="1420"/>
      <c r="R109" s="1402"/>
      <c r="S109" s="1403"/>
      <c r="T109" s="1403"/>
      <c r="U109" s="1394">
        <v>109</v>
      </c>
      <c r="V109" s="1421"/>
    </row>
    <row r="110" spans="1:22" ht="15.75" customHeight="1">
      <c r="A110" s="1429" t="s">
        <v>212</v>
      </c>
      <c r="B110" s="1455"/>
      <c r="C110" s="1468">
        <f>IF(SUM(C96,C104)&gt;0,SUM(C97,C105)/SUM(C96,C104),"")</f>
        <v>0</v>
      </c>
      <c r="D110" s="1468">
        <f>IF(SUM(D96,D104)&gt;0,SUM(D97,D105)/SUM(D96,D104),"")</f>
        <v>0</v>
      </c>
      <c r="E110" s="1468">
        <f>IF(SUM(E96,E104)&gt;0,SUM(E97,E105)/SUM(E96,E104),"")</f>
        <v>0</v>
      </c>
      <c r="F110" s="1468">
        <f>IF(SUM(F96,F104)&gt;0,SUM(F97,F105)/SUM(F96,F104),"")</f>
        <v>0</v>
      </c>
      <c r="G110" s="1455"/>
      <c r="H110" s="1468">
        <f>IF(SUM(C96,C104)&gt;0,SUM(H97,SUM(C97)*(SUM(H97)=0),H105,SUM(C105)*(SUM(H105)=0))/SUM(C96,C104),"")</f>
        <v>0</v>
      </c>
      <c r="I110" s="1468">
        <f>IF(SUM(D96,D104)&gt;0,SUM(I97,SUM(D97)*(SUM(I97)=0),I105,SUM(D105)*(SUM(I105)=0))/SUM(D96,D104),"")</f>
        <v>0</v>
      </c>
      <c r="J110" s="1468">
        <f>IF(SUM(E96,E104)&gt;0,SUM(J97,SUM(E97)*(SUM(J97)=0),J105,SUM(E105)*(SUM(J105)=0))/SUM(E96,E104),"")</f>
        <v>0</v>
      </c>
      <c r="K110" s="1468">
        <f>IF(SUM(F96,F104)&gt;0,SUM(K97,SUM(F97)*(SUM(K97)=0),K105,SUM(F105)*(SUM(K105)=0))/SUM(F96,F104),"")</f>
        <v>0</v>
      </c>
      <c r="L110" s="1455"/>
      <c r="M110" s="1449"/>
      <c r="N110" s="1449"/>
      <c r="O110" s="1449"/>
      <c r="P110" s="1449"/>
      <c r="Q110" s="1464"/>
      <c r="R110" s="1392"/>
      <c r="S110" s="1393"/>
      <c r="T110" s="1393"/>
      <c r="U110" s="1394">
        <v>110</v>
      </c>
      <c r="V110" s="1421"/>
    </row>
    <row r="111" spans="1:22" ht="15.75" customHeight="1">
      <c r="A111" s="1429" t="s">
        <v>196</v>
      </c>
      <c r="B111" s="1431"/>
      <c r="C111" s="1471">
        <f>IF(SUM(C96,C104)=0,"",SUM(C96,-SUM(C97)*C100,-SUM(C101)*C100,C104,-SUM(C105)*C108,-SUM(C109)*C108)*0.04)</f>
        <v>6.3</v>
      </c>
      <c r="D111" s="1471">
        <f>IF(SUM(D96,D104)=0,"",SUM(D96,-SUM(D97)*D100,-SUM(D101)*D100,D104,-SUM(D105)*D108,-SUM(D109)*D108)*0.04)</f>
        <v>3.2</v>
      </c>
      <c r="E111" s="1471">
        <f>IF(SUM(E96,E104)=0,"",SUM(E96,-SUM(E97)*E100,-SUM(E101)*E100,E104,-SUM(E105)*E108,-SUM(E109)*E108)*0.04)</f>
        <v>5</v>
      </c>
      <c r="F111" s="1471">
        <f>IF(SUM(F96,F104)=0,"",SUM(F96,-SUM(F97)*F100,-SUM(F101)*F100,F104,-SUM(F105)*F108,-SUM(F109)*F108)*0.04)</f>
        <v>36.880000000000003</v>
      </c>
      <c r="G111" s="1458"/>
      <c r="H111" s="1471">
        <f>IF(SUM(C96,C104)=0,"",(SUM(C96)-(SUM(C97)*(H97="")+SUM(C101)*(H101="")+SUM(H97,H101))*C100+SUM(C104)-(SUM(C105)*(H105="")+SUM(C109)*(H109="")+SUM(H105,H109))*C108)*0.04)</f>
        <v>6.3</v>
      </c>
      <c r="I111" s="1471">
        <f>IF(SUM(D96,D104)=0,"",(SUM(D96)-(SUM(D97)*(I97="")+SUM(D101)*(I101="")+SUM(I97,I101))*D100+SUM(D104)-(SUM(D105)*(I105="")+SUM(D109)*(I109="")+SUM(I105,I109))*D108)*0.04)</f>
        <v>3.2</v>
      </c>
      <c r="J111" s="1471">
        <f>IF(SUM(E96,E104)=0,"",(SUM(E96)-(SUM(E97)*(J97="")+SUM(E101)*(J101="")+SUM(J97,J101))*E100+SUM(E104)-(SUM(E105)*(J105="")+SUM(E109)*(J109="")+SUM(J105,J109))*E108)*0.04)</f>
        <v>5</v>
      </c>
      <c r="K111" s="1471">
        <f>IF(SUM(F96,F104)=0,"",(SUM(F96)-(SUM(F97)*(K97="")+SUM(F101)*(K101="")+SUM(K97,K101))*F100+SUM(F104)-(SUM(F105)*(K105="")+SUM(F109)*(K109="")+SUM(K105,K109))*F108)*0.04)</f>
        <v>36.880000000000003</v>
      </c>
      <c r="L111" s="1458"/>
      <c r="M111" s="1449"/>
      <c r="N111" s="1449"/>
      <c r="O111" s="1449"/>
      <c r="P111" s="1449"/>
      <c r="Q111" s="1464"/>
      <c r="R111" s="1402"/>
      <c r="S111" s="1403"/>
      <c r="T111" s="1403"/>
      <c r="U111" s="1394">
        <v>111</v>
      </c>
      <c r="V111" s="1421"/>
    </row>
    <row r="112" spans="1:22" ht="15.75" customHeight="1">
      <c r="A112" s="1382" t="s">
        <v>197</v>
      </c>
      <c r="B112" s="1433"/>
      <c r="C112" s="1444" t="str">
        <f>IF(Data!BV112="","",Data!BV112)</f>
        <v/>
      </c>
      <c r="D112" s="1444" t="str">
        <f>IF(Data!BW112="","",Data!BW112)</f>
        <v/>
      </c>
      <c r="E112" s="1444" t="str">
        <f>IF(Data!BX112="","",Data!BX112)</f>
        <v/>
      </c>
      <c r="F112" s="1444" t="str">
        <f>IF(Data!BY112="","",Data!BY112)</f>
        <v/>
      </c>
      <c r="G112" s="1458"/>
      <c r="H112" s="1472"/>
      <c r="I112" s="1472"/>
      <c r="J112" s="1472"/>
      <c r="K112" s="1472"/>
      <c r="L112" s="1458"/>
      <c r="M112" s="1473"/>
      <c r="N112" s="1473"/>
      <c r="O112" s="1473"/>
      <c r="P112" s="1473"/>
      <c r="Q112" s="1464"/>
      <c r="R112" s="1445"/>
      <c r="S112" s="1446"/>
      <c r="T112" s="1446"/>
      <c r="U112" s="1394">
        <v>112</v>
      </c>
      <c r="V112" s="1421"/>
    </row>
    <row r="113" spans="1:22" ht="15.75" customHeight="1">
      <c r="A113" s="1429" t="s">
        <v>198</v>
      </c>
      <c r="B113" s="1433"/>
      <c r="C113" s="1444" t="str">
        <f>IF(Data!BV113="","",Data!BV113)</f>
        <v/>
      </c>
      <c r="D113" s="1444" t="str">
        <f>IF(Data!BW113="","",Data!BW113)</f>
        <v/>
      </c>
      <c r="E113" s="1444" t="str">
        <f>IF(Data!BX113="","",Data!BX113)</f>
        <v/>
      </c>
      <c r="F113" s="1444" t="str">
        <f>IF(Data!BY113="","",Data!BY113)</f>
        <v/>
      </c>
      <c r="G113" s="1459"/>
      <c r="H113" s="1474" t="str">
        <f>IF(SUM(C113)&gt;0,MIN(H111-H112-SUM(C112)*(H112=""),C113*'Exp factors'!C$8),"")</f>
        <v/>
      </c>
      <c r="I113" s="1474" t="str">
        <f>IF(SUM(D113)&gt;0,MIN(I111-I112-SUM(D112)*(I112=""),D113*'Exp factors'!D$8),"")</f>
        <v/>
      </c>
      <c r="J113" s="1474" t="str">
        <f>IF(SUM(E113)&gt;0,MIN(J111-J112-SUM(E112)*(J112=""),E113*'Exp factors'!E$8),"")</f>
        <v/>
      </c>
      <c r="K113" s="1474" t="str">
        <f>IF(SUM(F113)&gt;0,MIN(K111-K112-SUM(F112)*(K112=""),F113*'Exp factors'!F$8),"")</f>
        <v/>
      </c>
      <c r="L113" s="1459"/>
      <c r="M113" s="1473"/>
      <c r="N113" s="1473"/>
      <c r="O113" s="1473"/>
      <c r="P113" s="1473"/>
      <c r="Q113" s="1464"/>
      <c r="R113" s="1445"/>
      <c r="S113" s="1446"/>
      <c r="T113" s="1446"/>
      <c r="U113" s="1394">
        <v>113</v>
      </c>
      <c r="V113" s="1421"/>
    </row>
    <row r="114" spans="1:22" ht="15.75" customHeight="1">
      <c r="A114" s="1428" t="s">
        <v>200</v>
      </c>
      <c r="B114" s="1433"/>
      <c r="C114" s="1448" t="str">
        <f>IF(Data!BV114="","",Data!BV114)</f>
        <v/>
      </c>
      <c r="D114" s="1448" t="str">
        <f>IF(Data!BW114="","",Data!BW114)</f>
        <v/>
      </c>
      <c r="E114" s="1448" t="str">
        <f>IF(Data!BX114="","",Data!BX114)</f>
        <v/>
      </c>
      <c r="F114" s="1448" t="str">
        <f>IF(Data!BY114="","",Data!BY114)</f>
        <v/>
      </c>
      <c r="G114" s="1460"/>
      <c r="H114" s="1427"/>
      <c r="I114" s="1427"/>
      <c r="J114" s="1427"/>
      <c r="K114" s="1427"/>
      <c r="L114" s="1460"/>
      <c r="M114" s="1477"/>
      <c r="N114" s="1477"/>
      <c r="O114" s="1477"/>
      <c r="P114" s="1477"/>
      <c r="Q114" s="1478"/>
      <c r="R114" s="1445"/>
      <c r="S114" s="1446"/>
      <c r="T114" s="1446"/>
      <c r="U114" s="1394">
        <v>114</v>
      </c>
      <c r="V114" s="1421"/>
    </row>
    <row r="115" spans="1:22" s="1482" customFormat="1" ht="15.75" customHeight="1">
      <c r="A115" s="1382" t="s">
        <v>202</v>
      </c>
      <c r="B115" s="1433"/>
      <c r="C115" s="1454" t="str">
        <f>IF(SUM(C113)=0,"",C113*C114)</f>
        <v/>
      </c>
      <c r="D115" s="1454" t="str">
        <f>IF(SUM(D113)=0,"",D113*D114)</f>
        <v/>
      </c>
      <c r="E115" s="1454" t="str">
        <f>IF(SUM(E113)=0,"",E113*E114)</f>
        <v/>
      </c>
      <c r="F115" s="1454" t="str">
        <f>IF(SUM(F113)=0,"",F113*F114)</f>
        <v/>
      </c>
      <c r="G115" s="1461"/>
      <c r="H115" s="1463" t="str">
        <f>IF(H113="","",H113*C114)</f>
        <v/>
      </c>
      <c r="I115" s="1463" t="str">
        <f>IF(I113="","",I113*D114)</f>
        <v/>
      </c>
      <c r="J115" s="1463" t="str">
        <f>IF(J113="","",J113*E114)</f>
        <v/>
      </c>
      <c r="K115" s="1463" t="str">
        <f>IF(K113="","",K113*F114)</f>
        <v/>
      </c>
      <c r="L115" s="1461"/>
      <c r="M115" s="1454" t="str">
        <f t="shared" ref="M115:P117" si="35">IF(H115="","",SUM(H115)-SUM(C115))</f>
        <v/>
      </c>
      <c r="N115" s="1454" t="str">
        <f t="shared" si="35"/>
        <v/>
      </c>
      <c r="O115" s="1454" t="str">
        <f t="shared" si="35"/>
        <v/>
      </c>
      <c r="P115" s="1454" t="str">
        <f t="shared" si="35"/>
        <v/>
      </c>
      <c r="Q115" s="1480"/>
      <c r="R115" s="1402"/>
      <c r="S115" s="1403"/>
      <c r="T115" s="1403"/>
      <c r="U115" s="1394">
        <v>115</v>
      </c>
      <c r="V115" s="1481"/>
    </row>
    <row r="116" spans="1:22" ht="15.75" customHeight="1">
      <c r="A116" s="1382" t="s">
        <v>213</v>
      </c>
      <c r="B116" s="1431"/>
      <c r="C116" s="1483">
        <f>IF(C111="","",(SUM(C96)*2680-SUM(C97,C101)*(2680-1256*(C100=0))-SUM(C112,C113)*32930)/$P$1/365/C$46)</f>
        <v>1.4080012453300126E-2</v>
      </c>
      <c r="D116" s="1483">
        <f>IF(D111="","",(SUM(D96)*2680-SUM(D97,D101)*(2680-1256*(D100=0))-SUM(D112,D113)*32930)/$P$1/365/D$46)</f>
        <v>8.3437110834371116E-3</v>
      </c>
      <c r="E116" s="1483">
        <f>IF(E111="","",(SUM(E96)*2680-SUM(E97,E101)*(2680-1256*(E100=0))-SUM(E112,E113)*32930)/$P$1/365/E$46)</f>
        <v>1.3037048567870486E-2</v>
      </c>
      <c r="F116" s="1483">
        <f>IF(F111="","",(SUM(F96)*2680-SUM(F97,F101)*(2680-1256*(F100=0))-SUM(F112,F113)*32930)/$P$1/365/F$46)</f>
        <v>8.5476684654766849E-2</v>
      </c>
      <c r="G116" s="1443"/>
      <c r="H116" s="148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8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8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8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43"/>
      <c r="M116" s="1484" t="str">
        <f t="shared" si="35"/>
        <v/>
      </c>
      <c r="N116" s="1484" t="str">
        <f t="shared" si="35"/>
        <v/>
      </c>
      <c r="O116" s="1484" t="str">
        <f t="shared" si="35"/>
        <v/>
      </c>
      <c r="P116" s="1484" t="str">
        <f t="shared" si="35"/>
        <v/>
      </c>
      <c r="Q116" s="1464"/>
      <c r="R116" s="1392"/>
      <c r="S116" s="1393"/>
      <c r="T116" s="1393"/>
      <c r="U116" s="1394">
        <v>116</v>
      </c>
      <c r="V116" s="1421"/>
    </row>
    <row r="117" spans="1:22" ht="15.75" customHeight="1">
      <c r="A117" s="1382" t="s">
        <v>214</v>
      </c>
      <c r="B117" s="1431"/>
      <c r="C117" s="1483">
        <f>IF(C111="","",(SUM(C104)*2680-SUM(C105,C109)*(2680-1256*(C108=0)))/$P$1/365/C$46)</f>
        <v>2.3466687422166875E-3</v>
      </c>
      <c r="D117" s="1483">
        <f>IF(D111="","",(SUM(D104)*2680-SUM(D105,D109)*(2680-1256*(D108=0)))/$P$1/365/D$46)</f>
        <v>0</v>
      </c>
      <c r="E117" s="1483">
        <f>IF(E111="","",(SUM(E104)*2680-SUM(E105,E109)*(2680-1256*(E108=0)))/$P$1/365/E$46)</f>
        <v>0</v>
      </c>
      <c r="F117" s="1483">
        <f>IF(F111="","",(SUM(F104)*2680-SUM(F105,F109)*(2680-1256*(F108=0)))/$P$1/365/F$46)</f>
        <v>0</v>
      </c>
      <c r="G117" s="1443"/>
      <c r="H117" s="1483" t="str">
        <f>IF(AND(H97="",H101="",H105="",H109="",H113=""),"",(SUM(C104)*2680-(SUM(H105,H109)+SUM(C105)*(H105="")+SUM(C109)*(H109=""))*(2680-1256*(C108=0)))/$P$1/365/C$46)</f>
        <v/>
      </c>
      <c r="I117" s="1483" t="str">
        <f>IF(AND(I97="",I101="",I105="",I109="",I113=""),"",(SUM(D104)*2680-(SUM(I105,I109)+SUM(D105)*(I105="")+SUM(D109)*(I109=""))*(2680-1256*(D108=0)))/$P$1/365/D$46)</f>
        <v/>
      </c>
      <c r="J117" s="1483" t="str">
        <f>IF(AND(J97="",J101="",J105="",J109="",J113=""),"",(SUM(E104)*2680-(SUM(J105,J109)+SUM(E105)*(J105="")+SUM(E109)*(J109=""))*(2680-1256*(E108=0)))/$P$1/365/E$46)</f>
        <v/>
      </c>
      <c r="K117" s="1483" t="str">
        <f>IF(AND(K97="",K101="",K105="",K109="",K113=""),"",(SUM(F104)*2680-(SUM(K105,K109)+SUM(F105)*(K105="")+SUM(F109)*(K109=""))*(2680-1256*(F108=0)))/$P$1/365/F$46)</f>
        <v/>
      </c>
      <c r="L117" s="1443"/>
      <c r="M117" s="1484" t="str">
        <f t="shared" si="35"/>
        <v/>
      </c>
      <c r="N117" s="1484" t="str">
        <f t="shared" si="35"/>
        <v/>
      </c>
      <c r="O117" s="1484" t="str">
        <f t="shared" si="35"/>
        <v/>
      </c>
      <c r="P117" s="1484" t="str">
        <f t="shared" si="35"/>
        <v/>
      </c>
      <c r="Q117" s="1464"/>
      <c r="R117" s="1392"/>
      <c r="S117" s="1393"/>
      <c r="T117" s="1393"/>
      <c r="U117" s="1394">
        <v>117</v>
      </c>
      <c r="V117" s="1421"/>
    </row>
    <row r="118" spans="1:22" ht="15.75" customHeight="1">
      <c r="A118" s="1485" t="s">
        <v>215</v>
      </c>
      <c r="B118" s="1431"/>
      <c r="C118" s="1468">
        <f>IF(SUM(C111)&gt;0,SUM(C113)/C111,"")</f>
        <v>0</v>
      </c>
      <c r="D118" s="1468">
        <f>IF(SUM(D111)&gt;0,SUM(D113)/D111,"")</f>
        <v>0</v>
      </c>
      <c r="E118" s="1468">
        <f>IF(SUM(E111)&gt;0,SUM(E113)/E111,"")</f>
        <v>0</v>
      </c>
      <c r="F118" s="1468">
        <f>IF(SUM(F111)&gt;0,SUM(F113)/F111,"")</f>
        <v>0</v>
      </c>
      <c r="G118" s="1443"/>
      <c r="H118" s="1468">
        <f>IF(H111="","",SUM(H113)/H111)</f>
        <v>0</v>
      </c>
      <c r="I118" s="1468">
        <f>IF(I111="","",SUM(I113)/I111)</f>
        <v>0</v>
      </c>
      <c r="J118" s="1468">
        <f>IF(J111="","",SUM(J113)/J111)</f>
        <v>0</v>
      </c>
      <c r="K118" s="1468">
        <f>IF(K111="","",SUM(K113)/K111)</f>
        <v>0</v>
      </c>
      <c r="L118" s="1443"/>
      <c r="M118" s="1427"/>
      <c r="N118" s="1427"/>
      <c r="O118" s="1427"/>
      <c r="P118" s="1427"/>
      <c r="Q118" s="1464"/>
      <c r="R118" s="1392"/>
      <c r="S118" s="1393"/>
      <c r="T118" s="1393"/>
      <c r="U118" s="1394">
        <v>118</v>
      </c>
      <c r="V118" s="1421"/>
    </row>
    <row r="119" spans="1:22" s="1422" customFormat="1" ht="15.75" hidden="1" customHeight="1">
      <c r="A119" s="1440" t="s">
        <v>216</v>
      </c>
      <c r="B119" s="1431"/>
      <c r="C119" s="1487"/>
      <c r="D119" s="1487"/>
      <c r="E119" s="1487"/>
      <c r="F119" s="1488"/>
      <c r="G119" s="1412"/>
      <c r="H119" s="1427"/>
      <c r="I119" s="1427"/>
      <c r="J119" s="1427"/>
      <c r="K119" s="1427"/>
      <c r="L119" s="1412"/>
      <c r="M119" s="1425"/>
      <c r="N119" s="1425"/>
      <c r="O119" s="1425"/>
      <c r="P119" s="1425"/>
      <c r="Q119" s="1420"/>
      <c r="R119" s="1378"/>
      <c r="S119" s="1378"/>
      <c r="T119" s="1378"/>
      <c r="U119" s="1394">
        <v>119</v>
      </c>
      <c r="V119" s="1421"/>
    </row>
    <row r="120" spans="1:22" s="1422" customFormat="1" ht="15.75" hidden="1" customHeight="1">
      <c r="A120" s="1447" t="s">
        <v>952</v>
      </c>
      <c r="B120" s="1432"/>
      <c r="C120" s="1488">
        <f>IF(Data!BV120="","",Data!BV120)</f>
        <v>0</v>
      </c>
      <c r="D120" s="1488">
        <f>IF(Data!BW120="","",Data!BW120)</f>
        <v>0</v>
      </c>
      <c r="E120" s="1488">
        <f>IF(Data!BX120="","",Data!BX120)</f>
        <v>0</v>
      </c>
      <c r="F120" s="1488">
        <f>IF(Data!BY120="","",Data!BY120)</f>
        <v>0</v>
      </c>
      <c r="G120" s="1431"/>
      <c r="H120" s="1427"/>
      <c r="I120" s="1427"/>
      <c r="J120" s="1427"/>
      <c r="K120" s="1427"/>
      <c r="L120" s="1431"/>
      <c r="M120" s="1427"/>
      <c r="N120" s="1427"/>
      <c r="O120" s="1427"/>
      <c r="P120" s="1427"/>
      <c r="Q120" s="1420"/>
      <c r="R120" s="1445"/>
      <c r="S120" s="1446"/>
      <c r="T120" s="1446"/>
      <c r="U120" s="1394">
        <v>120</v>
      </c>
      <c r="V120" s="1421"/>
    </row>
    <row r="121" spans="1:22" s="1422" customFormat="1" ht="15.75" hidden="1" customHeight="1">
      <c r="A121" s="1382" t="s">
        <v>218</v>
      </c>
      <c r="B121" s="1431"/>
      <c r="C121" s="1488">
        <f>IF(Data!BV121="","",Data!BV121)</f>
        <v>45</v>
      </c>
      <c r="D121" s="1488">
        <f>IF(Data!BW121="","",Data!BW121)</f>
        <v>45</v>
      </c>
      <c r="E121" s="1488">
        <f>IF(Data!BX121="","",Data!BX121)</f>
        <v>45</v>
      </c>
      <c r="F121" s="1488">
        <f>IF(Data!BY121="","",Data!BY121)</f>
        <v>45</v>
      </c>
      <c r="G121" s="1431"/>
      <c r="H121" s="1427"/>
      <c r="I121" s="1427"/>
      <c r="J121" s="1427"/>
      <c r="K121" s="1427"/>
      <c r="L121" s="1431"/>
      <c r="M121" s="1427"/>
      <c r="N121" s="1427"/>
      <c r="O121" s="1427"/>
      <c r="P121" s="1427"/>
      <c r="Q121" s="1420"/>
      <c r="R121" s="1402"/>
      <c r="S121" s="1403"/>
      <c r="T121" s="1403"/>
      <c r="U121" s="1394">
        <v>121</v>
      </c>
      <c r="V121" s="1421"/>
    </row>
    <row r="122" spans="1:22" s="1422" customFormat="1" ht="15.75" hidden="1" customHeight="1">
      <c r="A122" s="1428" t="s">
        <v>173</v>
      </c>
      <c r="B122" s="1443"/>
      <c r="C122" s="1489" t="str">
        <f>IF(Data!BV122="","",Data!BV122)</f>
        <v/>
      </c>
      <c r="D122" s="1489" t="str">
        <f>IF(Data!BW122="","",Data!BW122)</f>
        <v/>
      </c>
      <c r="E122" s="1489" t="str">
        <f>IF(Data!BX122="","",Data!BX122)</f>
        <v/>
      </c>
      <c r="F122" s="1489" t="str">
        <f>IF(Data!BY122="","",Data!BY122)</f>
        <v/>
      </c>
      <c r="G122" s="1433"/>
      <c r="H122" s="1427"/>
      <c r="I122" s="1427"/>
      <c r="J122" s="1427"/>
      <c r="K122" s="1427"/>
      <c r="L122" s="1433"/>
      <c r="M122" s="1449"/>
      <c r="N122" s="1449"/>
      <c r="O122" s="1449"/>
      <c r="P122" s="1449"/>
      <c r="Q122" s="1420"/>
      <c r="R122" s="1445"/>
      <c r="S122" s="1446"/>
      <c r="T122" s="1446"/>
      <c r="U122" s="1394">
        <v>122</v>
      </c>
      <c r="V122" s="1421"/>
    </row>
    <row r="123" spans="1:22" s="1422" customFormat="1" ht="15.75" hidden="1" customHeight="1">
      <c r="A123" s="1428" t="s">
        <v>177</v>
      </c>
      <c r="B123" s="1443"/>
      <c r="C123" s="1463" t="str">
        <f>IF(C122="","",C120*C121*C122)</f>
        <v/>
      </c>
      <c r="D123" s="1463" t="str">
        <f>IF(D122="","",D120*D121*D122)</f>
        <v/>
      </c>
      <c r="E123" s="1463" t="str">
        <f>IF(E122="","",E120*E121*E122)</f>
        <v/>
      </c>
      <c r="F123" s="1479" t="str">
        <f>IF(F122="","",F120*F121*F122)</f>
        <v/>
      </c>
      <c r="G123" s="1432"/>
      <c r="H123" s="1427"/>
      <c r="I123" s="1427"/>
      <c r="J123" s="1427"/>
      <c r="K123" s="1427"/>
      <c r="L123" s="1432"/>
      <c r="M123" s="1449"/>
      <c r="N123" s="1449"/>
      <c r="O123" s="1449"/>
      <c r="P123" s="1449"/>
      <c r="Q123" s="1420"/>
      <c r="R123" s="1402"/>
      <c r="S123" s="1403"/>
      <c r="T123" s="1403"/>
      <c r="U123" s="1394">
        <v>123</v>
      </c>
      <c r="V123" s="1421"/>
    </row>
    <row r="124" spans="1:22" s="1422" customFormat="1" ht="15.75" hidden="1" customHeight="1">
      <c r="A124" s="1428" t="s">
        <v>179</v>
      </c>
      <c r="B124" s="1431"/>
      <c r="C124" s="1488" t="str">
        <f>IF(Data!BV124="","",Data!BV124)</f>
        <v/>
      </c>
      <c r="D124" s="1488" t="str">
        <f>IF(Data!BW124="","",Data!BW124)</f>
        <v/>
      </c>
      <c r="E124" s="1488" t="str">
        <f>IF(Data!BX124="","",Data!BX124)</f>
        <v/>
      </c>
      <c r="F124" s="1488" t="str">
        <f>IF(Data!BY124="","",Data!BY124)</f>
        <v/>
      </c>
      <c r="G124" s="1433"/>
      <c r="H124" s="1452" t="str">
        <f>IF(SUM(C124)&gt;0,MIN(C123-H128-SUM(C128)*(H128=""),C124*'Exp factors'!C$8),"")</f>
        <v/>
      </c>
      <c r="I124" s="1452" t="str">
        <f>IF(SUM(D124)&gt;0,MIN(D123-I128-SUM(D128)*(I128=""),D124*'Exp factors'!D$8),"")</f>
        <v/>
      </c>
      <c r="J124" s="1452" t="str">
        <f>IF(SUM(E124)&gt;0,MIN(E123-J128-SUM(E128)*(J128=""),E124*'Exp factors'!E$8),"")</f>
        <v/>
      </c>
      <c r="K124" s="1452" t="str">
        <f>IF(SUM(F124)&gt;0,MIN(F123-K128-SUM(F128)*(K128=""),F124*'Exp factors'!F$8),"")</f>
        <v/>
      </c>
      <c r="L124" s="1433"/>
      <c r="M124" s="1449"/>
      <c r="N124" s="1449"/>
      <c r="O124" s="1449"/>
      <c r="P124" s="1449"/>
      <c r="Q124" s="1420"/>
      <c r="R124" s="1402"/>
      <c r="S124" s="1403"/>
      <c r="T124" s="1403"/>
      <c r="U124" s="1394">
        <v>124</v>
      </c>
      <c r="V124" s="1421"/>
    </row>
    <row r="125" spans="1:22" s="1422" customFormat="1" ht="15.75" hidden="1" customHeight="1">
      <c r="A125" s="1428" t="s">
        <v>181</v>
      </c>
      <c r="B125" s="1443"/>
      <c r="C125" s="1488" t="str">
        <f>IF(Data!BV125="","",Data!BV125)</f>
        <v/>
      </c>
      <c r="D125" s="1488" t="str">
        <f>IF(Data!BW125="","",Data!BW125)</f>
        <v/>
      </c>
      <c r="E125" s="1488" t="str">
        <f>IF(Data!BX125="","",Data!BX125)</f>
        <v/>
      </c>
      <c r="F125" s="1488" t="str">
        <f>IF(Data!BY125="","",Data!BY125)</f>
        <v/>
      </c>
      <c r="G125" s="1433"/>
      <c r="H125" s="1427"/>
      <c r="I125" s="1427"/>
      <c r="J125" s="1427"/>
      <c r="K125" s="1427"/>
      <c r="L125" s="1433"/>
      <c r="M125" s="1449"/>
      <c r="N125" s="1449"/>
      <c r="O125" s="1449"/>
      <c r="P125" s="1449"/>
      <c r="Q125" s="1420"/>
      <c r="R125" s="1445"/>
      <c r="S125" s="1446"/>
      <c r="T125" s="1446"/>
      <c r="U125" s="1394">
        <v>125</v>
      </c>
      <c r="V125" s="1421"/>
    </row>
    <row r="126" spans="1:22" s="1422" customFormat="1" ht="15.75" hidden="1" customHeight="1">
      <c r="A126" s="1428" t="s">
        <v>183</v>
      </c>
      <c r="B126" s="1443"/>
      <c r="C126" s="1454" t="str">
        <f>IF(SUM(C124)=0,"",C124*C125)</f>
        <v/>
      </c>
      <c r="D126" s="1454" t="str">
        <f>IF(SUM(D124)=0,"",D124*D125)</f>
        <v/>
      </c>
      <c r="E126" s="1454" t="str">
        <f>IF(SUM(E124)=0,"",E124*E125)</f>
        <v/>
      </c>
      <c r="F126" s="1454" t="str">
        <f>IF(SUM(F124)=0,"",F124*F125)</f>
        <v/>
      </c>
      <c r="G126" s="1433"/>
      <c r="H126" s="1463" t="str">
        <f>IF(H124="","",H124*C125)</f>
        <v/>
      </c>
      <c r="I126" s="1463" t="str">
        <f>IF(I124="","",I124*D125)</f>
        <v/>
      </c>
      <c r="J126" s="1463" t="str">
        <f>IF(J124="","",J124*E125)</f>
        <v/>
      </c>
      <c r="K126" s="1463" t="str">
        <f>IF(K124="","",K124*F125)</f>
        <v/>
      </c>
      <c r="L126" s="1433"/>
      <c r="M126" s="1454" t="str">
        <f>IF(H126="","",SUM(H126)-SUM(C126))</f>
        <v/>
      </c>
      <c r="N126" s="1454" t="str">
        <f>IF(I126="","",SUM(I126)-SUM(D126))</f>
        <v/>
      </c>
      <c r="O126" s="1454" t="str">
        <f>IF(J126="","",SUM(J126)-SUM(E126))</f>
        <v/>
      </c>
      <c r="P126" s="1454" t="str">
        <f>IF(K126="","",SUM(K126)-SUM(F126))</f>
        <v/>
      </c>
      <c r="Q126" s="1420"/>
      <c r="R126" s="1402"/>
      <c r="S126" s="1403"/>
      <c r="T126" s="1403"/>
      <c r="U126" s="1394">
        <v>126</v>
      </c>
      <c r="V126" s="1421"/>
    </row>
    <row r="127" spans="1:22" s="1422" customFormat="1" ht="15.75" hidden="1" customHeight="1">
      <c r="A127" s="1429" t="s">
        <v>185</v>
      </c>
      <c r="B127" s="1460"/>
      <c r="C127" s="1490">
        <f>IF(Data!BV127="","",Data!BV127)</f>
        <v>1</v>
      </c>
      <c r="D127" s="1490">
        <f>IF(Data!BW127="","",Data!BW127)</f>
        <v>1</v>
      </c>
      <c r="E127" s="1490">
        <f>IF(Data!BX127="","",Data!BX127)</f>
        <v>1</v>
      </c>
      <c r="F127" s="1490">
        <f>IF(Data!BY127="","",Data!BY127)</f>
        <v>1</v>
      </c>
      <c r="G127" s="1443"/>
      <c r="H127" s="1427"/>
      <c r="I127" s="1427"/>
      <c r="J127" s="1427"/>
      <c r="K127" s="1427"/>
      <c r="L127" s="1443"/>
      <c r="M127" s="1427"/>
      <c r="N127" s="1427"/>
      <c r="O127" s="1427"/>
      <c r="P127" s="1427"/>
      <c r="Q127" s="1420"/>
      <c r="R127" s="1402"/>
      <c r="S127" s="1403"/>
      <c r="T127" s="1403"/>
      <c r="U127" s="1394">
        <v>127</v>
      </c>
      <c r="V127" s="1421"/>
    </row>
    <row r="128" spans="1:22" s="1422" customFormat="1" ht="15.75" hidden="1" customHeight="1">
      <c r="A128" s="1429" t="s">
        <v>187</v>
      </c>
      <c r="B128" s="1455"/>
      <c r="C128" s="1488" t="str">
        <f>IF(Data!BV128="","",Data!BV128)</f>
        <v/>
      </c>
      <c r="D128" s="1488" t="str">
        <f>IF(Data!BW128="","",Data!BW128)</f>
        <v/>
      </c>
      <c r="E128" s="1488" t="str">
        <f>IF(Data!BX128="","",Data!BX128)</f>
        <v/>
      </c>
      <c r="F128" s="1488" t="str">
        <f>IF(Data!BY128="","",Data!BY128)</f>
        <v/>
      </c>
      <c r="G128" s="1443"/>
      <c r="H128" s="1457"/>
      <c r="I128" s="1457"/>
      <c r="J128" s="1457"/>
      <c r="K128" s="1457"/>
      <c r="L128" s="1443"/>
      <c r="M128" s="1427"/>
      <c r="N128" s="1427"/>
      <c r="O128" s="1427"/>
      <c r="P128" s="1427"/>
      <c r="Q128" s="1420"/>
      <c r="R128" s="1402"/>
      <c r="S128" s="1403"/>
      <c r="T128" s="1403"/>
      <c r="U128" s="1394">
        <v>128</v>
      </c>
      <c r="V128" s="1421"/>
    </row>
    <row r="129" spans="1:22" s="1422" customFormat="1" ht="15.75" hidden="1" customHeight="1">
      <c r="A129" s="1447" t="s">
        <v>953</v>
      </c>
      <c r="B129" s="1443"/>
      <c r="C129" s="1488" t="str">
        <f>IF(Data!BV129="","",Data!BV129)</f>
        <v/>
      </c>
      <c r="D129" s="1488" t="str">
        <f>IF(Data!BW129="","",Data!BW129)</f>
        <v/>
      </c>
      <c r="E129" s="1488" t="str">
        <f>IF(Data!BX129="","",Data!BX129)</f>
        <v/>
      </c>
      <c r="F129" s="1488" t="str">
        <f>IF(Data!BY129="","",Data!BY129)</f>
        <v/>
      </c>
      <c r="G129" s="1443"/>
      <c r="H129" s="1427"/>
      <c r="I129" s="1427"/>
      <c r="J129" s="1427"/>
      <c r="K129" s="1427"/>
      <c r="L129" s="1443"/>
      <c r="M129" s="1427"/>
      <c r="N129" s="1427"/>
      <c r="O129" s="1427"/>
      <c r="P129" s="1427"/>
      <c r="Q129" s="1420"/>
      <c r="R129" s="1445"/>
      <c r="S129" s="1446"/>
      <c r="T129" s="1446"/>
      <c r="U129" s="1394">
        <v>129</v>
      </c>
      <c r="V129" s="1421"/>
    </row>
    <row r="130" spans="1:22" s="1422" customFormat="1" ht="15.75" hidden="1" customHeight="1">
      <c r="A130" s="1382" t="s">
        <v>218</v>
      </c>
      <c r="B130" s="1443"/>
      <c r="C130" s="1488">
        <f>IF(Data!BV130="","",Data!BV130)</f>
        <v>45</v>
      </c>
      <c r="D130" s="1488">
        <f>IF(Data!BW130="","",Data!BW130)</f>
        <v>45</v>
      </c>
      <c r="E130" s="1488">
        <f>IF(Data!BX130="","",Data!BX130)</f>
        <v>45</v>
      </c>
      <c r="F130" s="1488">
        <f>IF(Data!BY130="","",Data!BY130)</f>
        <v>45</v>
      </c>
      <c r="G130" s="1431"/>
      <c r="H130" s="1427"/>
      <c r="I130" s="1427"/>
      <c r="J130" s="1427"/>
      <c r="K130" s="1427"/>
      <c r="L130" s="1431"/>
      <c r="M130" s="1427"/>
      <c r="N130" s="1427"/>
      <c r="O130" s="1427"/>
      <c r="P130" s="1427"/>
      <c r="Q130" s="1420"/>
      <c r="R130" s="1402"/>
      <c r="S130" s="1403"/>
      <c r="T130" s="1403"/>
      <c r="U130" s="1394">
        <v>130</v>
      </c>
      <c r="V130" s="1421"/>
    </row>
    <row r="131" spans="1:22" s="1422" customFormat="1" ht="15.75" hidden="1" customHeight="1">
      <c r="A131" s="1428" t="s">
        <v>173</v>
      </c>
      <c r="B131" s="1431"/>
      <c r="C131" s="1488" t="str">
        <f>IF(Data!BV131="","",Data!BV131)</f>
        <v/>
      </c>
      <c r="D131" s="1488" t="str">
        <f>IF(Data!BW131="","",Data!BW131)</f>
        <v/>
      </c>
      <c r="E131" s="1488" t="str">
        <f>IF(Data!BX131="","",Data!BX131)</f>
        <v/>
      </c>
      <c r="F131" s="1488" t="str">
        <f>IF(Data!BY131="","",Data!BY131)</f>
        <v/>
      </c>
      <c r="G131" s="1433"/>
      <c r="H131" s="1427"/>
      <c r="I131" s="1427"/>
      <c r="J131" s="1427"/>
      <c r="K131" s="1427"/>
      <c r="L131" s="1433"/>
      <c r="M131" s="1449"/>
      <c r="N131" s="1449"/>
      <c r="O131" s="1449"/>
      <c r="P131" s="1449"/>
      <c r="Q131" s="1420"/>
      <c r="R131" s="1445"/>
      <c r="S131" s="1446"/>
      <c r="T131" s="1446"/>
      <c r="U131" s="1394">
        <v>131</v>
      </c>
      <c r="V131" s="1421"/>
    </row>
    <row r="132" spans="1:22" s="1422" customFormat="1" ht="15.75" hidden="1" customHeight="1">
      <c r="A132" s="1428" t="s">
        <v>177</v>
      </c>
      <c r="B132" s="1412"/>
      <c r="C132" s="1463" t="str">
        <f>IF(C131="","",IF(C129="",C120*C130*C131,C129*C130*C131))</f>
        <v/>
      </c>
      <c r="D132" s="1463" t="str">
        <f>IF(D131="","",IF(D129="",D120*D130*D131,D129*D130*D131))</f>
        <v/>
      </c>
      <c r="E132" s="1463" t="str">
        <f>IF(E131="","",IF(E129="",E120*E130*E131,E129*E130*E131))</f>
        <v/>
      </c>
      <c r="F132" s="1463" t="str">
        <f>IF(F131="","",IF(F129="",F120*F130*F131,F129*F130*F131))</f>
        <v/>
      </c>
      <c r="G132" s="1433"/>
      <c r="H132" s="1427"/>
      <c r="I132" s="1427"/>
      <c r="J132" s="1427"/>
      <c r="K132" s="1427"/>
      <c r="L132" s="1433"/>
      <c r="M132" s="1449"/>
      <c r="N132" s="1449"/>
      <c r="O132" s="1449"/>
      <c r="P132" s="1449"/>
      <c r="Q132" s="1420"/>
      <c r="R132" s="1402"/>
      <c r="S132" s="1403"/>
      <c r="T132" s="1403"/>
      <c r="U132" s="1394">
        <v>132</v>
      </c>
      <c r="V132" s="1421"/>
    </row>
    <row r="133" spans="1:22" s="1422" customFormat="1" ht="15.75" hidden="1" customHeight="1">
      <c r="A133" s="1428" t="s">
        <v>179</v>
      </c>
      <c r="B133" s="1431"/>
      <c r="C133" s="1488" t="str">
        <f>IF(Data!BV133="","",Data!BV133)</f>
        <v/>
      </c>
      <c r="D133" s="1488" t="str">
        <f>IF(Data!BW133="","",Data!BW133)</f>
        <v/>
      </c>
      <c r="E133" s="1488" t="str">
        <f>IF(Data!BX133="","",Data!BX133)</f>
        <v/>
      </c>
      <c r="F133" s="1488" t="str">
        <f>IF(Data!BY133="","",Data!BY133)</f>
        <v/>
      </c>
      <c r="G133" s="1433"/>
      <c r="H133" s="1452" t="str">
        <f>IF(SUM(C133)&gt;0,MIN(C132-H137-SUM(C137)*(H137=""),C133*'Exp factors'!C$8),"")</f>
        <v/>
      </c>
      <c r="I133" s="1452" t="str">
        <f>IF(SUM(D133)&gt;0,MIN(D132-I137-SUM(D137)*(I137=""),D133*'Exp factors'!D$8),"")</f>
        <v/>
      </c>
      <c r="J133" s="1452" t="str">
        <f>IF(SUM(E133)&gt;0,MIN(E132-J137-SUM(E137)*(J137=""),E133*'Exp factors'!E$8),"")</f>
        <v/>
      </c>
      <c r="K133" s="1452" t="str">
        <f>IF(SUM(F133)&gt;0,MIN(F132-K137-SUM(F137)*(K137=""),F133*'Exp factors'!F$8),"")</f>
        <v/>
      </c>
      <c r="L133" s="1433"/>
      <c r="M133" s="1449"/>
      <c r="N133" s="1449"/>
      <c r="O133" s="1449"/>
      <c r="P133" s="1449"/>
      <c r="Q133" s="1420"/>
      <c r="R133" s="1402"/>
      <c r="S133" s="1403"/>
      <c r="T133" s="1403"/>
      <c r="U133" s="1394">
        <v>133</v>
      </c>
      <c r="V133" s="1421"/>
    </row>
    <row r="134" spans="1:22" s="1422" customFormat="1" ht="15.75" hidden="1" customHeight="1">
      <c r="A134" s="1428" t="s">
        <v>181</v>
      </c>
      <c r="B134" s="1433"/>
      <c r="C134" s="1488" t="str">
        <f>IF(Data!BV134="","",Data!BV134)</f>
        <v/>
      </c>
      <c r="D134" s="1488" t="str">
        <f>IF(Data!BW134="","",Data!BW134)</f>
        <v/>
      </c>
      <c r="E134" s="1488" t="str">
        <f>IF(Data!BX134="","",Data!BX134)</f>
        <v/>
      </c>
      <c r="F134" s="1488" t="str">
        <f>IF(Data!BY134="","",Data!BY134)</f>
        <v/>
      </c>
      <c r="G134" s="1433"/>
      <c r="H134" s="1427"/>
      <c r="I134" s="1427"/>
      <c r="J134" s="1427"/>
      <c r="K134" s="1427"/>
      <c r="L134" s="1433"/>
      <c r="M134" s="1449"/>
      <c r="N134" s="1449"/>
      <c r="O134" s="1449"/>
      <c r="P134" s="1449"/>
      <c r="Q134" s="1420"/>
      <c r="R134" s="1445"/>
      <c r="S134" s="1446"/>
      <c r="T134" s="1446"/>
      <c r="U134" s="1394">
        <v>134</v>
      </c>
      <c r="V134" s="1421"/>
    </row>
    <row r="135" spans="1:22" s="1422" customFormat="1" ht="15.75" hidden="1" customHeight="1">
      <c r="A135" s="1462" t="s">
        <v>183</v>
      </c>
      <c r="B135" s="1432"/>
      <c r="C135" s="1454" t="str">
        <f>IF(SUM(C133)=0,"",C133*C134)</f>
        <v/>
      </c>
      <c r="D135" s="1454" t="str">
        <f>IF(SUM(D133)=0,"",D133*D134)</f>
        <v/>
      </c>
      <c r="E135" s="1454" t="str">
        <f>IF(SUM(E133)=0,"",E133*E134)</f>
        <v/>
      </c>
      <c r="F135" s="1454" t="str">
        <f>IF(SUM(F133)=0,"",F133*F134)</f>
        <v/>
      </c>
      <c r="G135" s="1453"/>
      <c r="H135" s="1463" t="str">
        <f>IF(H133="","",H133*C134)</f>
        <v/>
      </c>
      <c r="I135" s="1463" t="str">
        <f>IF(I133="","",I133*D134)</f>
        <v/>
      </c>
      <c r="J135" s="1463" t="str">
        <f>IF(J133="","",J133*E134)</f>
        <v/>
      </c>
      <c r="K135" s="1463" t="str">
        <f>IF(K133="","",K133*F134)</f>
        <v/>
      </c>
      <c r="L135" s="1453"/>
      <c r="M135" s="1454" t="str">
        <f>IF(H135="","",SUM(H135)-SUM(C135))</f>
        <v/>
      </c>
      <c r="N135" s="1454" t="str">
        <f>IF(I135="","",SUM(I135)-SUM(D135))</f>
        <v/>
      </c>
      <c r="O135" s="1454" t="str">
        <f>IF(J135="","",SUM(J135)-SUM(E135))</f>
        <v/>
      </c>
      <c r="P135" s="1454" t="str">
        <f>IF(K135="","",SUM(K135)-SUM(F135))</f>
        <v/>
      </c>
      <c r="Q135" s="1420"/>
      <c r="R135" s="1402"/>
      <c r="S135" s="1403"/>
      <c r="T135" s="1403"/>
      <c r="U135" s="1394">
        <v>135</v>
      </c>
      <c r="V135" s="1421"/>
    </row>
    <row r="136" spans="1:22" ht="15.75" hidden="1" customHeight="1">
      <c r="A136" s="1429" t="s">
        <v>185</v>
      </c>
      <c r="B136" s="1433"/>
      <c r="C136" s="1490">
        <f>IF(Data!BV136="","",Data!BV136)</f>
        <v>1</v>
      </c>
      <c r="D136" s="1490">
        <f>IF(Data!BW136="","",Data!BW136)</f>
        <v>1</v>
      </c>
      <c r="E136" s="1490">
        <f>IF(Data!BX136="","",Data!BX136)</f>
        <v>1</v>
      </c>
      <c r="F136" s="1490">
        <f>IF(Data!BY136="","",Data!BY136)</f>
        <v>1</v>
      </c>
      <c r="G136" s="1455"/>
      <c r="H136" s="1427"/>
      <c r="I136" s="1427"/>
      <c r="J136" s="1427"/>
      <c r="K136" s="1427"/>
      <c r="L136" s="1455"/>
      <c r="M136" s="1427"/>
      <c r="N136" s="1427"/>
      <c r="O136" s="1427"/>
      <c r="P136" s="1427"/>
      <c r="Q136" s="1464"/>
      <c r="R136" s="1402"/>
      <c r="S136" s="1403"/>
      <c r="T136" s="1403"/>
      <c r="U136" s="1394">
        <v>136</v>
      </c>
      <c r="V136" s="1421"/>
    </row>
    <row r="137" spans="1:22" s="1422" customFormat="1" ht="15.75" hidden="1" customHeight="1">
      <c r="A137" s="1429" t="s">
        <v>187</v>
      </c>
      <c r="B137" s="1455"/>
      <c r="C137" s="1488" t="str">
        <f>IF(Data!BV137="","",Data!BV137)</f>
        <v/>
      </c>
      <c r="D137" s="1488" t="str">
        <f>IF(Data!BW137="","",Data!BW137)</f>
        <v/>
      </c>
      <c r="E137" s="1488" t="str">
        <f>IF(Data!BX137="","",Data!BX137)</f>
        <v/>
      </c>
      <c r="F137" s="1488" t="str">
        <f>IF(Data!BY137="","",Data!BY137)</f>
        <v/>
      </c>
      <c r="G137" s="1443"/>
      <c r="H137" s="1457"/>
      <c r="I137" s="1457"/>
      <c r="J137" s="1457"/>
      <c r="K137" s="1457"/>
      <c r="L137" s="1443"/>
      <c r="M137" s="1427"/>
      <c r="N137" s="1427"/>
      <c r="O137" s="1427"/>
      <c r="P137" s="1427"/>
      <c r="Q137" s="1420"/>
      <c r="R137" s="1402"/>
      <c r="S137" s="1403"/>
      <c r="T137" s="1403"/>
      <c r="U137" s="1394">
        <v>137</v>
      </c>
      <c r="V137" s="1421"/>
    </row>
    <row r="138" spans="1:22" ht="15.75" hidden="1" customHeight="1">
      <c r="A138" s="1429" t="s">
        <v>220</v>
      </c>
      <c r="B138" s="1443"/>
      <c r="C138" s="1468" t="str">
        <f>IF(SUM(C123,C132)&gt;0,SUM(C124,C133)/SUM(C123,C132),"")</f>
        <v/>
      </c>
      <c r="D138" s="1468" t="str">
        <f>IF(SUM(D123,D132)&gt;0,SUM(D124,D133)/SUM(D123,D132),"")</f>
        <v/>
      </c>
      <c r="E138" s="1468" t="str">
        <f>IF(SUM(E123,E132)&gt;0,SUM(E124,E133)/SUM(E123,E132),"")</f>
        <v/>
      </c>
      <c r="F138" s="1468" t="str">
        <f>IF(SUM(F123,F132)&gt;0,SUM(F124,F133)/SUM(F123,F132),"")</f>
        <v/>
      </c>
      <c r="G138" s="1455"/>
      <c r="H138" s="1468" t="str">
        <f>IF(SUM(C123,C132)&gt;0,SUM(H124,SUM(C124)*(SUM(H124)=0),H133,SUM(C133)*(SUM(H133)=0))/SUM(C123,C132),"")</f>
        <v/>
      </c>
      <c r="I138" s="1468" t="str">
        <f>IF(SUM(D123,D132)&gt;0,SUM(I124,SUM(D124)*(SUM(I124)=0),I133,SUM(D133)*(SUM(I133)=0))/SUM(D123,D132),"")</f>
        <v/>
      </c>
      <c r="J138" s="1468" t="str">
        <f>IF(SUM(E123,E132)&gt;0,SUM(J124,SUM(E124)*(SUM(J124)=0),J133,SUM(E133)*(SUM(J133)=0))/SUM(E123,E132),"")</f>
        <v/>
      </c>
      <c r="K138" s="1468" t="str">
        <f>IF(SUM(F123,F132)&gt;0,SUM(K124,SUM(F124)*(SUM(K124)=0),K133,SUM(F133)*(SUM(K133)=0))/SUM(F123,F132),"")</f>
        <v/>
      </c>
      <c r="L138" s="1455"/>
      <c r="M138" s="1449"/>
      <c r="N138" s="1449"/>
      <c r="O138" s="1449"/>
      <c r="P138" s="1449"/>
      <c r="Q138" s="1464"/>
      <c r="R138" s="1392"/>
      <c r="S138" s="1393"/>
      <c r="T138" s="1393"/>
      <c r="U138" s="1394">
        <v>138</v>
      </c>
      <c r="V138" s="1421"/>
    </row>
    <row r="139" spans="1:22" ht="15.75" hidden="1" customHeight="1">
      <c r="A139" s="1429" t="s">
        <v>196</v>
      </c>
      <c r="B139" s="1431"/>
      <c r="C139" s="1471" t="str">
        <f>IF(SUM(C123,C132)=0,"",SUM(C123,-SUM(C124)*C127,-SUM(C128)*C127,C132,-SUM(C133)*C136,-SUM(C137)*C136)*0.098)</f>
        <v/>
      </c>
      <c r="D139" s="1471" t="str">
        <f>IF(SUM(D123,D132)=0,"",SUM(D123,-SUM(D124)*D127,-SUM(D128)*D127,D132,-SUM(D133)*D136,-SUM(D137)*D136)*0.098)</f>
        <v/>
      </c>
      <c r="E139" s="1471" t="str">
        <f>IF(SUM(E123,E132)=0,"",SUM(E123,-SUM(E124)*E127,-SUM(E128)*E127,E132,-SUM(E133)*E136,-SUM(E137)*E136)*0.098)</f>
        <v/>
      </c>
      <c r="F139" s="1471" t="str">
        <f>IF(SUM(F123,F132)=0,"",SUM(F123,-SUM(F124)*F127,-SUM(F128)*F127,F132,-SUM(F133)*F136,-SUM(F137)*F136)*0.098)</f>
        <v/>
      </c>
      <c r="G139" s="1458"/>
      <c r="H139" s="1471" t="str">
        <f>IF(SUM(C123,C132)=0,"",(SUM(C123)-(SUM(C124)*(H124="")+SUM(C128)*(H128="")+SUM(H124,H128))*C127+SUM(C132)-(SUM(C133)*(H133="")+SUM(C137)*(H137="")+SUM(H133,H137))*C136)*0.098)</f>
        <v/>
      </c>
      <c r="I139" s="1471" t="str">
        <f>IF(SUM(D123,D132)=0,"",(SUM(D123)-(SUM(D124)*(I124="")+SUM(D128)*(I128="")+SUM(I124,I128))*D127+SUM(D132)-(SUM(D133)*(I133="")+SUM(D137)*(I137="")+SUM(I133,I137))*D136)*0.098)</f>
        <v/>
      </c>
      <c r="J139" s="1471" t="str">
        <f>IF(SUM(E123,E132)=0,"",(SUM(E123)-(SUM(E124)*(J124="")+SUM(E128)*(J128="")+SUM(J124,J128))*E127+SUM(E132)-(SUM(E133)*(J133="")+SUM(E137)*(J137="")+SUM(J133,J137))*E136)*0.098)</f>
        <v/>
      </c>
      <c r="K139" s="1471" t="str">
        <f>IF(SUM(F123,F132)=0,"",(SUM(F123)-(SUM(F124)*(K124="")+SUM(F128)*(K128="")+SUM(K124,K128))*F127+SUM(F132)-(SUM(F133)*(K133="")+SUM(F137)*(K137="")+SUM(K133,K137))*F136)*0.098)</f>
        <v/>
      </c>
      <c r="L139" s="1458"/>
      <c r="M139" s="1449"/>
      <c r="N139" s="1449"/>
      <c r="O139" s="1449"/>
      <c r="P139" s="1449"/>
      <c r="Q139" s="1464"/>
      <c r="R139" s="1402"/>
      <c r="S139" s="1403"/>
      <c r="T139" s="1403"/>
      <c r="U139" s="1394">
        <v>139</v>
      </c>
      <c r="V139" s="1421"/>
    </row>
    <row r="140" spans="1:22" ht="15.75" hidden="1" customHeight="1">
      <c r="A140" s="1382" t="s">
        <v>197</v>
      </c>
      <c r="B140" s="1412"/>
      <c r="C140" s="1488" t="str">
        <f>IF(Data!BV140="","",Data!BV140)</f>
        <v/>
      </c>
      <c r="D140" s="1488" t="str">
        <f>IF(Data!BW140="","",Data!BW140)</f>
        <v/>
      </c>
      <c r="E140" s="1488" t="str">
        <f>IF(Data!BX140="","",Data!BX140)</f>
        <v/>
      </c>
      <c r="F140" s="1488" t="str">
        <f>IF(Data!BY140="","",Data!BY140)</f>
        <v/>
      </c>
      <c r="G140" s="1458"/>
      <c r="H140" s="1472"/>
      <c r="I140" s="1472"/>
      <c r="J140" s="1472"/>
      <c r="K140" s="1472"/>
      <c r="L140" s="1458"/>
      <c r="M140" s="1473"/>
      <c r="N140" s="1473"/>
      <c r="O140" s="1473"/>
      <c r="P140" s="1473"/>
      <c r="Q140" s="1464"/>
      <c r="R140" s="1445"/>
      <c r="S140" s="1446"/>
      <c r="T140" s="1446"/>
      <c r="U140" s="1394">
        <v>140</v>
      </c>
      <c r="V140" s="1421"/>
    </row>
    <row r="141" spans="1:22" ht="15.75" hidden="1" customHeight="1">
      <c r="A141" s="1429" t="s">
        <v>198</v>
      </c>
      <c r="B141" s="1431"/>
      <c r="C141" s="1488" t="str">
        <f>IF(Data!BV141="","",Data!BV141)</f>
        <v/>
      </c>
      <c r="D141" s="1488" t="str">
        <f>IF(Data!BW141="","",Data!BW141)</f>
        <v/>
      </c>
      <c r="E141" s="1488" t="str">
        <f>IF(Data!BX141="","",Data!BX141)</f>
        <v/>
      </c>
      <c r="F141" s="1488" t="str">
        <f>IF(Data!BY141="","",Data!BY141)</f>
        <v/>
      </c>
      <c r="G141" s="1459"/>
      <c r="H141" s="1474" t="str">
        <f>IF(SUM(C141)&gt;0,MIN(H139-H140-SUM(C140)*(H140=""),C141*'Exp factors'!C$8),"")</f>
        <v/>
      </c>
      <c r="I141" s="1474" t="str">
        <f>IF(SUM(D141)&gt;0,MIN(I139-I140-SUM(D140)*(I140=""),D141*'Exp factors'!D$8),"")</f>
        <v/>
      </c>
      <c r="J141" s="1474" t="str">
        <f>IF(SUM(E141)&gt;0,MIN(J139-J140-SUM(E140)*(J140=""),E141*'Exp factors'!E$8),"")</f>
        <v/>
      </c>
      <c r="K141" s="1474" t="str">
        <f>IF(SUM(F141)&gt;0,MIN(K139-K140-SUM(F140)*(K140=""),F141*'Exp factors'!F$8),"")</f>
        <v/>
      </c>
      <c r="L141" s="1459"/>
      <c r="M141" s="1473"/>
      <c r="N141" s="1473"/>
      <c r="O141" s="1473"/>
      <c r="P141" s="1473"/>
      <c r="Q141" s="1464"/>
      <c r="R141" s="1445"/>
      <c r="S141" s="1446"/>
      <c r="T141" s="1446"/>
      <c r="U141" s="1394">
        <v>141</v>
      </c>
      <c r="V141" s="1421"/>
    </row>
    <row r="142" spans="1:22" ht="15.75" hidden="1" customHeight="1">
      <c r="A142" s="1428" t="s">
        <v>200</v>
      </c>
      <c r="B142" s="1433"/>
      <c r="C142" s="1488" t="str">
        <f>IF(Data!BV142="","",Data!BV142)</f>
        <v/>
      </c>
      <c r="D142" s="1488" t="str">
        <f>IF(Data!BW142="","",Data!BW142)</f>
        <v/>
      </c>
      <c r="E142" s="1488" t="str">
        <f>IF(Data!BX142="","",Data!BX142)</f>
        <v/>
      </c>
      <c r="F142" s="1488" t="str">
        <f>IF(Data!BY142="","",Data!BY142)</f>
        <v/>
      </c>
      <c r="G142" s="1460"/>
      <c r="H142" s="1427"/>
      <c r="I142" s="1427"/>
      <c r="J142" s="1427"/>
      <c r="K142" s="1427"/>
      <c r="L142" s="1460"/>
      <c r="M142" s="1477"/>
      <c r="N142" s="1477"/>
      <c r="O142" s="1477"/>
      <c r="P142" s="1477"/>
      <c r="Q142" s="1478"/>
      <c r="R142" s="1445"/>
      <c r="S142" s="1446"/>
      <c r="T142" s="1446"/>
      <c r="U142" s="1394">
        <v>142</v>
      </c>
      <c r="V142" s="1421"/>
    </row>
    <row r="143" spans="1:22" s="1482" customFormat="1" ht="15.75" hidden="1" customHeight="1">
      <c r="A143" s="1382" t="s">
        <v>202</v>
      </c>
      <c r="B143" s="1433"/>
      <c r="C143" s="1454" t="str">
        <f>IF(SUM(C141)=0,"",C141*C142)</f>
        <v/>
      </c>
      <c r="D143" s="1454" t="str">
        <f>IF(SUM(D141)=0,"",D141*D142)</f>
        <v/>
      </c>
      <c r="E143" s="1454" t="str">
        <f>IF(SUM(E141)=0,"",E141*E142)</f>
        <v/>
      </c>
      <c r="F143" s="1454" t="str">
        <f>IF(SUM(F141)=0,"",F141*F142)</f>
        <v/>
      </c>
      <c r="G143" s="1461"/>
      <c r="H143" s="1463" t="str">
        <f>IF(H141="","",H141*C142)</f>
        <v/>
      </c>
      <c r="I143" s="1463" t="str">
        <f>IF(I141="","",I141*D142)</f>
        <v/>
      </c>
      <c r="J143" s="1463" t="str">
        <f>IF(J141="","",J141*E142)</f>
        <v/>
      </c>
      <c r="K143" s="1463" t="str">
        <f>IF(K141="","",K141*F142)</f>
        <v/>
      </c>
      <c r="L143" s="1461"/>
      <c r="M143" s="1454" t="str">
        <f t="shared" ref="M143:P145" si="36">IF(H143="","",SUM(H143)-SUM(C143))</f>
        <v/>
      </c>
      <c r="N143" s="1454" t="str">
        <f t="shared" si="36"/>
        <v/>
      </c>
      <c r="O143" s="1454" t="str">
        <f t="shared" si="36"/>
        <v/>
      </c>
      <c r="P143" s="1454" t="str">
        <f t="shared" si="36"/>
        <v/>
      </c>
      <c r="Q143" s="1480"/>
      <c r="R143" s="1402"/>
      <c r="S143" s="1403"/>
      <c r="T143" s="1403"/>
      <c r="U143" s="1394">
        <v>143</v>
      </c>
      <c r="V143" s="1481"/>
    </row>
    <row r="144" spans="1:22" ht="15.75" hidden="1" customHeight="1">
      <c r="A144" s="1382" t="s">
        <v>213</v>
      </c>
      <c r="B144" s="1431"/>
      <c r="C144" s="1483" t="str">
        <f>IF(C139="","",(SUM(C123)*4522-SUM(C124,C128)*(4522-3098*(C127=0))-SUM(C140,C141)*32930)/$P$1/365/C$46)</f>
        <v/>
      </c>
      <c r="D144" s="1483" t="str">
        <f>IF(D139="","",(SUM(D123)*4522-SUM(D124,D128)*(4522-3098*(D127=0))-SUM(D140,D141)*32930)/$P$1/365/D$46)</f>
        <v/>
      </c>
      <c r="E144" s="1483" t="str">
        <f>IF(E139="","",(SUM(E123)*4522-SUM(E124,E128)*(4522-3098*(E127=0))-SUM(E140,E141)*32930)/$P$1/365/E$46)</f>
        <v/>
      </c>
      <c r="F144" s="1483" t="str">
        <f>IF(F139="","",(SUM(F123)*4522-SUM(F124,F128)*(4522-3098*(F127=0))-SUM(F140,F141)*32930)/$P$1/365/F$46)</f>
        <v/>
      </c>
      <c r="G144" s="1443"/>
      <c r="H144" s="148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8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8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8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43"/>
      <c r="M144" s="1484" t="str">
        <f t="shared" si="36"/>
        <v/>
      </c>
      <c r="N144" s="1484" t="str">
        <f t="shared" si="36"/>
        <v/>
      </c>
      <c r="O144" s="1484" t="str">
        <f t="shared" si="36"/>
        <v/>
      </c>
      <c r="P144" s="1484" t="str">
        <f t="shared" si="36"/>
        <v/>
      </c>
      <c r="Q144" s="1464"/>
      <c r="R144" s="1392"/>
      <c r="S144" s="1393"/>
      <c r="T144" s="1393"/>
      <c r="U144" s="1394">
        <v>144</v>
      </c>
      <c r="V144" s="1421"/>
    </row>
    <row r="145" spans="1:22" ht="15.75" hidden="1" customHeight="1">
      <c r="A145" s="1382" t="s">
        <v>214</v>
      </c>
      <c r="B145" s="1431"/>
      <c r="C145" s="1483" t="str">
        <f>IF(C139="","",(SUM(C132)*4522-SUM(C133,C137)*(4522-3098*(C136=0)))/$P$1/365/C$46)</f>
        <v/>
      </c>
      <c r="D145" s="1483" t="str">
        <f>IF(D139="","",(SUM(D132)*4522-SUM(D133,D137)*(4522-3098*(D136=0)))/$P$1/365/D$46)</f>
        <v/>
      </c>
      <c r="E145" s="1483" t="str">
        <f>IF(E139="","",(SUM(E132)*4522-SUM(E133,E137)*(4522-3098*(E136=0)))/$P$1/365/E$46)</f>
        <v/>
      </c>
      <c r="F145" s="1483" t="str">
        <f>IF(F139="","",(SUM(F132)*4522-SUM(F133,F137)*(4522-3098*(F136=0)))/$P$1/365/F$46)</f>
        <v/>
      </c>
      <c r="G145" s="1443"/>
      <c r="H145" s="1483" t="str">
        <f>IF(AND(H124="",H128="",H133="",H137="",H141=""),"",(SUM(C132)*4522-(SUM(H133,H137)+SUM(C133)*(H133="")+SUM(C137)*(H137=""))*(4522-3098*(C136=0)))/$P$1/365/C$46)</f>
        <v/>
      </c>
      <c r="I145" s="1483" t="str">
        <f>IF(AND(I124="",I128="",I133="",I137="",I141=""),"",(SUM(D132)*4522-(SUM(I133,I137)+SUM(D133)*(I133="")+SUM(D137)*(I137=""))*(4522-3098*(D136=0)))/$P$1/365/D$46)</f>
        <v/>
      </c>
      <c r="J145" s="1483" t="str">
        <f>IF(AND(J124="",J128="",J133="",J137="",J141=""),"",(SUM(E132)*4522-(SUM(J133,J137)+SUM(E133)*(J133="")+SUM(E137)*(J137=""))*(4522-3098*(E136=0)))/$P$1/365/E$46)</f>
        <v/>
      </c>
      <c r="K145" s="1483" t="str">
        <f>IF(AND(K124="",K128="",K133="",K137="",K141=""),"",(SUM(F132)*4522-(SUM(K133,K137)+SUM(F133)*(K133="")+SUM(F137)*(K137=""))*(4522-3098*(F136=0)))/$P$1/365/F$46)</f>
        <v/>
      </c>
      <c r="L145" s="1443"/>
      <c r="M145" s="1484" t="str">
        <f t="shared" si="36"/>
        <v/>
      </c>
      <c r="N145" s="1484" t="str">
        <f t="shared" si="36"/>
        <v/>
      </c>
      <c r="O145" s="1484" t="str">
        <f t="shared" si="36"/>
        <v/>
      </c>
      <c r="P145" s="1484" t="str">
        <f t="shared" si="36"/>
        <v/>
      </c>
      <c r="Q145" s="1464"/>
      <c r="R145" s="1392"/>
      <c r="S145" s="1393"/>
      <c r="T145" s="1393"/>
      <c r="U145" s="1394">
        <v>145</v>
      </c>
      <c r="V145" s="1421"/>
    </row>
    <row r="146" spans="1:22" ht="15.75" hidden="1" customHeight="1">
      <c r="A146" s="1485" t="s">
        <v>221</v>
      </c>
      <c r="B146" s="1443"/>
      <c r="C146" s="1468" t="str">
        <f>IF(SUM(C139)&gt;0,SUM(C141)/C139,"")</f>
        <v/>
      </c>
      <c r="D146" s="1468" t="str">
        <f>IF(SUM(D139)&gt;0,SUM(D141)/D139,"")</f>
        <v/>
      </c>
      <c r="E146" s="1468" t="str">
        <f>IF(SUM(E139)&gt;0,SUM(E141)/E139,"")</f>
        <v/>
      </c>
      <c r="F146" s="1468" t="str">
        <f>IF(SUM(F139)&gt;0,SUM(F141)/F139,"")</f>
        <v/>
      </c>
      <c r="G146" s="1443"/>
      <c r="H146" s="1468" t="str">
        <f>IF(H139="","",SUM(H141)/H139)</f>
        <v/>
      </c>
      <c r="I146" s="1468" t="str">
        <f>IF(I139="","",SUM(I141)/I139)</f>
        <v/>
      </c>
      <c r="J146" s="1468" t="str">
        <f>IF(J139="","",SUM(J141)/J139)</f>
        <v/>
      </c>
      <c r="K146" s="1468" t="str">
        <f>IF(K139="","",SUM(K141)/K139)</f>
        <v/>
      </c>
      <c r="L146" s="1443"/>
      <c r="M146" s="1427"/>
      <c r="N146" s="1427"/>
      <c r="O146" s="1427"/>
      <c r="P146" s="1427"/>
      <c r="Q146" s="1464"/>
      <c r="R146" s="1392"/>
      <c r="S146" s="1393"/>
      <c r="T146" s="1393"/>
      <c r="U146" s="1394">
        <v>146</v>
      </c>
      <c r="V146" s="1421"/>
    </row>
    <row r="147" spans="1:22" s="1422" customFormat="1" ht="15.75" hidden="1" customHeight="1">
      <c r="A147" s="1486" t="s">
        <v>222</v>
      </c>
      <c r="B147" s="1412"/>
      <c r="C147" s="1441"/>
      <c r="D147" s="1441"/>
      <c r="E147" s="1441"/>
      <c r="F147" s="1444"/>
      <c r="G147" s="1412"/>
      <c r="H147" s="1427"/>
      <c r="I147" s="1427"/>
      <c r="J147" s="1427"/>
      <c r="K147" s="1427"/>
      <c r="L147" s="1412"/>
      <c r="M147" s="1425"/>
      <c r="N147" s="1425"/>
      <c r="O147" s="1425"/>
      <c r="P147" s="1425"/>
      <c r="Q147" s="1420"/>
      <c r="R147" s="1378"/>
      <c r="S147" s="1378"/>
      <c r="T147" s="1378"/>
      <c r="U147" s="1394">
        <v>147</v>
      </c>
      <c r="V147" s="1421"/>
    </row>
    <row r="148" spans="1:22" s="1422" customFormat="1" ht="15.75" hidden="1" customHeight="1">
      <c r="A148" s="1447" t="s">
        <v>952</v>
      </c>
      <c r="B148" s="1412"/>
      <c r="C148" s="1444">
        <f>IF(Data!BV148="","",Data!BV148)</f>
        <v>2</v>
      </c>
      <c r="D148" s="1444">
        <f>IF(Data!BW148="","",Data!BW148)</f>
        <v>5</v>
      </c>
      <c r="E148" s="1444">
        <f>IF(Data!BX148="","",Data!BX148)</f>
        <v>9.5</v>
      </c>
      <c r="F148" s="1444">
        <f>IF(Data!BY148="","",Data!BY148)</f>
        <v>13</v>
      </c>
      <c r="G148" s="1431"/>
      <c r="H148" s="1427"/>
      <c r="I148" s="1427"/>
      <c r="J148" s="1427"/>
      <c r="K148" s="1427"/>
      <c r="L148" s="1431"/>
      <c r="M148" s="1427"/>
      <c r="N148" s="1427"/>
      <c r="O148" s="1427"/>
      <c r="P148" s="1427"/>
      <c r="Q148" s="1420"/>
      <c r="R148" s="1445"/>
      <c r="S148" s="1446"/>
      <c r="T148" s="1446"/>
      <c r="U148" s="1394">
        <v>148</v>
      </c>
      <c r="V148" s="1421"/>
    </row>
    <row r="149" spans="1:22" s="1422" customFormat="1" ht="15.75" hidden="1" customHeight="1">
      <c r="A149" s="1382" t="s">
        <v>218</v>
      </c>
      <c r="B149" s="1433"/>
      <c r="C149" s="1444">
        <f>IF(Data!BV149="","",Data!BV149)</f>
        <v>45</v>
      </c>
      <c r="D149" s="1444">
        <f>IF(Data!BW149="","",Data!BW149)</f>
        <v>45</v>
      </c>
      <c r="E149" s="1444">
        <f>IF(Data!BX149="","",Data!BX149)</f>
        <v>45</v>
      </c>
      <c r="F149" s="1444">
        <f>IF(Data!BY149="","",Data!BY149)</f>
        <v>45</v>
      </c>
      <c r="G149" s="1431"/>
      <c r="H149" s="1427"/>
      <c r="I149" s="1427"/>
      <c r="J149" s="1427"/>
      <c r="K149" s="1427"/>
      <c r="L149" s="1431"/>
      <c r="M149" s="1427"/>
      <c r="N149" s="1427"/>
      <c r="O149" s="1427"/>
      <c r="P149" s="1427"/>
      <c r="Q149" s="1420"/>
      <c r="R149" s="1402"/>
      <c r="S149" s="1403"/>
      <c r="T149" s="1403"/>
      <c r="U149" s="1394">
        <v>149</v>
      </c>
      <c r="V149" s="1421"/>
    </row>
    <row r="150" spans="1:22" s="1422" customFormat="1" ht="15.75" hidden="1" customHeight="1">
      <c r="A150" s="1428" t="s">
        <v>173</v>
      </c>
      <c r="B150" s="1432"/>
      <c r="C150" s="1448" t="str">
        <f>IF(Data!BV150="","",Data!BV150)</f>
        <v/>
      </c>
      <c r="D150" s="1448" t="str">
        <f>IF(Data!BW150="","",Data!BW150)</f>
        <v/>
      </c>
      <c r="E150" s="1448" t="str">
        <f>IF(Data!BX150="","",Data!BX150)</f>
        <v/>
      </c>
      <c r="F150" s="1448" t="str">
        <f>IF(Data!BY150="","",Data!BY150)</f>
        <v/>
      </c>
      <c r="G150" s="1433"/>
      <c r="H150" s="1427"/>
      <c r="I150" s="1427"/>
      <c r="J150" s="1427"/>
      <c r="K150" s="1427"/>
      <c r="L150" s="1433"/>
      <c r="M150" s="1449"/>
      <c r="N150" s="1449"/>
      <c r="O150" s="1449"/>
      <c r="P150" s="1449"/>
      <c r="Q150" s="1420"/>
      <c r="R150" s="1445"/>
      <c r="S150" s="1446"/>
      <c r="T150" s="1446"/>
      <c r="U150" s="1394">
        <v>150</v>
      </c>
      <c r="V150" s="1421"/>
    </row>
    <row r="151" spans="1:22" s="1422" customFormat="1" ht="15.75" hidden="1" customHeight="1">
      <c r="A151" s="1428" t="s">
        <v>177</v>
      </c>
      <c r="B151" s="1433"/>
      <c r="C151" s="1463" t="str">
        <f>IF(C150="","",C148*C149*C150)</f>
        <v/>
      </c>
      <c r="D151" s="1463" t="str">
        <f>IF(D150="","",D148*D149*D150)</f>
        <v/>
      </c>
      <c r="E151" s="1463" t="str">
        <f>IF(E150="","",E148*E149*E150)</f>
        <v/>
      </c>
      <c r="F151" s="1479" t="str">
        <f>IF(F150="","",F148*F149*F150)</f>
        <v/>
      </c>
      <c r="G151" s="1432"/>
      <c r="H151" s="1427"/>
      <c r="I151" s="1427"/>
      <c r="J151" s="1427"/>
      <c r="K151" s="1427"/>
      <c r="L151" s="1432"/>
      <c r="M151" s="1449"/>
      <c r="N151" s="1449"/>
      <c r="O151" s="1449"/>
      <c r="P151" s="1449"/>
      <c r="Q151" s="1420"/>
      <c r="R151" s="1402"/>
      <c r="S151" s="1403"/>
      <c r="T151" s="1403"/>
      <c r="U151" s="1394">
        <v>151</v>
      </c>
      <c r="V151" s="1421"/>
    </row>
    <row r="152" spans="1:22" s="1422" customFormat="1" ht="15.75" hidden="1" customHeight="1">
      <c r="A152" s="1428" t="s">
        <v>179</v>
      </c>
      <c r="B152" s="1443"/>
      <c r="C152" s="1444" t="str">
        <f>IF(Data!BV152="","",Data!BV152)</f>
        <v/>
      </c>
      <c r="D152" s="1444" t="str">
        <f>IF(Data!BW152="","",Data!BW152)</f>
        <v/>
      </c>
      <c r="E152" s="1444" t="str">
        <f>IF(Data!BX152="","",Data!BX152)</f>
        <v/>
      </c>
      <c r="F152" s="1444" t="str">
        <f>IF(Data!BY152="","",Data!BY152)</f>
        <v/>
      </c>
      <c r="G152" s="1433"/>
      <c r="H152" s="1452" t="str">
        <f>IF(SUM(C152)&gt;0,MIN(C151-H156-SUM(C156)*(H156=""),C152*'Exp factors'!C$8),"")</f>
        <v/>
      </c>
      <c r="I152" s="1452" t="str">
        <f>IF(SUM(D152)&gt;0,MIN(D151-I156-SUM(D156)*(I156=""),D152*'Exp factors'!D$8),"")</f>
        <v/>
      </c>
      <c r="J152" s="1452" t="str">
        <f>IF(SUM(E152)&gt;0,MIN(E151-J156-SUM(E156)*(J156=""),E152*'Exp factors'!E$8),"")</f>
        <v/>
      </c>
      <c r="K152" s="1452" t="str">
        <f>IF(SUM(F152)&gt;0,MIN(F151-K156-SUM(F156)*(K156=""),F152*'Exp factors'!F$8),"")</f>
        <v/>
      </c>
      <c r="L152" s="1433"/>
      <c r="M152" s="1449"/>
      <c r="N152" s="1449"/>
      <c r="O152" s="1449"/>
      <c r="P152" s="1449"/>
      <c r="Q152" s="1420"/>
      <c r="R152" s="1402"/>
      <c r="S152" s="1403"/>
      <c r="T152" s="1403"/>
      <c r="U152" s="1394">
        <v>152</v>
      </c>
      <c r="V152" s="1421"/>
    </row>
    <row r="153" spans="1:22" s="1422" customFormat="1" ht="15.75" hidden="1" customHeight="1">
      <c r="A153" s="1428" t="s">
        <v>181</v>
      </c>
      <c r="B153" s="1465"/>
      <c r="C153" s="1444" t="str">
        <f>IF(Data!BV153="","",Data!BV153)</f>
        <v/>
      </c>
      <c r="D153" s="1444" t="str">
        <f>IF(Data!BW153="","",Data!BW153)</f>
        <v/>
      </c>
      <c r="E153" s="1444" t="str">
        <f>IF(Data!BX153="","",Data!BX153)</f>
        <v/>
      </c>
      <c r="F153" s="1444" t="str">
        <f>IF(Data!BY153="","",Data!BY153)</f>
        <v/>
      </c>
      <c r="G153" s="1433"/>
      <c r="H153" s="1427"/>
      <c r="I153" s="1427"/>
      <c r="J153" s="1427"/>
      <c r="K153" s="1427"/>
      <c r="L153" s="1433"/>
      <c r="M153" s="1449"/>
      <c r="N153" s="1449"/>
      <c r="O153" s="1449"/>
      <c r="P153" s="1449"/>
      <c r="Q153" s="1420"/>
      <c r="R153" s="1445"/>
      <c r="S153" s="1446"/>
      <c r="T153" s="1446"/>
      <c r="U153" s="1394">
        <v>153</v>
      </c>
      <c r="V153" s="1421"/>
    </row>
    <row r="154" spans="1:22" s="1422" customFormat="1" ht="15.75" hidden="1" customHeight="1">
      <c r="A154" s="1428" t="s">
        <v>183</v>
      </c>
      <c r="B154" s="1465"/>
      <c r="C154" s="1454" t="str">
        <f>IF(SUM(C152)=0,"",C152*C153)</f>
        <v/>
      </c>
      <c r="D154" s="1454" t="str">
        <f>IF(SUM(D152)=0,"",D152*D153)</f>
        <v/>
      </c>
      <c r="E154" s="1454" t="str">
        <f>IF(SUM(E152)=0,"",E152*E153)</f>
        <v/>
      </c>
      <c r="F154" s="1454" t="str">
        <f>IF(SUM(F152)=0,"",F152*F153)</f>
        <v/>
      </c>
      <c r="G154" s="1433"/>
      <c r="H154" s="1463" t="str">
        <f>IF(H152="","",H152*C153)</f>
        <v/>
      </c>
      <c r="I154" s="1463" t="str">
        <f>IF(I152="","",I152*D153)</f>
        <v/>
      </c>
      <c r="J154" s="1463" t="str">
        <f>IF(J152="","",J152*E153)</f>
        <v/>
      </c>
      <c r="K154" s="1463" t="str">
        <f>IF(K152="","",K152*F153)</f>
        <v/>
      </c>
      <c r="L154" s="1433"/>
      <c r="M154" s="1454" t="str">
        <f>IF(H154="","",SUM(H154)-SUM(C154))</f>
        <v/>
      </c>
      <c r="N154" s="1454" t="str">
        <f>IF(I154="","",SUM(I154)-SUM(D154))</f>
        <v/>
      </c>
      <c r="O154" s="1454" t="str">
        <f>IF(J154="","",SUM(J154)-SUM(E154))</f>
        <v/>
      </c>
      <c r="P154" s="1454" t="str">
        <f>IF(K154="","",SUM(K154)-SUM(F154))</f>
        <v/>
      </c>
      <c r="Q154" s="1420"/>
      <c r="R154" s="1402"/>
      <c r="S154" s="1403"/>
      <c r="T154" s="1403"/>
      <c r="U154" s="1394">
        <v>154</v>
      </c>
      <c r="V154" s="1421"/>
    </row>
    <row r="155" spans="1:22" s="1422" customFormat="1" ht="15.75" hidden="1" customHeight="1">
      <c r="A155" s="1429" t="s">
        <v>185</v>
      </c>
      <c r="B155" s="1465"/>
      <c r="C155" s="1450">
        <f>IF(Data!BV155="","",Data!BV155)</f>
        <v>1</v>
      </c>
      <c r="D155" s="1450">
        <f>IF(Data!BW155="","",Data!BW155)</f>
        <v>1</v>
      </c>
      <c r="E155" s="1450">
        <f>IF(Data!BX155="","",Data!BX155)</f>
        <v>1</v>
      </c>
      <c r="F155" s="1450">
        <f>IF(Data!BY155="","",Data!BY155)</f>
        <v>1</v>
      </c>
      <c r="G155" s="1443"/>
      <c r="H155" s="1427"/>
      <c r="I155" s="1427"/>
      <c r="J155" s="1427"/>
      <c r="K155" s="1427"/>
      <c r="L155" s="1443"/>
      <c r="M155" s="1427"/>
      <c r="N155" s="1427"/>
      <c r="O155" s="1427"/>
      <c r="P155" s="1427"/>
      <c r="Q155" s="1420"/>
      <c r="R155" s="1402"/>
      <c r="S155" s="1403"/>
      <c r="T155" s="1403"/>
      <c r="U155" s="1394">
        <v>155</v>
      </c>
      <c r="V155" s="1421"/>
    </row>
    <row r="156" spans="1:22" s="1422" customFormat="1" ht="15.75" hidden="1" customHeight="1">
      <c r="A156" s="1429" t="s">
        <v>187</v>
      </c>
      <c r="B156" s="1455"/>
      <c r="C156" s="1450" t="str">
        <f>IF(Data!BV156="","",Data!BV156)</f>
        <v/>
      </c>
      <c r="D156" s="1450" t="str">
        <f>IF(Data!BW156="","",Data!BW156)</f>
        <v/>
      </c>
      <c r="E156" s="1450" t="str">
        <f>IF(Data!BX156="","",Data!BX156)</f>
        <v/>
      </c>
      <c r="F156" s="1448" t="str">
        <f>IF(Data!BY156="","",Data!BY156)</f>
        <v/>
      </c>
      <c r="G156" s="1443"/>
      <c r="H156" s="1457"/>
      <c r="I156" s="1457"/>
      <c r="J156" s="1457"/>
      <c r="K156" s="1457"/>
      <c r="L156" s="1443"/>
      <c r="M156" s="1427"/>
      <c r="N156" s="1427"/>
      <c r="O156" s="1427"/>
      <c r="P156" s="1427"/>
      <c r="Q156" s="1420"/>
      <c r="R156" s="1402"/>
      <c r="S156" s="1403"/>
      <c r="T156" s="1403"/>
      <c r="U156" s="1394">
        <v>156</v>
      </c>
      <c r="V156" s="1421"/>
    </row>
    <row r="157" spans="1:22" s="1422" customFormat="1" ht="15.75" hidden="1" customHeight="1">
      <c r="A157" s="1447" t="s">
        <v>953</v>
      </c>
      <c r="B157" s="1465"/>
      <c r="C157" s="1448" t="str">
        <f>IF(Data!BV157="","",Data!BV157)</f>
        <v/>
      </c>
      <c r="D157" s="1448" t="str">
        <f>IF(Data!BW157="","",Data!BW157)</f>
        <v/>
      </c>
      <c r="E157" s="1448" t="str">
        <f>IF(Data!BX157="","",Data!BX157)</f>
        <v/>
      </c>
      <c r="F157" s="1448" t="str">
        <f>IF(Data!BY157="","",Data!BY157)</f>
        <v/>
      </c>
      <c r="G157" s="1443"/>
      <c r="H157" s="1427"/>
      <c r="I157" s="1427"/>
      <c r="J157" s="1427"/>
      <c r="K157" s="1427"/>
      <c r="L157" s="1443"/>
      <c r="M157" s="1427"/>
      <c r="N157" s="1427"/>
      <c r="O157" s="1427"/>
      <c r="P157" s="1427"/>
      <c r="Q157" s="1420"/>
      <c r="R157" s="1445"/>
      <c r="S157" s="1446"/>
      <c r="T157" s="1446"/>
      <c r="U157" s="1394">
        <v>157</v>
      </c>
      <c r="V157" s="1421"/>
    </row>
    <row r="158" spans="1:22" s="1422" customFormat="1" ht="15.75" hidden="1" customHeight="1">
      <c r="A158" s="1382" t="s">
        <v>218</v>
      </c>
      <c r="B158" s="1412"/>
      <c r="C158" s="1448">
        <f>IF(Data!BV158="","",Data!BV158)</f>
        <v>45</v>
      </c>
      <c r="D158" s="1448">
        <f>IF(Data!BW158="","",Data!BW158)</f>
        <v>45</v>
      </c>
      <c r="E158" s="1448">
        <f>IF(Data!BX158="","",Data!BX158)</f>
        <v>45</v>
      </c>
      <c r="F158" s="1448">
        <f>IF(Data!BY158="","",Data!BY158)</f>
        <v>45</v>
      </c>
      <c r="G158" s="1431"/>
      <c r="H158" s="1427"/>
      <c r="I158" s="1427"/>
      <c r="J158" s="1427"/>
      <c r="K158" s="1427"/>
      <c r="L158" s="1431"/>
      <c r="M158" s="1427"/>
      <c r="N158" s="1427"/>
      <c r="O158" s="1427"/>
      <c r="P158" s="1427"/>
      <c r="Q158" s="1420"/>
      <c r="R158" s="1402"/>
      <c r="S158" s="1403"/>
      <c r="T158" s="1403"/>
      <c r="U158" s="1394">
        <v>158</v>
      </c>
      <c r="V158" s="1421"/>
    </row>
    <row r="159" spans="1:22" s="1422" customFormat="1" ht="15.75" hidden="1" customHeight="1">
      <c r="A159" s="1428" t="s">
        <v>173</v>
      </c>
      <c r="B159" s="1431"/>
      <c r="C159" s="1448" t="str">
        <f>IF(Data!BV159="","",Data!BV159)</f>
        <v/>
      </c>
      <c r="D159" s="1448" t="str">
        <f>IF(Data!BW159="","",Data!BW159)</f>
        <v/>
      </c>
      <c r="E159" s="1448" t="str">
        <f>IF(Data!BX159="","",Data!BX159)</f>
        <v/>
      </c>
      <c r="F159" s="1448" t="str">
        <f>IF(Data!BY159="","",Data!BY159)</f>
        <v/>
      </c>
      <c r="G159" s="1433"/>
      <c r="H159" s="1427"/>
      <c r="I159" s="1427"/>
      <c r="J159" s="1427"/>
      <c r="K159" s="1427"/>
      <c r="L159" s="1433"/>
      <c r="M159" s="1449"/>
      <c r="N159" s="1449"/>
      <c r="O159" s="1449"/>
      <c r="P159" s="1449"/>
      <c r="Q159" s="1420"/>
      <c r="R159" s="1445"/>
      <c r="S159" s="1446"/>
      <c r="T159" s="1446"/>
      <c r="U159" s="1394">
        <v>159</v>
      </c>
      <c r="V159" s="1421"/>
    </row>
    <row r="160" spans="1:22" s="1422" customFormat="1" ht="15.75" hidden="1" customHeight="1">
      <c r="A160" s="1428" t="s">
        <v>177</v>
      </c>
      <c r="B160" s="1412"/>
      <c r="C160" s="1463" t="str">
        <f>IF(C159="","",IF(C157="",C148*C158*C159,C157*C158*C159))</f>
        <v/>
      </c>
      <c r="D160" s="1463" t="str">
        <f>IF(D159="","",IF(D157="",D148*D158*D159,D157*D158*D159))</f>
        <v/>
      </c>
      <c r="E160" s="1463" t="str">
        <f>IF(E159="","",IF(E157="",E148*E158*E159,E157*E158*E159))</f>
        <v/>
      </c>
      <c r="F160" s="1463" t="str">
        <f>IF(F159="","",IF(F157="",F148*F158*F159,F157*F158*F159))</f>
        <v/>
      </c>
      <c r="G160" s="1433"/>
      <c r="H160" s="1427"/>
      <c r="I160" s="1427"/>
      <c r="J160" s="1427"/>
      <c r="K160" s="1427"/>
      <c r="L160" s="1433"/>
      <c r="M160" s="1449"/>
      <c r="N160" s="1449"/>
      <c r="O160" s="1449"/>
      <c r="P160" s="1449"/>
      <c r="Q160" s="1420"/>
      <c r="R160" s="1402"/>
      <c r="S160" s="1403"/>
      <c r="T160" s="1403"/>
      <c r="U160" s="1394">
        <v>160</v>
      </c>
      <c r="V160" s="1421"/>
    </row>
    <row r="161" spans="1:22" s="1422" customFormat="1" ht="15.75" hidden="1" customHeight="1">
      <c r="A161" s="1428" t="s">
        <v>179</v>
      </c>
      <c r="B161" s="1433"/>
      <c r="C161" s="1444" t="str">
        <f>IF(Data!BV161="","",Data!BV161)</f>
        <v/>
      </c>
      <c r="D161" s="1444" t="str">
        <f>IF(Data!BW161="","",Data!BW161)</f>
        <v/>
      </c>
      <c r="E161" s="1444" t="str">
        <f>IF(Data!BX161="","",Data!BX161)</f>
        <v/>
      </c>
      <c r="F161" s="1444" t="str">
        <f>IF(Data!BY161="","",Data!BY161)</f>
        <v/>
      </c>
      <c r="G161" s="1433"/>
      <c r="H161" s="1452" t="str">
        <f>IF(SUM(C161)&gt;0,MIN(C160-H165-SUM(C165)*(H165=""),C161*'Exp factors'!C$8),"")</f>
        <v/>
      </c>
      <c r="I161" s="1452" t="str">
        <f>IF(SUM(D161)&gt;0,MIN(D160-I165-SUM(D165)*(I165=""),D161*'Exp factors'!D$8),"")</f>
        <v/>
      </c>
      <c r="J161" s="1452" t="str">
        <f>IF(SUM(E161)&gt;0,MIN(E160-J165-SUM(E165)*(J165=""),E161*'Exp factors'!E$8),"")</f>
        <v/>
      </c>
      <c r="K161" s="1452" t="str">
        <f>IF(SUM(F161)&gt;0,MIN(F160-K165-SUM(F165)*(K165=""),F161*'Exp factors'!F$8),"")</f>
        <v/>
      </c>
      <c r="L161" s="1433"/>
      <c r="M161" s="1449"/>
      <c r="N161" s="1449"/>
      <c r="O161" s="1449"/>
      <c r="P161" s="1449"/>
      <c r="Q161" s="1420"/>
      <c r="R161" s="1402"/>
      <c r="S161" s="1403"/>
      <c r="T161" s="1403"/>
      <c r="U161" s="1394">
        <v>161</v>
      </c>
      <c r="V161" s="1421"/>
    </row>
    <row r="162" spans="1:22" s="1422" customFormat="1" ht="15.75" hidden="1" customHeight="1">
      <c r="A162" s="1428" t="s">
        <v>181</v>
      </c>
      <c r="B162" s="1433"/>
      <c r="C162" s="1444" t="str">
        <f>IF(Data!BV162="","",Data!BV162)</f>
        <v/>
      </c>
      <c r="D162" s="1444" t="str">
        <f>IF(Data!BW162="","",Data!BW162)</f>
        <v/>
      </c>
      <c r="E162" s="1444" t="str">
        <f>IF(Data!BX162="","",Data!BX162)</f>
        <v/>
      </c>
      <c r="F162" s="1444" t="str">
        <f>IF(Data!BY162="","",Data!BY162)</f>
        <v/>
      </c>
      <c r="G162" s="1433"/>
      <c r="H162" s="1427"/>
      <c r="I162" s="1427"/>
      <c r="J162" s="1427"/>
      <c r="K162" s="1427"/>
      <c r="L162" s="1433"/>
      <c r="M162" s="1449"/>
      <c r="N162" s="1449"/>
      <c r="O162" s="1449"/>
      <c r="P162" s="1449"/>
      <c r="Q162" s="1420"/>
      <c r="R162" s="1445"/>
      <c r="S162" s="1446"/>
      <c r="T162" s="1446"/>
      <c r="U162" s="1394">
        <v>162</v>
      </c>
      <c r="V162" s="1421"/>
    </row>
    <row r="163" spans="1:22" s="1422" customFormat="1" ht="15.75" hidden="1" customHeight="1">
      <c r="A163" s="1462" t="s">
        <v>183</v>
      </c>
      <c r="B163" s="1443"/>
      <c r="C163" s="1454" t="str">
        <f>IF(SUM(C161)=0,"",C161*C162)</f>
        <v/>
      </c>
      <c r="D163" s="1454" t="str">
        <f>IF(SUM(D161)=0,"",D161*D162)</f>
        <v/>
      </c>
      <c r="E163" s="1454" t="str">
        <f>IF(SUM(E161)=0,"",E161*E162)</f>
        <v/>
      </c>
      <c r="F163" s="1454" t="str">
        <f>IF(SUM(F161)=0,"",F161*F162)</f>
        <v/>
      </c>
      <c r="G163" s="1453"/>
      <c r="H163" s="1463" t="str">
        <f>IF(H161="","",H161*C162)</f>
        <v/>
      </c>
      <c r="I163" s="1463" t="str">
        <f>IF(I161="","",I161*D162)</f>
        <v/>
      </c>
      <c r="J163" s="1463" t="str">
        <f>IF(J161="","",J161*E162)</f>
        <v/>
      </c>
      <c r="K163" s="1463" t="str">
        <f>IF(K161="","",K161*F162)</f>
        <v/>
      </c>
      <c r="L163" s="1453"/>
      <c r="M163" s="1454" t="str">
        <f>IF(H163="","",SUM(H163)-SUM(C163))</f>
        <v/>
      </c>
      <c r="N163" s="1454" t="str">
        <f>IF(I163="","",SUM(I163)-SUM(D163))</f>
        <v/>
      </c>
      <c r="O163" s="1454" t="str">
        <f>IF(J163="","",SUM(J163)-SUM(E163))</f>
        <v/>
      </c>
      <c r="P163" s="1454" t="str">
        <f>IF(K163="","",SUM(K163)-SUM(F163))</f>
        <v/>
      </c>
      <c r="Q163" s="1420"/>
      <c r="R163" s="1402"/>
      <c r="S163" s="1403"/>
      <c r="T163" s="1403"/>
      <c r="U163" s="1394">
        <v>163</v>
      </c>
      <c r="V163" s="1421"/>
    </row>
    <row r="164" spans="1:22" ht="15.75" hidden="1" customHeight="1">
      <c r="A164" s="1429" t="s">
        <v>185</v>
      </c>
      <c r="B164" s="1412"/>
      <c r="C164" s="1456">
        <f>IF(Data!BV164="","",Data!BV164)</f>
        <v>1</v>
      </c>
      <c r="D164" s="1456">
        <f>IF(Data!BW164="","",Data!BW164)</f>
        <v>1</v>
      </c>
      <c r="E164" s="1456">
        <f>IF(Data!BX164="","",Data!BX164)</f>
        <v>1</v>
      </c>
      <c r="F164" s="1456">
        <f>IF(Data!BY164="","",Data!BY164)</f>
        <v>1</v>
      </c>
      <c r="G164" s="1455"/>
      <c r="H164" s="1427"/>
      <c r="I164" s="1427"/>
      <c r="J164" s="1427"/>
      <c r="K164" s="1427"/>
      <c r="L164" s="1455"/>
      <c r="M164" s="1427"/>
      <c r="N164" s="1427"/>
      <c r="O164" s="1427"/>
      <c r="P164" s="1427"/>
      <c r="Q164" s="1464"/>
      <c r="R164" s="1402"/>
      <c r="S164" s="1403"/>
      <c r="T164" s="1403"/>
      <c r="U164" s="1394">
        <v>164</v>
      </c>
      <c r="V164" s="1421"/>
    </row>
    <row r="165" spans="1:22" s="1422" customFormat="1" ht="15.75" hidden="1" customHeight="1">
      <c r="A165" s="1429" t="s">
        <v>187</v>
      </c>
      <c r="B165" s="1455"/>
      <c r="C165" s="1444" t="str">
        <f>IF(Data!BV165="","",Data!BV165)</f>
        <v/>
      </c>
      <c r="D165" s="1444" t="str">
        <f>IF(Data!BW165="","",Data!BW165)</f>
        <v/>
      </c>
      <c r="E165" s="1444" t="str">
        <f>IF(Data!BX165="","",Data!BX165)</f>
        <v/>
      </c>
      <c r="F165" s="1444" t="str">
        <f>IF(Data!BY165="","",Data!BY165)</f>
        <v/>
      </c>
      <c r="G165" s="1443"/>
      <c r="H165" s="1457"/>
      <c r="I165" s="1457"/>
      <c r="J165" s="1457"/>
      <c r="K165" s="1457"/>
      <c r="L165" s="1443"/>
      <c r="M165" s="1427"/>
      <c r="N165" s="1427"/>
      <c r="O165" s="1427"/>
      <c r="P165" s="1427"/>
      <c r="Q165" s="1420"/>
      <c r="R165" s="1402"/>
      <c r="S165" s="1403"/>
      <c r="T165" s="1403"/>
      <c r="U165" s="1394">
        <v>165</v>
      </c>
      <c r="V165" s="1421"/>
    </row>
    <row r="166" spans="1:22" ht="15.75" hidden="1" customHeight="1">
      <c r="A166" s="1429" t="s">
        <v>223</v>
      </c>
      <c r="B166" s="1412"/>
      <c r="C166" s="1468" t="str">
        <f>IF(SUM(C151,C160)&gt;0,SUM(C152,C161)/SUM(C151,C160),"")</f>
        <v/>
      </c>
      <c r="D166" s="1468" t="str">
        <f>IF(SUM(D151,D160)&gt;0,SUM(D152,D161)/SUM(D151,D160),"")</f>
        <v/>
      </c>
      <c r="E166" s="1468" t="str">
        <f>IF(SUM(E151,E160)&gt;0,SUM(E152,E161)/SUM(E151,E160),"")</f>
        <v/>
      </c>
      <c r="F166" s="1468" t="str">
        <f>IF(SUM(F151,F160)&gt;0,SUM(F152,F161)/SUM(F151,F160),"")</f>
        <v/>
      </c>
      <c r="G166" s="1455"/>
      <c r="H166" s="1468" t="str">
        <f>IF(SUM(C151,C160)&gt;0,SUM(H152,SUM(C152)*(SUM(H152)=0),H161,SUM(C161)*(SUM(H161)=0))/SUM(C151,C160),"")</f>
        <v/>
      </c>
      <c r="I166" s="1468" t="str">
        <f>IF(SUM(D151,D160)&gt;0,SUM(I152,SUM(D152)*(SUM(I152)=0),I161,SUM(D161)*(SUM(I161)=0))/SUM(D151,D160),"")</f>
        <v/>
      </c>
      <c r="J166" s="1468" t="str">
        <f>IF(SUM(E151,E160)&gt;0,SUM(J152,SUM(E152)*(SUM(J152)=0),J161,SUM(E161)*(SUM(J161)=0))/SUM(E151,E160),"")</f>
        <v/>
      </c>
      <c r="K166" s="1468" t="str">
        <f>IF(SUM(F151,F160)&gt;0,SUM(K152,SUM(F152)*(SUM(K152)=0),K161,SUM(F161)*(SUM(K161)=0))/SUM(F151,F160),"")</f>
        <v/>
      </c>
      <c r="L166" s="1455"/>
      <c r="M166" s="1449"/>
      <c r="N166" s="1449"/>
      <c r="O166" s="1449"/>
      <c r="P166" s="1449"/>
      <c r="Q166" s="1464"/>
      <c r="R166" s="1392"/>
      <c r="S166" s="1393"/>
      <c r="T166" s="1393"/>
      <c r="U166" s="1394">
        <v>166</v>
      </c>
      <c r="V166" s="1421"/>
    </row>
    <row r="167" spans="1:22" ht="15.75" hidden="1" customHeight="1">
      <c r="A167" s="1429" t="s">
        <v>196</v>
      </c>
      <c r="B167" s="1431"/>
      <c r="C167" s="1471" t="str">
        <f>IF(SUM(C151,C160)=0,"",SUM(C151,-SUM(C152)*C155,-SUM(C156)*C155,C160,-SUM(C161)*C164,-SUM(C165)*C164)*0.049)</f>
        <v/>
      </c>
      <c r="D167" s="1471" t="str">
        <f>IF(SUM(D151,D160)=0,"",SUM(D151,-SUM(D152)*D155,-SUM(D156)*D155,D160,-SUM(D161)*D164,-SUM(D165)*D164)*0.049)</f>
        <v/>
      </c>
      <c r="E167" s="1471" t="str">
        <f>IF(SUM(E151,E160)=0,"",SUM(E151,-SUM(E152)*E155,-SUM(E156)*E155,E160,-SUM(E161)*E164,-SUM(E165)*E164)*0.049)</f>
        <v/>
      </c>
      <c r="F167" s="1471" t="str">
        <f>IF(SUM(F151,F160)=0,"",SUM(F151,-SUM(F152)*F155,-SUM(F156)*F155,F160,-SUM(F161)*F164,-SUM(F165)*F164)*0.049)</f>
        <v/>
      </c>
      <c r="G167" s="1458"/>
      <c r="H167" s="1471" t="str">
        <f>IF(SUM(C151,C160)=0,"",(SUM(C151)-(SUM(C152)*(H152="")+SUM(C156)*(H156="")+SUM(H152,H156))*C155+SUM(C160)-(SUM(C161)*(H161="")+SUM(C165)*(H165="")+SUM(H161,H165))*C164)*0.049)</f>
        <v/>
      </c>
      <c r="I167" s="1471" t="str">
        <f>IF(SUM(D151,D160)=0,"",(SUM(D151)-(SUM(D152)*(I152="")+SUM(D156)*(I156="")+SUM(I152,I156))*D155+SUM(D160)-(SUM(D161)*(I161="")+SUM(D165)*(I165="")+SUM(I161,I165))*D164)*0.049)</f>
        <v/>
      </c>
      <c r="J167" s="1471" t="str">
        <f>IF(SUM(E151,E160)=0,"",(SUM(E151)-(SUM(E152)*(J152="")+SUM(E156)*(J156="")+SUM(J152,J156))*E155+SUM(E160)-(SUM(E161)*(J161="")+SUM(E165)*(J165="")+SUM(J161,J165))*E164)*0.049)</f>
        <v/>
      </c>
      <c r="K167" s="1471" t="str">
        <f>IF(SUM(F151,F160)=0,"",(SUM(F151)-(SUM(F152)*(K152="")+SUM(F156)*(K156="")+SUM(K152,K156))*F155+SUM(F160)-(SUM(F161)*(K161="")+SUM(F165)*(K165="")+SUM(K161,K165))*F164)*0.049)</f>
        <v/>
      </c>
      <c r="L167" s="1458"/>
      <c r="M167" s="1449"/>
      <c r="N167" s="1449"/>
      <c r="O167" s="1449"/>
      <c r="P167" s="1449"/>
      <c r="Q167" s="1464"/>
      <c r="R167" s="1402"/>
      <c r="S167" s="1403"/>
      <c r="T167" s="1403"/>
      <c r="U167" s="1394">
        <v>167</v>
      </c>
      <c r="V167" s="1421"/>
    </row>
    <row r="168" spans="1:22" ht="15.75" hidden="1" customHeight="1">
      <c r="A168" s="1382" t="s">
        <v>197</v>
      </c>
      <c r="B168" s="1412"/>
      <c r="C168" s="1448" t="str">
        <f>IF(Data!BV168="","",Data!BV168)</f>
        <v/>
      </c>
      <c r="D168" s="1448" t="str">
        <f>IF(Data!BW168="","",Data!BW168)</f>
        <v/>
      </c>
      <c r="E168" s="1448" t="str">
        <f>IF(Data!BX168="","",Data!BX168)</f>
        <v/>
      </c>
      <c r="F168" s="1448" t="str">
        <f>IF(Data!BY168="","",Data!BY168)</f>
        <v/>
      </c>
      <c r="G168" s="1458"/>
      <c r="H168" s="1472"/>
      <c r="I168" s="1472"/>
      <c r="J168" s="1472"/>
      <c r="K168" s="1472"/>
      <c r="L168" s="1458"/>
      <c r="M168" s="1473"/>
      <c r="N168" s="1473"/>
      <c r="O168" s="1473"/>
      <c r="P168" s="1473"/>
      <c r="Q168" s="1464"/>
      <c r="R168" s="1445"/>
      <c r="S168" s="1446"/>
      <c r="T168" s="1446"/>
      <c r="U168" s="1394">
        <v>168</v>
      </c>
      <c r="V168" s="1421"/>
    </row>
    <row r="169" spans="1:22" ht="15.75" hidden="1" customHeight="1">
      <c r="A169" s="1429" t="s">
        <v>198</v>
      </c>
      <c r="B169" s="1412"/>
      <c r="C169" s="1448" t="str">
        <f>IF(Data!BV169="","",Data!BV169)</f>
        <v/>
      </c>
      <c r="D169" s="1448" t="str">
        <f>IF(Data!BW169="","",Data!BW169)</f>
        <v/>
      </c>
      <c r="E169" s="1448" t="str">
        <f>IF(Data!BX169="","",Data!BX169)</f>
        <v/>
      </c>
      <c r="F169" s="1448" t="str">
        <f>IF(Data!BY169="","",Data!BY169)</f>
        <v/>
      </c>
      <c r="G169" s="1459"/>
      <c r="H169" s="1474" t="str">
        <f>IF(SUM(C169)&gt;0,MIN(H167-H168-SUM(C168)*(H168=""),C169*'Exp factors'!C$8),"")</f>
        <v/>
      </c>
      <c r="I169" s="1474" t="str">
        <f>IF(SUM(D169)&gt;0,MIN(I167-I168-SUM(D168)*(I168=""),D169*'Exp factors'!D$8),"")</f>
        <v/>
      </c>
      <c r="J169" s="1474" t="str">
        <f>IF(SUM(E169)&gt;0,MIN(J167-J168-SUM(E168)*(J168=""),E169*'Exp factors'!E$8),"")</f>
        <v/>
      </c>
      <c r="K169" s="1474" t="str">
        <f>IF(SUM(F169)&gt;0,MIN(K167-K168-SUM(F168)*(K168=""),F169*'Exp factors'!F$8),"")</f>
        <v/>
      </c>
      <c r="L169" s="1459"/>
      <c r="M169" s="1473"/>
      <c r="N169" s="1473"/>
      <c r="O169" s="1473"/>
      <c r="P169" s="1473"/>
      <c r="Q169" s="1464"/>
      <c r="R169" s="1445"/>
      <c r="S169" s="1446"/>
      <c r="T169" s="1446"/>
      <c r="U169" s="1394">
        <v>169</v>
      </c>
      <c r="V169" s="1421"/>
    </row>
    <row r="170" spans="1:22" ht="15.75" hidden="1" customHeight="1">
      <c r="A170" s="1428" t="s">
        <v>200</v>
      </c>
      <c r="B170" s="1431"/>
      <c r="C170" s="1448" t="str">
        <f>IF(Data!BV170="","",Data!BV170)</f>
        <v/>
      </c>
      <c r="D170" s="1448" t="str">
        <f>IF(Data!BW170="","",Data!BW170)</f>
        <v/>
      </c>
      <c r="E170" s="1448" t="str">
        <f>IF(Data!BX170="","",Data!BX170)</f>
        <v/>
      </c>
      <c r="F170" s="1448" t="str">
        <f>IF(Data!BY170="","",Data!BY170)</f>
        <v/>
      </c>
      <c r="G170" s="1460"/>
      <c r="H170" s="1427"/>
      <c r="I170" s="1427"/>
      <c r="J170" s="1427"/>
      <c r="K170" s="1427"/>
      <c r="L170" s="1460"/>
      <c r="M170" s="1477"/>
      <c r="N170" s="1477"/>
      <c r="O170" s="1477"/>
      <c r="P170" s="1477"/>
      <c r="Q170" s="1478"/>
      <c r="R170" s="1445"/>
      <c r="S170" s="1446"/>
      <c r="T170" s="1446"/>
      <c r="U170" s="1394">
        <v>170</v>
      </c>
      <c r="V170" s="1421"/>
    </row>
    <row r="171" spans="1:22" s="1482" customFormat="1" ht="15.75" hidden="1" customHeight="1">
      <c r="A171" s="1382" t="s">
        <v>202</v>
      </c>
      <c r="B171" s="1433"/>
      <c r="C171" s="1454" t="str">
        <f>IF(SUM(C169)=0,"",C169*C170)</f>
        <v/>
      </c>
      <c r="D171" s="1454" t="str">
        <f>IF(SUM(D169)=0,"",D169*D170)</f>
        <v/>
      </c>
      <c r="E171" s="1454" t="str">
        <f>IF(SUM(E169)=0,"",E169*E170)</f>
        <v/>
      </c>
      <c r="F171" s="1454" t="str">
        <f>IF(SUM(F169)=0,"",F169*F170)</f>
        <v/>
      </c>
      <c r="G171" s="1461"/>
      <c r="H171" s="1463" t="str">
        <f>IF(H169="","",H169*C170)</f>
        <v/>
      </c>
      <c r="I171" s="1463" t="str">
        <f>IF(I169="","",I169*D170)</f>
        <v/>
      </c>
      <c r="J171" s="1463" t="str">
        <f>IF(J169="","",J169*E170)</f>
        <v/>
      </c>
      <c r="K171" s="1463" t="str">
        <f>IF(K169="","",K169*F170)</f>
        <v/>
      </c>
      <c r="L171" s="1461"/>
      <c r="M171" s="1454" t="str">
        <f t="shared" ref="M171:P173" si="37">IF(H171="","",SUM(H171)-SUM(C171))</f>
        <v/>
      </c>
      <c r="N171" s="1454" t="str">
        <f t="shared" si="37"/>
        <v/>
      </c>
      <c r="O171" s="1454" t="str">
        <f t="shared" si="37"/>
        <v/>
      </c>
      <c r="P171" s="1454" t="str">
        <f t="shared" si="37"/>
        <v/>
      </c>
      <c r="Q171" s="1480"/>
      <c r="R171" s="1402"/>
      <c r="S171" s="1403"/>
      <c r="T171" s="1403"/>
      <c r="U171" s="1394">
        <v>171</v>
      </c>
      <c r="V171" s="1481"/>
    </row>
    <row r="172" spans="1:22" ht="15.75" hidden="1" customHeight="1">
      <c r="A172" s="1382" t="s">
        <v>213</v>
      </c>
      <c r="B172" s="1431"/>
      <c r="C172" s="1483" t="str">
        <f>IF(C167="","",(SUM(C151)*2973-SUM(C152,C156)*(2973-1549*(C155=0))-SUM(C168,C169)*32930)/$P$1/365/C$46)</f>
        <v/>
      </c>
      <c r="D172" s="1483" t="str">
        <f>IF(D167="","",(SUM(D151)*2973-SUM(D152,D156)*(2973-1549*(D155=0))-SUM(D168,D169)*32930)/$P$1/365/D$46)</f>
        <v/>
      </c>
      <c r="E172" s="1483" t="str">
        <f>IF(E167="","",(SUM(E151)*2973-SUM(E152,E156)*(2973-1549*(E155=0))-SUM(E168,E169)*32930)/$P$1/365/E$46)</f>
        <v/>
      </c>
      <c r="F172" s="1483" t="str">
        <f>IF(F167="","",(SUM(F151)*2973-SUM(F152,F156)*(2973-1549*(F155=0))-SUM(F168,F169)*32930)/$P$1/365/F$46)</f>
        <v/>
      </c>
      <c r="G172" s="1443"/>
      <c r="H172" s="148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8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8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8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43"/>
      <c r="M172" s="1484" t="str">
        <f t="shared" si="37"/>
        <v/>
      </c>
      <c r="N172" s="1484" t="str">
        <f t="shared" si="37"/>
        <v/>
      </c>
      <c r="O172" s="1484" t="str">
        <f t="shared" si="37"/>
        <v/>
      </c>
      <c r="P172" s="1484" t="str">
        <f t="shared" si="37"/>
        <v/>
      </c>
      <c r="Q172" s="1464"/>
      <c r="R172" s="1392"/>
      <c r="S172" s="1393"/>
      <c r="T172" s="1393"/>
      <c r="U172" s="1394">
        <v>172</v>
      </c>
      <c r="V172" s="1421"/>
    </row>
    <row r="173" spans="1:22" ht="15.75" hidden="1" customHeight="1">
      <c r="A173" s="1382" t="s">
        <v>214</v>
      </c>
      <c r="B173" s="1431"/>
      <c r="C173" s="1483" t="str">
        <f>IF(C167="","",(SUM(C160)*2973-SUM(C161,C165)*(2973-1549*(C164=0)))/$P$1/365/C$46)</f>
        <v/>
      </c>
      <c r="D173" s="1483" t="str">
        <f>IF(D167="","",(SUM(D160)*2973-SUM(D161,D165)*(2973-1549*(D164=0)))/$P$1/365/D$46)</f>
        <v/>
      </c>
      <c r="E173" s="1483" t="str">
        <f>IF(E167="","",(SUM(E160)*2973-SUM(E161,E165)*(2973-1549*(E164=0)))/$P$1/365/E$46)</f>
        <v/>
      </c>
      <c r="F173" s="1483" t="str">
        <f>IF(F167="","",(SUM(F160)*2973-SUM(F161,F165)*(2973-1549*(F164=0)))/$P$1/365/F$46)</f>
        <v/>
      </c>
      <c r="G173" s="1443"/>
      <c r="H173" s="1483" t="str">
        <f>IF(AND(H152="",H156="",H161="",H165="",H169=""),"",(SUM(C160)*2973-(SUM(H161,H165)+SUM(C161)*(H161="")+SUM(C165)*(H165=""))*(2973-1549*(C164=0)))/$P$1/365/C$46)</f>
        <v/>
      </c>
      <c r="I173" s="1483" t="str">
        <f>IF(AND(I152="",I156="",I161="",I165="",I169=""),"",(SUM(D160)*2973-(SUM(I161,I165)+SUM(D161)*(I161="")+SUM(D165)*(I165=""))*(2973-1549*(D164=0)))/$P$1/365/D$46)</f>
        <v/>
      </c>
      <c r="J173" s="1483" t="str">
        <f>IF(AND(J152="",J156="",J161="",J165="",J169=""),"",(SUM(E160)*2973-(SUM(J161,J165)+SUM(E161)*(J161="")+SUM(E165)*(J165=""))*(2973-1549*(E164=0)))/$P$1/365/E$46)</f>
        <v/>
      </c>
      <c r="K173" s="1483" t="str">
        <f>IF(AND(K152="",K156="",K161="",K165="",K169=""),"",(SUM(F160)*2973-(SUM(K161,K165)+SUM(F161)*(K161="")+SUM(F165)*(K165=""))*(2973-1549*(F164=0)))/$P$1/365/F$46)</f>
        <v/>
      </c>
      <c r="L173" s="1443"/>
      <c r="M173" s="1484" t="str">
        <f t="shared" si="37"/>
        <v/>
      </c>
      <c r="N173" s="1484" t="str">
        <f t="shared" si="37"/>
        <v/>
      </c>
      <c r="O173" s="1484" t="str">
        <f t="shared" si="37"/>
        <v/>
      </c>
      <c r="P173" s="1484" t="str">
        <f t="shared" si="37"/>
        <v/>
      </c>
      <c r="Q173" s="1464"/>
      <c r="R173" s="1392"/>
      <c r="S173" s="1393"/>
      <c r="T173" s="1393"/>
      <c r="U173" s="1394">
        <v>173</v>
      </c>
      <c r="V173" s="1421"/>
    </row>
    <row r="174" spans="1:22" ht="15.75" hidden="1" customHeight="1">
      <c r="A174" s="1485" t="s">
        <v>224</v>
      </c>
      <c r="B174" s="1433"/>
      <c r="C174" s="1468" t="str">
        <f>IF(SUM(C167)&gt;0,SUM(C169)/C167,"")</f>
        <v/>
      </c>
      <c r="D174" s="1468" t="str">
        <f>IF(SUM(D167)&gt;0,SUM(D169)/D167,"")</f>
        <v/>
      </c>
      <c r="E174" s="1468" t="str">
        <f>IF(SUM(E167)&gt;0,SUM(E169)/E167,"")</f>
        <v/>
      </c>
      <c r="F174" s="1468" t="str">
        <f>IF(SUM(F167)&gt;0,SUM(F169)/F167,"")</f>
        <v/>
      </c>
      <c r="G174" s="1443"/>
      <c r="H174" s="1468" t="str">
        <f>IF(H167="","",SUM(H169)/H167)</f>
        <v/>
      </c>
      <c r="I174" s="1468" t="str">
        <f>IF(I167="","",SUM(I169)/I167)</f>
        <v/>
      </c>
      <c r="J174" s="1468" t="str">
        <f>IF(J167="","",SUM(J169)/J167)</f>
        <v/>
      </c>
      <c r="K174" s="1468" t="str">
        <f>IF(K167="","",SUM(K169)/K167)</f>
        <v/>
      </c>
      <c r="L174" s="1443"/>
      <c r="M174" s="1427"/>
      <c r="N174" s="1427"/>
      <c r="O174" s="1427"/>
      <c r="P174" s="1427"/>
      <c r="Q174" s="1464"/>
      <c r="R174" s="1392"/>
      <c r="S174" s="1393"/>
      <c r="T174" s="1393"/>
      <c r="U174" s="1394">
        <v>174</v>
      </c>
      <c r="V174" s="1421"/>
    </row>
    <row r="175" spans="1:22" ht="15.75" hidden="1" customHeight="1">
      <c r="A175" s="1491" t="s">
        <v>225</v>
      </c>
      <c r="B175" s="1443"/>
      <c r="C175" s="1488">
        <f>IF(Data!BV175="","",Data!BV175)</f>
        <v>0</v>
      </c>
      <c r="D175" s="1488">
        <f>IF(Data!BW175="","",Data!BW175)</f>
        <v>0</v>
      </c>
      <c r="E175" s="1488">
        <f>IF(Data!BX175="","",Data!BX175)</f>
        <v>0</v>
      </c>
      <c r="F175" s="1488">
        <f>IF(Data!BY175="","",Data!BY175)</f>
        <v>0</v>
      </c>
      <c r="G175" s="1431"/>
      <c r="H175" s="1492"/>
      <c r="I175" s="1492"/>
      <c r="J175" s="1492"/>
      <c r="K175" s="1492"/>
      <c r="L175" s="1431"/>
      <c r="M175" s="1427"/>
      <c r="N175" s="1427"/>
      <c r="O175" s="1427"/>
      <c r="P175" s="1427"/>
      <c r="Q175" s="1464"/>
      <c r="R175" s="1445"/>
      <c r="S175" s="1446"/>
      <c r="T175" s="1446"/>
      <c r="U175" s="1394">
        <v>175</v>
      </c>
      <c r="V175" s="1421"/>
    </row>
    <row r="176" spans="1:22" ht="15.75" hidden="1" customHeight="1">
      <c r="A176" s="1429" t="s">
        <v>226</v>
      </c>
      <c r="B176" s="1493"/>
      <c r="C176" s="1488" t="str">
        <f>IF(Data!BV176="","",Data!BV176)</f>
        <v/>
      </c>
      <c r="D176" s="1488" t="str">
        <f>IF(Data!BW176="","",Data!BW176)</f>
        <v/>
      </c>
      <c r="E176" s="1488" t="str">
        <f>IF(Data!BX176="","",Data!BX176)</f>
        <v/>
      </c>
      <c r="F176" s="1488" t="str">
        <f>IF(Data!BY176="","",Data!BY176)</f>
        <v/>
      </c>
      <c r="G176" s="1431"/>
      <c r="H176" s="1427"/>
      <c r="I176" s="1427"/>
      <c r="J176" s="1427"/>
      <c r="K176" s="1427"/>
      <c r="L176" s="1431"/>
      <c r="M176" s="1427"/>
      <c r="N176" s="1427"/>
      <c r="O176" s="1427"/>
      <c r="P176" s="1427"/>
      <c r="Q176" s="1464"/>
      <c r="R176" s="1402"/>
      <c r="S176" s="1403"/>
      <c r="T176" s="1403"/>
      <c r="U176" s="1394">
        <v>176</v>
      </c>
      <c r="V176" s="1421"/>
    </row>
    <row r="177" spans="1:22" ht="15.75" hidden="1" customHeight="1">
      <c r="A177" s="1429" t="s">
        <v>252</v>
      </c>
      <c r="B177" s="1493"/>
      <c r="C177" s="1483" t="str">
        <f>IF(C176="","",C175*C176*9839/$P$1/365/C$46)</f>
        <v/>
      </c>
      <c r="D177" s="1483" t="str">
        <f>IF(D176="","",D175*D176*9839/$P$1/365/D$46)</f>
        <v/>
      </c>
      <c r="E177" s="1483" t="str">
        <f>IF(E176="","",E175*E176*9839/$P$1/365/E$46)</f>
        <v/>
      </c>
      <c r="F177" s="1483" t="str">
        <f>IF(F176="","",F175*F176*9839/$P$1/365/F$46)</f>
        <v/>
      </c>
      <c r="G177" s="1443"/>
      <c r="H177" s="1483" t="str">
        <f>IF(H175="","",H175*C176*9839/$P$1/365/H$46)</f>
        <v/>
      </c>
      <c r="I177" s="1483" t="str">
        <f>IF(I175="","",I175*D176*9839/$P$1/365/I$46)</f>
        <v/>
      </c>
      <c r="J177" s="1483" t="str">
        <f>IF(J175="","",J175*E176*9839/$P$1/365/J$46)</f>
        <v/>
      </c>
      <c r="K177" s="1483" t="str">
        <f>IF(K175="","",K175*F176*9839/$P$1/365/K$46)</f>
        <v/>
      </c>
      <c r="L177" s="1443"/>
      <c r="M177" s="1484" t="str">
        <f>IF(H177="","",SUM(H177)-SUM(C177))</f>
        <v/>
      </c>
      <c r="N177" s="1484" t="str">
        <f>IF(I177="","",SUM(I177)-SUM(D177))</f>
        <v/>
      </c>
      <c r="O177" s="1484" t="str">
        <f>IF(J177="","",SUM(J177)-SUM(E177))</f>
        <v/>
      </c>
      <c r="P177" s="1484" t="str">
        <f>IF(K177="","",SUM(K177)-SUM(F177))</f>
        <v/>
      </c>
      <c r="Q177" s="1464"/>
      <c r="R177" s="1392"/>
      <c r="S177" s="1393"/>
      <c r="T177" s="1393"/>
      <c r="U177" s="1394">
        <v>177</v>
      </c>
      <c r="V177" s="1421"/>
    </row>
    <row r="178" spans="1:22" ht="15.75" customHeight="1">
      <c r="A178" s="1494" t="s">
        <v>954</v>
      </c>
      <c r="B178" s="1493"/>
      <c r="C178" s="1444">
        <f>IF(Data!BV178="","",Data!BV178)</f>
        <v>0</v>
      </c>
      <c r="D178" s="1444">
        <f>IF(Data!BW178="","",Data!BW178)</f>
        <v>0.5</v>
      </c>
      <c r="E178" s="1444">
        <f>IF(Data!BX178="","",Data!BX178)</f>
        <v>1</v>
      </c>
      <c r="F178" s="1444">
        <f>IF(Data!BY178="","",Data!BY178)</f>
        <v>2</v>
      </c>
      <c r="G178" s="1431"/>
      <c r="H178" s="1492"/>
      <c r="I178" s="1492"/>
      <c r="J178" s="1492"/>
      <c r="K178" s="1492"/>
      <c r="L178" s="1431"/>
      <c r="M178" s="1427"/>
      <c r="N178" s="1427"/>
      <c r="O178" s="1427"/>
      <c r="P178" s="1427"/>
      <c r="Q178" s="1464"/>
      <c r="R178" s="1445"/>
      <c r="S178" s="1446"/>
      <c r="T178" s="1446"/>
      <c r="U178" s="1394">
        <v>178</v>
      </c>
      <c r="V178" s="1421"/>
    </row>
    <row r="179" spans="1:22" ht="15.75" customHeight="1">
      <c r="A179" s="1429" t="s">
        <v>226</v>
      </c>
      <c r="B179" s="1412"/>
      <c r="C179" s="1444">
        <f>IF(Data!BV179="","",Data!BV179)</f>
        <v>75</v>
      </c>
      <c r="D179" s="1444">
        <f>IF(Data!BW179="","",Data!BW179)</f>
        <v>75</v>
      </c>
      <c r="E179" s="1444">
        <f>IF(Data!BX179="","",Data!BX179)</f>
        <v>75</v>
      </c>
      <c r="F179" s="1444">
        <f>IF(Data!BY179="","",Data!BY179)</f>
        <v>75</v>
      </c>
      <c r="G179" s="1431"/>
      <c r="H179" s="1427"/>
      <c r="I179" s="1427"/>
      <c r="J179" s="1427"/>
      <c r="K179" s="1427"/>
      <c r="L179" s="1431"/>
      <c r="M179" s="1427"/>
      <c r="N179" s="1427"/>
      <c r="O179" s="1427"/>
      <c r="P179" s="1427"/>
      <c r="Q179" s="1464"/>
      <c r="R179" s="1402"/>
      <c r="S179" s="1403"/>
      <c r="T179" s="1403"/>
      <c r="U179" s="1394">
        <v>179</v>
      </c>
      <c r="V179" s="1421"/>
    </row>
    <row r="180" spans="1:22" ht="15.75" customHeight="1">
      <c r="A180" s="1429" t="s">
        <v>252</v>
      </c>
      <c r="B180" s="1412"/>
      <c r="C180" s="1483">
        <f t="shared" ref="C180:E180" si="38">IF(C179="","",C178*C179*2350*$K$1/$P$1/365/C$46)</f>
        <v>0</v>
      </c>
      <c r="D180" s="1483">
        <f t="shared" si="38"/>
        <v>1.4358723147571608E-2</v>
      </c>
      <c r="E180" s="1483">
        <f t="shared" si="38"/>
        <v>2.8717446295143216E-2</v>
      </c>
      <c r="F180" s="1483">
        <f>IF(F179="","",F178*F179*2350*$K$1/$P$1/365/F$46)</f>
        <v>5.1053237858032383E-2</v>
      </c>
      <c r="G180" s="1443"/>
      <c r="H180" s="1483" t="str">
        <f>IF(H178="","",H178*C179*2350*$K$1/$P$1/365/H$46)</f>
        <v/>
      </c>
      <c r="I180" s="1483" t="str">
        <f t="shared" ref="I180:K180" si="39">IF(I178="","",I178*D179*2350*$K$1/$P$1/365/I$46)</f>
        <v/>
      </c>
      <c r="J180" s="1483" t="str">
        <f t="shared" si="39"/>
        <v/>
      </c>
      <c r="K180" s="1483" t="str">
        <f t="shared" si="39"/>
        <v/>
      </c>
      <c r="L180" s="1443"/>
      <c r="M180" s="1484" t="str">
        <f>IF(H180="","",SUM(H180)-SUM(C180))</f>
        <v/>
      </c>
      <c r="N180" s="1484" t="str">
        <f>IF(I180="","",SUM(I180)-SUM(D180))</f>
        <v/>
      </c>
      <c r="O180" s="1484" t="str">
        <f>IF(J180="","",SUM(J180)-SUM(E180))</f>
        <v/>
      </c>
      <c r="P180" s="1484" t="str">
        <f>IF(K180="","",SUM(K180)-SUM(F180))</f>
        <v/>
      </c>
      <c r="Q180" s="1464"/>
      <c r="R180" s="1392"/>
      <c r="S180" s="1393"/>
      <c r="T180" s="1393"/>
      <c r="U180" s="1394">
        <v>180</v>
      </c>
      <c r="V180" s="1421"/>
    </row>
    <row r="181" spans="1:22" ht="15.75" customHeight="1">
      <c r="A181" s="1494" t="s">
        <v>955</v>
      </c>
      <c r="B181" s="1431"/>
      <c r="C181" s="1444">
        <f>IF(Data!BV181="","",Data!BV181)</f>
        <v>1</v>
      </c>
      <c r="D181" s="1444">
        <f>IF(Data!BW181="","",Data!BW181)</f>
        <v>2</v>
      </c>
      <c r="E181" s="1444">
        <f>IF(Data!BX181="","",Data!BX181)</f>
        <v>3</v>
      </c>
      <c r="F181" s="1444">
        <f>IF(Data!BY181="","",Data!BY181)</f>
        <v>3.5</v>
      </c>
      <c r="G181" s="1431"/>
      <c r="H181" s="1492"/>
      <c r="I181" s="1492"/>
      <c r="J181" s="1492"/>
      <c r="K181" s="1492"/>
      <c r="L181" s="1431"/>
      <c r="M181" s="1427"/>
      <c r="N181" s="1427"/>
      <c r="O181" s="1427"/>
      <c r="P181" s="1427"/>
      <c r="Q181" s="1464"/>
      <c r="R181" s="1445"/>
      <c r="S181" s="1446"/>
      <c r="T181" s="1446"/>
      <c r="U181" s="1394">
        <v>181</v>
      </c>
      <c r="V181" s="1421"/>
    </row>
    <row r="182" spans="1:22" ht="15.75" customHeight="1">
      <c r="A182" s="1429" t="s">
        <v>226</v>
      </c>
      <c r="B182" s="1433"/>
      <c r="C182" s="1444">
        <f>IF(Data!BV182="","",Data!BV182)</f>
        <v>25</v>
      </c>
      <c r="D182" s="1444">
        <f>IF(Data!BW182="","",Data!BW182)</f>
        <v>25</v>
      </c>
      <c r="E182" s="1444">
        <f>IF(Data!BX182="","",Data!BX182)</f>
        <v>25</v>
      </c>
      <c r="F182" s="1444">
        <f>IF(Data!BY182="","",Data!BY182)</f>
        <v>25</v>
      </c>
      <c r="G182" s="1431"/>
      <c r="H182" s="1427"/>
      <c r="I182" s="1427"/>
      <c r="J182" s="1427"/>
      <c r="K182" s="1427"/>
      <c r="L182" s="1431"/>
      <c r="M182" s="1427"/>
      <c r="N182" s="1427"/>
      <c r="O182" s="1427"/>
      <c r="P182" s="1427"/>
      <c r="Q182" s="1464"/>
      <c r="R182" s="1402"/>
      <c r="S182" s="1403"/>
      <c r="T182" s="1403"/>
      <c r="U182" s="1394">
        <v>182</v>
      </c>
      <c r="V182" s="1421"/>
    </row>
    <row r="183" spans="1:22" ht="15.75" customHeight="1">
      <c r="A183" s="1429" t="s">
        <v>252</v>
      </c>
      <c r="B183" s="1433"/>
      <c r="C183" s="1483">
        <f t="shared" ref="C183:E183" si="40">IF(C182="","",C181*C182*1450*$K$1/$P$1/365/C$46)</f>
        <v>5.906425124533001E-3</v>
      </c>
      <c r="D183" s="1483">
        <f t="shared" si="40"/>
        <v>1.1812850249066002E-2</v>
      </c>
      <c r="E183" s="1483">
        <f t="shared" si="40"/>
        <v>1.7719275373599006E-2</v>
      </c>
      <c r="F183" s="1483">
        <f>IF(F182="","",F181*F182*1450*$K$1/$P$1/365/F$46)</f>
        <v>1.8375544831880451E-2</v>
      </c>
      <c r="G183" s="1443"/>
      <c r="H183" s="1483" t="str">
        <f>IF(H181="","",H181*C182*1450*$K$1/$P$1/365/H$46)</f>
        <v/>
      </c>
      <c r="I183" s="1483" t="str">
        <f t="shared" ref="I183:K183" si="41">IF(I181="","",I181*D182*1450*$K$1/$P$1/365/I$46)</f>
        <v/>
      </c>
      <c r="J183" s="1483" t="str">
        <f t="shared" si="41"/>
        <v/>
      </c>
      <c r="K183" s="1483" t="str">
        <f t="shared" si="41"/>
        <v/>
      </c>
      <c r="L183" s="1443"/>
      <c r="M183" s="1484" t="str">
        <f>IF(H183="","",SUM(H183)-SUM(C183))</f>
        <v/>
      </c>
      <c r="N183" s="1484" t="str">
        <f>IF(I183="","",SUM(I183)-SUM(D183))</f>
        <v/>
      </c>
      <c r="O183" s="1484" t="str">
        <f>IF(J183="","",SUM(J183)-SUM(E183))</f>
        <v/>
      </c>
      <c r="P183" s="1484" t="str">
        <f>IF(K183="","",SUM(K183)-SUM(F183))</f>
        <v/>
      </c>
      <c r="Q183" s="1464"/>
      <c r="R183" s="1392"/>
      <c r="S183" s="1393"/>
      <c r="T183" s="1393"/>
      <c r="U183" s="1394">
        <v>183</v>
      </c>
      <c r="V183" s="1421"/>
    </row>
    <row r="184" spans="1:22" ht="15.75" hidden="1" customHeight="1">
      <c r="A184" s="1495" t="s">
        <v>230</v>
      </c>
      <c r="B184" s="1433"/>
      <c r="C184" s="1488" t="str">
        <f>IF(Data!BV184="","",Data!BV184)</f>
        <v/>
      </c>
      <c r="D184" s="1488" t="str">
        <f>IF(Data!BW184="","",Data!BW184)</f>
        <v/>
      </c>
      <c r="E184" s="1488" t="str">
        <f>IF(Data!BX184="","",Data!BX184)</f>
        <v/>
      </c>
      <c r="F184" s="1488" t="str">
        <f>IF(Data!BY184="","",Data!BY184)</f>
        <v/>
      </c>
      <c r="G184" s="1431"/>
      <c r="H184" s="1492"/>
      <c r="I184" s="1492"/>
      <c r="J184" s="1492"/>
      <c r="K184" s="1492"/>
      <c r="L184" s="1431"/>
      <c r="M184" s="1427"/>
      <c r="N184" s="1427"/>
      <c r="O184" s="1427"/>
      <c r="P184" s="1427"/>
      <c r="Q184" s="1464"/>
      <c r="R184" s="1445"/>
      <c r="S184" s="1446"/>
      <c r="T184" s="1446"/>
      <c r="U184" s="1394">
        <v>184</v>
      </c>
      <c r="V184" s="1421"/>
    </row>
    <row r="185" spans="1:22" ht="15.75" hidden="1" customHeight="1">
      <c r="A185" s="1428" t="s">
        <v>181</v>
      </c>
      <c r="B185" s="1443"/>
      <c r="C185" s="1488" t="str">
        <f>IF(Data!BV185="","",Data!BV185)</f>
        <v/>
      </c>
      <c r="D185" s="1488" t="str">
        <f>IF(Data!BW185="","",Data!BW185)</f>
        <v/>
      </c>
      <c r="E185" s="1488" t="str">
        <f>IF(Data!BX185="","",Data!BX185)</f>
        <v/>
      </c>
      <c r="F185" s="1488" t="str">
        <f>IF(Data!BY185="","",Data!BY185)</f>
        <v/>
      </c>
      <c r="G185" s="1431"/>
      <c r="H185" s="1427"/>
      <c r="I185" s="1427"/>
      <c r="J185" s="1427"/>
      <c r="K185" s="1427"/>
      <c r="L185" s="1431"/>
      <c r="M185" s="1427"/>
      <c r="N185" s="1427"/>
      <c r="O185" s="1427"/>
      <c r="P185" s="1427"/>
      <c r="Q185" s="1464"/>
      <c r="R185" s="1402"/>
      <c r="S185" s="1403"/>
      <c r="T185" s="1403"/>
      <c r="U185" s="1394">
        <v>185</v>
      </c>
      <c r="V185" s="1421"/>
    </row>
    <row r="186" spans="1:22" ht="15.75" hidden="1" customHeight="1">
      <c r="A186" s="1428" t="s">
        <v>183</v>
      </c>
      <c r="B186" s="1412"/>
      <c r="C186" s="1454" t="str">
        <f>IF(SUM(C184)=0,"",C184*C185)</f>
        <v/>
      </c>
      <c r="D186" s="1454" t="str">
        <f>IF(SUM(D184)=0,"",D184*D185)</f>
        <v/>
      </c>
      <c r="E186" s="1454" t="str">
        <f>IF(SUM(E184)=0,"",E184*E185)</f>
        <v/>
      </c>
      <c r="F186" s="1454" t="str">
        <f>IF(SUM(F184)=0,"",F184*F185)</f>
        <v/>
      </c>
      <c r="G186" s="1433"/>
      <c r="H186" s="1463" t="str">
        <f>IF(H184="","",H184*C185)</f>
        <v/>
      </c>
      <c r="I186" s="1463" t="str">
        <f>IF(I184="","",I184*D185)</f>
        <v/>
      </c>
      <c r="J186" s="1463" t="str">
        <f>IF(J184="","",J184*E185)</f>
        <v/>
      </c>
      <c r="K186" s="1463" t="str">
        <f>IF(K184="","",K184*F185)</f>
        <v/>
      </c>
      <c r="L186" s="1433"/>
      <c r="M186" s="1454" t="str">
        <f>IF(H186="","",SUM(H186)-SUM(C186))</f>
        <v/>
      </c>
      <c r="N186" s="1454" t="str">
        <f>IF(I186="","",SUM(I186)-SUM(D186))</f>
        <v/>
      </c>
      <c r="O186" s="1454" t="str">
        <f>IF(J186="","",SUM(J186)-SUM(E186))</f>
        <v/>
      </c>
      <c r="P186" s="1454" t="str">
        <f>IF(K186="","",SUM(K186)-SUM(F186))</f>
        <v/>
      </c>
      <c r="Q186" s="1464"/>
      <c r="R186" s="1402"/>
      <c r="S186" s="1403"/>
      <c r="T186" s="1403"/>
      <c r="U186" s="1394">
        <v>186</v>
      </c>
      <c r="V186" s="1421"/>
    </row>
    <row r="187" spans="1:22" ht="15.75" hidden="1" customHeight="1">
      <c r="A187" s="1496" t="s">
        <v>956</v>
      </c>
      <c r="B187" s="1412"/>
      <c r="C187" s="1488">
        <f>IF(Data!BV187="","",Data!BV187)</f>
        <v>0</v>
      </c>
      <c r="D187" s="1488">
        <f>IF(Data!BW187="","",Data!BW187)</f>
        <v>0</v>
      </c>
      <c r="E187" s="1488">
        <f>IF(Data!BX187="","",Data!BX187)</f>
        <v>0</v>
      </c>
      <c r="F187" s="1488">
        <f>IF(Data!BY187="","",Data!BY187)</f>
        <v>0</v>
      </c>
      <c r="G187" s="1431"/>
      <c r="H187" s="1497" t="str">
        <f>IF(H51=0,"",ROUND((MIN(H51*'Exp factors'!C$11-H175-SUM(C175)*(H175="")-H184-SUM(C184)*(H184=""),SUM(C187)*'Exp factors'!C$12))*20/10,0)/2)</f>
        <v/>
      </c>
      <c r="I187" s="1497" t="str">
        <f>IF(I51=0,"",ROUND((MIN(I51*'Exp factors'!D$11-I175-SUM(D175)*(I175="")-I184-SUM(D184)*(I184=""),SUM(D187)*'Exp factors'!D$12))*20/10,0)/2)</f>
        <v/>
      </c>
      <c r="J187" s="1497" t="str">
        <f>IF(J51=0,"",ROUND((MIN(J51*'Exp factors'!E$11-J175-SUM(E175)*(J175="")-J184-SUM(E184)*(J184=""),SUM(E187)*'Exp factors'!E$12))*20/10,0)/2)</f>
        <v/>
      </c>
      <c r="K187" s="1497" t="str">
        <f>IF(K51=0,"",ROUND((MIN(K51*'Exp factors'!F$11-K175-SUM(F175)*(K175="")-K184-SUM(F184)*(K184=""),SUM(F187)*'Exp factors'!F$12))*20/10,0)/2)</f>
        <v/>
      </c>
      <c r="L187" s="1431"/>
      <c r="M187" s="1427"/>
      <c r="N187" s="1427"/>
      <c r="O187" s="1427"/>
      <c r="P187" s="1427"/>
      <c r="Q187" s="1464"/>
      <c r="R187" s="1445"/>
      <c r="S187" s="1446"/>
      <c r="T187" s="1446"/>
      <c r="U187" s="1394">
        <v>187</v>
      </c>
      <c r="V187" s="1421"/>
    </row>
    <row r="188" spans="1:22" ht="15.75" hidden="1" customHeight="1">
      <c r="A188" s="1428" t="s">
        <v>181</v>
      </c>
      <c r="B188" s="1431"/>
      <c r="C188" s="1488" t="str">
        <f>IF(Data!BV188="","",Data!BV188)</f>
        <v/>
      </c>
      <c r="D188" s="1488" t="str">
        <f>IF(Data!BW188="","",Data!BW188)</f>
        <v/>
      </c>
      <c r="E188" s="1488" t="str">
        <f>IF(Data!BX188="","",Data!BX188)</f>
        <v/>
      </c>
      <c r="F188" s="1488" t="str">
        <f>IF(Data!BY188="","",Data!BY188)</f>
        <v/>
      </c>
      <c r="G188" s="1431"/>
      <c r="H188" s="1427"/>
      <c r="I188" s="1427"/>
      <c r="J188" s="1427"/>
      <c r="K188" s="1427"/>
      <c r="L188" s="1431"/>
      <c r="M188" s="1427"/>
      <c r="N188" s="1427"/>
      <c r="O188" s="1427"/>
      <c r="P188" s="1427"/>
      <c r="Q188" s="1464"/>
      <c r="R188" s="1402"/>
      <c r="S188" s="1403"/>
      <c r="T188" s="1403"/>
      <c r="U188" s="1394">
        <v>188</v>
      </c>
      <c r="V188" s="1421"/>
    </row>
    <row r="189" spans="1:22" ht="15.75" hidden="1" customHeight="1">
      <c r="A189" s="1428" t="s">
        <v>183</v>
      </c>
      <c r="B189" s="1433"/>
      <c r="C189" s="1454" t="str">
        <f>IF(SUM(C187)=0,"",C187*C188)</f>
        <v/>
      </c>
      <c r="D189" s="1454" t="str">
        <f>IF(SUM(D187)=0,"",D187*D188)</f>
        <v/>
      </c>
      <c r="E189" s="1454" t="str">
        <f>IF(SUM(E187)=0,"",E187*E188)</f>
        <v/>
      </c>
      <c r="F189" s="1454" t="str">
        <f>IF(SUM(F187)=0,"",F187*F188)</f>
        <v/>
      </c>
      <c r="G189" s="1433"/>
      <c r="H189" s="1463" t="str">
        <f>IF(SUM(H187)=0,"",H187*C188)</f>
        <v/>
      </c>
      <c r="I189" s="1463" t="str">
        <f>IF(SUM(I187)=0,"",I187*D188)</f>
        <v/>
      </c>
      <c r="J189" s="1463" t="str">
        <f>IF(SUM(J187)=0,"",J187*E188)</f>
        <v/>
      </c>
      <c r="K189" s="1463" t="str">
        <f>IF(SUM(K187)=0,"",K187*F188)</f>
        <v/>
      </c>
      <c r="L189" s="1433"/>
      <c r="M189" s="1454" t="str">
        <f>IF(H189="","",SUM(H189)-SUM(C189))</f>
        <v/>
      </c>
      <c r="N189" s="1454" t="str">
        <f>IF(I189="","",SUM(I189)-SUM(D189))</f>
        <v/>
      </c>
      <c r="O189" s="1454" t="str">
        <f>IF(J189="","",SUM(J189)-SUM(E189))</f>
        <v/>
      </c>
      <c r="P189" s="1454" t="str">
        <f>IF(K189="","",SUM(K189)-SUM(F189))</f>
        <v/>
      </c>
      <c r="Q189" s="1464"/>
      <c r="R189" s="1402"/>
      <c r="S189" s="1403"/>
      <c r="T189" s="1403"/>
      <c r="U189" s="1394">
        <v>189</v>
      </c>
      <c r="V189" s="1421"/>
    </row>
    <row r="190" spans="1:22" ht="15.75" hidden="1" customHeight="1">
      <c r="A190" s="1498" t="s">
        <v>232</v>
      </c>
      <c r="B190" s="1432"/>
      <c r="C190" s="1468" t="str">
        <f>IF(SUM(C51)=0,"",SUM(C175,C184,C187)/C51)</f>
        <v/>
      </c>
      <c r="D190" s="1468" t="str">
        <f>IF(SUM(D51)=0,"",SUM(D175,D184,D187)/D51)</f>
        <v/>
      </c>
      <c r="E190" s="1468" t="str">
        <f>IF(SUM(E51)=0,"",SUM(E175,E184,E187)/E51)</f>
        <v/>
      </c>
      <c r="F190" s="1468" t="str">
        <f>IF(SUM(F51)=0,"",SUM(F175,F184,F187)/F51)</f>
        <v/>
      </c>
      <c r="G190" s="1433"/>
      <c r="H190" s="1468" t="str">
        <f>IF(H51=0,"",SUM(H175,SUM(C175)*(H175=""),H184,SUM(C184)*(H184=""),H187)/H51)</f>
        <v/>
      </c>
      <c r="I190" s="1468" t="str">
        <f>IF(I51=0,"",SUM(I175,SUM(D175)*(I175=""),I184,SUM(D184)*(I184=""),I187)/I51)</f>
        <v/>
      </c>
      <c r="J190" s="1468" t="str">
        <f>IF(J51=0,"",SUM(J175,SUM(E175)*(J175=""),J184,SUM(E184)*(J184=""),J187)/J51)</f>
        <v/>
      </c>
      <c r="K190" s="1468" t="str">
        <f>IF(K51=0,"",SUM(K175,SUM(F175)*(K175=""),K184,SUM(F184)*(K184=""),K187)/K51)</f>
        <v/>
      </c>
      <c r="L190" s="1433"/>
      <c r="M190" s="1427"/>
      <c r="N190" s="1427"/>
      <c r="O190" s="1427"/>
      <c r="P190" s="1427"/>
      <c r="Q190" s="1464"/>
      <c r="R190" s="1392"/>
      <c r="S190" s="1393"/>
      <c r="T190" s="1393"/>
      <c r="U190" s="1394">
        <v>190</v>
      </c>
      <c r="V190" s="1421"/>
    </row>
    <row r="191" spans="1:22" ht="15.75" customHeight="1">
      <c r="A191" s="1494" t="s">
        <v>957</v>
      </c>
      <c r="B191" s="1433"/>
      <c r="C191" s="1444" t="str">
        <f>IF(Data!BV191="","",Data!BV191)</f>
        <v/>
      </c>
      <c r="D191" s="1444" t="str">
        <f>IF(Data!BW191="","",Data!BW191)</f>
        <v/>
      </c>
      <c r="E191" s="1444" t="str">
        <f>IF(Data!BX191="","",Data!BX191)</f>
        <v/>
      </c>
      <c r="F191" s="1444" t="str">
        <f>IF(Data!BY191="","",Data!BY191)</f>
        <v/>
      </c>
      <c r="G191" s="1431"/>
      <c r="H191" s="1427"/>
      <c r="I191" s="1427"/>
      <c r="J191" s="1427"/>
      <c r="K191" s="1427"/>
      <c r="L191" s="1431"/>
      <c r="M191" s="1427"/>
      <c r="N191" s="1427"/>
      <c r="O191" s="1427"/>
      <c r="P191" s="1427"/>
      <c r="Q191" s="1464"/>
      <c r="R191" s="1445"/>
      <c r="S191" s="1446"/>
      <c r="T191" s="1446"/>
      <c r="U191" s="1394">
        <v>191</v>
      </c>
      <c r="V191" s="1421"/>
    </row>
    <row r="192" spans="1:22" ht="15.75" customHeight="1">
      <c r="A192" s="1499" t="s">
        <v>234</v>
      </c>
      <c r="B192" s="1443"/>
      <c r="C192" s="1444" t="str">
        <f>IF(Data!BV192="","",Data!BV192)</f>
        <v/>
      </c>
      <c r="D192" s="1444" t="str">
        <f>IF(Data!BW192="","",Data!BW192)</f>
        <v/>
      </c>
      <c r="E192" s="1444" t="str">
        <f>IF(Data!BX192="","",Data!BX192)</f>
        <v/>
      </c>
      <c r="F192" s="1444" t="str">
        <f>IF(Data!BY192="","",Data!BY192)</f>
        <v/>
      </c>
      <c r="G192" s="1431"/>
      <c r="H192" s="1427"/>
      <c r="I192" s="1427"/>
      <c r="J192" s="1427"/>
      <c r="K192" s="1427"/>
      <c r="L192" s="1431"/>
      <c r="M192" s="1427"/>
      <c r="N192" s="1427"/>
      <c r="O192" s="1427"/>
      <c r="P192" s="1427"/>
      <c r="Q192" s="1464"/>
      <c r="R192" s="1402"/>
      <c r="S192" s="1403"/>
      <c r="T192" s="1403"/>
      <c r="U192" s="1394">
        <v>192</v>
      </c>
      <c r="V192" s="1421"/>
    </row>
    <row r="193" spans="1:22" ht="15.75" customHeight="1">
      <c r="A193" s="1428" t="s">
        <v>235</v>
      </c>
      <c r="B193" s="1493"/>
      <c r="C193" s="1444" t="str">
        <f>IF(Data!BV193="","",Data!BV193)</f>
        <v/>
      </c>
      <c r="D193" s="1444" t="str">
        <f>IF(Data!BW193="","",Data!BW193)</f>
        <v/>
      </c>
      <c r="E193" s="1444" t="str">
        <f>IF(Data!BX193="","",Data!BX193)</f>
        <v/>
      </c>
      <c r="F193" s="1444" t="str">
        <f>IF(Data!BY193="","",Data!BY193)</f>
        <v/>
      </c>
      <c r="G193" s="1431"/>
      <c r="H193" s="1427"/>
      <c r="I193" s="1427"/>
      <c r="J193" s="1427"/>
      <c r="K193" s="1427"/>
      <c r="L193" s="1431"/>
      <c r="M193" s="1427"/>
      <c r="N193" s="1427"/>
      <c r="O193" s="1427"/>
      <c r="P193" s="1427"/>
      <c r="Q193" s="1464"/>
      <c r="R193" s="1402"/>
      <c r="S193" s="1403"/>
      <c r="T193" s="1403"/>
      <c r="U193" s="1394">
        <v>193</v>
      </c>
      <c r="V193" s="1421"/>
    </row>
    <row r="194" spans="1:22" ht="15.75" customHeight="1">
      <c r="A194" s="1428" t="s">
        <v>183</v>
      </c>
      <c r="B194" s="1412"/>
      <c r="C194" s="1454" t="str">
        <f>IF(SUM(C191)=0,"",C191*(SUM(C193)-SUM(C192)))</f>
        <v/>
      </c>
      <c r="D194" s="1454" t="str">
        <f>IF(SUM(D191)=0,"",D191*(SUM(D193)-SUM(D192)))</f>
        <v/>
      </c>
      <c r="E194" s="1454" t="str">
        <f>IF(SUM(E191)=0,"",E191*(SUM(E193)-SUM(E192)))</f>
        <v/>
      </c>
      <c r="F194" s="1454" t="str">
        <f>IF(SUM(F191)=0,"",F191*(SUM(F193)-SUM(F192)))</f>
        <v/>
      </c>
      <c r="G194" s="1433"/>
      <c r="H194" s="1427"/>
      <c r="I194" s="1427"/>
      <c r="J194" s="1427"/>
      <c r="K194" s="1427"/>
      <c r="L194" s="1433"/>
      <c r="M194" s="1427"/>
      <c r="N194" s="1427"/>
      <c r="O194" s="1427"/>
      <c r="P194" s="1427"/>
      <c r="Q194" s="1464"/>
      <c r="R194" s="1402"/>
      <c r="S194" s="1403"/>
      <c r="T194" s="1403"/>
      <c r="U194" s="1394">
        <v>194</v>
      </c>
      <c r="V194" s="1421"/>
    </row>
    <row r="195" spans="1:22" ht="15.75" customHeight="1">
      <c r="A195" s="1494" t="s">
        <v>958</v>
      </c>
      <c r="B195" s="1431"/>
      <c r="C195" s="1444" t="str">
        <f>IF(Data!BV195="","",Data!BV195)</f>
        <v/>
      </c>
      <c r="D195" s="1444" t="str">
        <f>IF(Data!BW195="","",Data!BW195)</f>
        <v/>
      </c>
      <c r="E195" s="1444" t="str">
        <f>IF(Data!BX195="","",Data!BX195)</f>
        <v/>
      </c>
      <c r="F195" s="1444" t="str">
        <f>IF(Data!BY195="","",Data!BY195)</f>
        <v/>
      </c>
      <c r="G195" s="1431"/>
      <c r="H195" s="1492"/>
      <c r="I195" s="1492"/>
      <c r="J195" s="1492"/>
      <c r="K195" s="1492"/>
      <c r="L195" s="1431"/>
      <c r="M195" s="1427"/>
      <c r="N195" s="1427"/>
      <c r="O195" s="1427"/>
      <c r="P195" s="1427"/>
      <c r="Q195" s="1464"/>
      <c r="R195" s="1445"/>
      <c r="S195" s="1446"/>
      <c r="T195" s="1446"/>
      <c r="U195" s="1394">
        <v>195</v>
      </c>
      <c r="V195" s="1421"/>
    </row>
    <row r="196" spans="1:22" ht="15.75" customHeight="1">
      <c r="A196" s="1428" t="s">
        <v>181</v>
      </c>
      <c r="B196" s="1433"/>
      <c r="C196" s="1444" t="str">
        <f>IF(Data!BV196="","",Data!BV196)</f>
        <v/>
      </c>
      <c r="D196" s="1444" t="str">
        <f>IF(Data!BW196="","",Data!BW196)</f>
        <v/>
      </c>
      <c r="E196" s="1444" t="str">
        <f>IF(Data!BX196="","",Data!BX196)</f>
        <v/>
      </c>
      <c r="F196" s="1444" t="str">
        <f>IF(Data!BY196="","",Data!BY196)</f>
        <v/>
      </c>
      <c r="G196" s="1431"/>
      <c r="H196" s="1427"/>
      <c r="I196" s="1427"/>
      <c r="J196" s="1427"/>
      <c r="K196" s="1427"/>
      <c r="L196" s="1431"/>
      <c r="M196" s="1427"/>
      <c r="N196" s="1427"/>
      <c r="O196" s="1427"/>
      <c r="P196" s="1427"/>
      <c r="Q196" s="1464"/>
      <c r="R196" s="1402"/>
      <c r="S196" s="1403"/>
      <c r="T196" s="1403"/>
      <c r="U196" s="1394">
        <v>196</v>
      </c>
      <c r="V196" s="1421"/>
    </row>
    <row r="197" spans="1:22" ht="15.75" customHeight="1">
      <c r="A197" s="1428" t="s">
        <v>183</v>
      </c>
      <c r="B197" s="1433"/>
      <c r="C197" s="1454" t="str">
        <f>IF(SUM(C195)=0,"",C195*C196)</f>
        <v/>
      </c>
      <c r="D197" s="1454" t="str">
        <f>IF(SUM(D195)=0,"",D195*D196)</f>
        <v/>
      </c>
      <c r="E197" s="1454" t="str">
        <f>IF(SUM(E195)=0,"",E195*E196)</f>
        <v/>
      </c>
      <c r="F197" s="1454" t="str">
        <f>IF(SUM(F195)=0,"",F195*F196)</f>
        <v/>
      </c>
      <c r="G197" s="1433"/>
      <c r="H197" s="1463" t="str">
        <f>IF(H195="","",H195*C196)</f>
        <v/>
      </c>
      <c r="I197" s="1463" t="str">
        <f>IF(I195="","",I195*D196)</f>
        <v/>
      </c>
      <c r="J197" s="1463" t="str">
        <f>IF(J195="","",J195*E196)</f>
        <v/>
      </c>
      <c r="K197" s="1463" t="str">
        <f>IF(K195="","",K195*F196)</f>
        <v/>
      </c>
      <c r="L197" s="1433"/>
      <c r="M197" s="1454" t="str">
        <f>IF(H197="","",SUM(H197)-SUM(C197))</f>
        <v/>
      </c>
      <c r="N197" s="1454" t="str">
        <f>IF(I197="","",SUM(I197)-SUM(D197))</f>
        <v/>
      </c>
      <c r="O197" s="1454" t="str">
        <f>IF(J197="","",SUM(J197)-SUM(E197))</f>
        <v/>
      </c>
      <c r="P197" s="1454" t="str">
        <f>IF(K197="","",SUM(K197)-SUM(F197))</f>
        <v/>
      </c>
      <c r="Q197" s="1464"/>
      <c r="R197" s="1402"/>
      <c r="S197" s="1403"/>
      <c r="T197" s="1403"/>
      <c r="U197" s="1394">
        <v>197</v>
      </c>
      <c r="V197" s="1421"/>
    </row>
    <row r="198" spans="1:22" ht="15.75" customHeight="1">
      <c r="A198" s="1494" t="s">
        <v>959</v>
      </c>
      <c r="B198" s="1433"/>
      <c r="C198" s="1444">
        <f>IF(Data!BV198="","",Data!BV198)</f>
        <v>0</v>
      </c>
      <c r="D198" s="1444">
        <f>IF(Data!BW198="","",Data!BW198)</f>
        <v>0</v>
      </c>
      <c r="E198" s="1444">
        <f>IF(Data!BX198="","",Data!BX198)</f>
        <v>0.5</v>
      </c>
      <c r="F198" s="1444">
        <f>IF(Data!BY198="","",Data!BY198)</f>
        <v>2</v>
      </c>
      <c r="G198" s="1431"/>
      <c r="H198" s="1497">
        <f>IF(H52=0,"",ROUND((MIN(H52*'Exp factors'!C$14-H178-SUM(C178)*(H178="")-SUM(C191)*(SUM(C192)=0)-H195-SUM(C195)*(H195=""),SUM(C198)*'Exp factors'!C$15))*20/10,0)/2)</f>
        <v>0</v>
      </c>
      <c r="I198" s="1497">
        <f>IF(I52=0,"",ROUND((MIN(I52*'Exp factors'!D$14-I178-SUM(D178)*(I178="")-SUM(D191)*(SUM(D192)=0)-I195-SUM(D195)*(I195=""),SUM(D198)*'Exp factors'!D$15))*20/10,0)/2)</f>
        <v>0</v>
      </c>
      <c r="J198" s="1497">
        <f>IF(J52=0,"",ROUND((MIN(J52*'Exp factors'!E$14-J178-SUM(E178)*(J178="")-SUM(E191)*(SUM(E192)=0)-J195-SUM(E195)*(J195=""),SUM(E198)*'Exp factors'!E$15))*20/10,0)/2)</f>
        <v>0.5</v>
      </c>
      <c r="K198" s="1497">
        <f>IF(K52=0,"",ROUND((MIN(K52*'Exp factors'!F$14-K178-SUM(F178)*(K178="")-SUM(F191)*(SUM(F192)=0)-K195-SUM(F195)*(K195=""),SUM(F198)*'Exp factors'!F$15))*20/10,0)/2)</f>
        <v>2.5</v>
      </c>
      <c r="L198" s="1431"/>
      <c r="M198" s="1427"/>
      <c r="N198" s="1427"/>
      <c r="O198" s="1427"/>
      <c r="P198" s="1427"/>
      <c r="Q198" s="1464"/>
      <c r="R198" s="1445"/>
      <c r="S198" s="1446"/>
      <c r="T198" s="1446"/>
      <c r="U198" s="1394">
        <v>198</v>
      </c>
      <c r="V198" s="1421"/>
    </row>
    <row r="199" spans="1:22" ht="15.75" customHeight="1">
      <c r="A199" s="1428" t="s">
        <v>181</v>
      </c>
      <c r="B199" s="1443"/>
      <c r="C199" s="1444" t="str">
        <f>IF(Data!BV199="","",Data!BV199)</f>
        <v/>
      </c>
      <c r="D199" s="1444">
        <f>IF(Data!BW199="","",Data!BW199)</f>
        <v>4000</v>
      </c>
      <c r="E199" s="1444">
        <f>IF(Data!BX199="","",Data!BX199)</f>
        <v>4000</v>
      </c>
      <c r="F199" s="1444">
        <f>IF(Data!BY199="","",Data!BY199)</f>
        <v>4000</v>
      </c>
      <c r="G199" s="1431"/>
      <c r="H199" s="1427"/>
      <c r="I199" s="1427"/>
      <c r="J199" s="1427"/>
      <c r="K199" s="1427"/>
      <c r="L199" s="1431"/>
      <c r="M199" s="1427"/>
      <c r="N199" s="1427"/>
      <c r="O199" s="1427"/>
      <c r="P199" s="1427"/>
      <c r="Q199" s="1464"/>
      <c r="R199" s="1402"/>
      <c r="S199" s="1403"/>
      <c r="T199" s="1403"/>
      <c r="U199" s="1394">
        <v>199</v>
      </c>
      <c r="V199" s="1421"/>
    </row>
    <row r="200" spans="1:22" ht="15.75" customHeight="1">
      <c r="A200" s="1428" t="s">
        <v>183</v>
      </c>
      <c r="B200" s="1493"/>
      <c r="C200" s="1454" t="str">
        <f>IF(SUM(C198)=0,"",C198*C199)</f>
        <v/>
      </c>
      <c r="D200" s="1454" t="str">
        <f>IF(SUM(D198)=0,"",D198*D199)</f>
        <v/>
      </c>
      <c r="E200" s="1454">
        <f>IF(SUM(E198)=0,"",E198*E199)</f>
        <v>2000</v>
      </c>
      <c r="F200" s="1454">
        <f>IF(SUM(F198)=0,"",F198*F199)</f>
        <v>8000</v>
      </c>
      <c r="G200" s="1433"/>
      <c r="H200" s="1463" t="str">
        <f>IF(SUM(H198)=0,"",H198*C199)</f>
        <v/>
      </c>
      <c r="I200" s="1463" t="str">
        <f>IF(SUM(I198)=0,"",I198*D199)</f>
        <v/>
      </c>
      <c r="J200" s="1463">
        <f>IF(SUM(J198)=0,"",J198*E199)</f>
        <v>2000</v>
      </c>
      <c r="K200" s="1463">
        <f>IF(SUM(K198)=0,"",K198*F199)</f>
        <v>10000</v>
      </c>
      <c r="L200" s="1433"/>
      <c r="M200" s="1454" t="str">
        <f>IF(H200="","",SUM(H200)-SUM(C200))</f>
        <v/>
      </c>
      <c r="N200" s="1454" t="str">
        <f>IF(I200="","",SUM(I200)-SUM(D200))</f>
        <v/>
      </c>
      <c r="O200" s="1454">
        <f>IF(J200="","",SUM(J200)-SUM(E200))</f>
        <v>0</v>
      </c>
      <c r="P200" s="1454">
        <f>IF(K200="","",SUM(K200)-SUM(F200))</f>
        <v>2000</v>
      </c>
      <c r="Q200" s="1464"/>
      <c r="R200" s="1402"/>
      <c r="S200" s="1403"/>
      <c r="T200" s="1403"/>
      <c r="U200" s="1394">
        <v>200</v>
      </c>
      <c r="V200" s="1421"/>
    </row>
    <row r="201" spans="1:22" ht="15.75" customHeight="1">
      <c r="A201" s="1498" t="s">
        <v>238</v>
      </c>
      <c r="B201" s="1412"/>
      <c r="C201" s="1468">
        <f>IF(SUM(C52)=0,"",SUM(C178,SUM(C191)*(C192=""),C195,C198)/C52)</f>
        <v>0</v>
      </c>
      <c r="D201" s="1468">
        <f>IF(SUM(D52)=0,"",SUM(D178,SUM(D191)*(D192=""),D195,D198)/D52)</f>
        <v>0.125</v>
      </c>
      <c r="E201" s="1468">
        <f>IF(SUM(E52)=0,"",SUM(E178,SUM(E191)*(E192=""),E195,E198)/E52)</f>
        <v>0.15</v>
      </c>
      <c r="F201" s="1468">
        <f>IF(SUM(F52)=0,"",SUM(F178,SUM(F191)*(F192=""),F195,F198)/F52)</f>
        <v>0.16</v>
      </c>
      <c r="G201" s="1433"/>
      <c r="H201" s="1468">
        <f>IF(H52=0,"",SUM(H178,SUM(C178)*(H178=""),SUM(C191)*(SUM(C192)=0),H195,SUM(C195)*(H195=""),H198)/H52)</f>
        <v>0</v>
      </c>
      <c r="I201" s="1468">
        <f>IF(I52=0,"",SUM(I178,SUM(D178)*(I178=""),SUM(D191)*(SUM(D192)=0),I195,SUM(D195)*(I195=""),I198)/I52)</f>
        <v>0.125</v>
      </c>
      <c r="J201" s="1468">
        <f>IF(J52=0,"",SUM(J178,SUM(E178)*(J178=""),SUM(E191)*(SUM(E192)=0),J195,SUM(E195)*(J195=""),J198)/J52)</f>
        <v>0.15</v>
      </c>
      <c r="K201" s="1468">
        <f>IF(K52=0,"",SUM(K178,SUM(F178)*(K178=""),SUM(F191)*(SUM(F192)=0),K195,SUM(F195)*(K195=""),K198)/K52)</f>
        <v>0.18</v>
      </c>
      <c r="L201" s="1433"/>
      <c r="M201" s="1427"/>
      <c r="N201" s="1427"/>
      <c r="O201" s="1427"/>
      <c r="P201" s="1427"/>
      <c r="Q201" s="1464"/>
      <c r="R201" s="1392"/>
      <c r="S201" s="1393"/>
      <c r="T201" s="1393"/>
      <c r="U201" s="1394">
        <v>201</v>
      </c>
      <c r="V201" s="1421"/>
    </row>
    <row r="202" spans="1:22" ht="15.75" customHeight="1">
      <c r="A202" s="1494" t="s">
        <v>960</v>
      </c>
      <c r="B202" s="1431"/>
      <c r="C202" s="1444" t="str">
        <f>IF(Data!BV202="","",Data!BV202)</f>
        <v/>
      </c>
      <c r="D202" s="1444" t="str">
        <f>IF(Data!BW202="","",Data!BW202)</f>
        <v/>
      </c>
      <c r="E202" s="1444" t="str">
        <f>IF(Data!BX202="","",Data!BX202)</f>
        <v/>
      </c>
      <c r="F202" s="1444" t="str">
        <f>IF(Data!BY202="","",Data!BY202)</f>
        <v/>
      </c>
      <c r="G202" s="1431"/>
      <c r="H202" s="1492"/>
      <c r="I202" s="1492"/>
      <c r="J202" s="1492"/>
      <c r="K202" s="1492"/>
      <c r="L202" s="1431"/>
      <c r="M202" s="1427"/>
      <c r="N202" s="1427"/>
      <c r="O202" s="1427"/>
      <c r="P202" s="1427"/>
      <c r="Q202" s="1464"/>
      <c r="R202" s="1445"/>
      <c r="S202" s="1446"/>
      <c r="T202" s="1446"/>
      <c r="U202" s="1394">
        <v>202</v>
      </c>
      <c r="V202" s="1421"/>
    </row>
    <row r="203" spans="1:22" ht="15.75" customHeight="1">
      <c r="A203" s="1428" t="s">
        <v>181</v>
      </c>
      <c r="B203" s="1433"/>
      <c r="C203" s="1444" t="str">
        <f>IF(Data!BV203="","",Data!BV203)</f>
        <v/>
      </c>
      <c r="D203" s="1444" t="str">
        <f>IF(Data!BW203="","",Data!BW203)</f>
        <v/>
      </c>
      <c r="E203" s="1444" t="str">
        <f>IF(Data!BX203="","",Data!BX203)</f>
        <v/>
      </c>
      <c r="F203" s="1444" t="str">
        <f>IF(Data!BY203="","",Data!BY203)</f>
        <v/>
      </c>
      <c r="G203" s="1431"/>
      <c r="H203" s="1427"/>
      <c r="I203" s="1427"/>
      <c r="J203" s="1427"/>
      <c r="K203" s="1427"/>
      <c r="L203" s="1431"/>
      <c r="M203" s="1427"/>
      <c r="N203" s="1427"/>
      <c r="O203" s="1427"/>
      <c r="P203" s="1427"/>
      <c r="Q203" s="1464"/>
      <c r="R203" s="1402"/>
      <c r="S203" s="1403"/>
      <c r="T203" s="1403"/>
      <c r="U203" s="1394">
        <v>203</v>
      </c>
      <c r="V203" s="1421"/>
    </row>
    <row r="204" spans="1:22" ht="15.75" customHeight="1">
      <c r="A204" s="1428" t="s">
        <v>183</v>
      </c>
      <c r="B204" s="1433"/>
      <c r="C204" s="1454" t="str">
        <f>IF(SUM(C202)=0,"",C202*C203)</f>
        <v/>
      </c>
      <c r="D204" s="1454" t="str">
        <f>IF(SUM(D202)=0,"",D202*D203)</f>
        <v/>
      </c>
      <c r="E204" s="1454" t="str">
        <f>IF(SUM(E202)=0,"",E202*E203)</f>
        <v/>
      </c>
      <c r="F204" s="1454" t="str">
        <f>IF(SUM(F202)=0,"",F202*F203)</f>
        <v/>
      </c>
      <c r="G204" s="1433"/>
      <c r="H204" s="1463" t="str">
        <f>IF(H202="","",H202*C203)</f>
        <v/>
      </c>
      <c r="I204" s="1463" t="str">
        <f>IF(I202="","",I202*D203)</f>
        <v/>
      </c>
      <c r="J204" s="1463" t="str">
        <f>IF(J202="","",J202*E203)</f>
        <v/>
      </c>
      <c r="K204" s="1463" t="str">
        <f>IF(K202="","",K202*F203)</f>
        <v/>
      </c>
      <c r="L204" s="1433"/>
      <c r="M204" s="1454" t="str">
        <f>IF(H204="","",SUM(H204)-SUM(C204))</f>
        <v/>
      </c>
      <c r="N204" s="1454" t="str">
        <f>IF(I204="","",SUM(I204)-SUM(D204))</f>
        <v/>
      </c>
      <c r="O204" s="1454" t="str">
        <f>IF(J204="","",SUM(J204)-SUM(E204))</f>
        <v/>
      </c>
      <c r="P204" s="1454" t="str">
        <f>IF(K204="","",SUM(K204)-SUM(F204))</f>
        <v/>
      </c>
      <c r="Q204" s="1464"/>
      <c r="R204" s="1402"/>
      <c r="S204" s="1403"/>
      <c r="T204" s="1403"/>
      <c r="U204" s="1394">
        <v>204</v>
      </c>
      <c r="V204" s="1421"/>
    </row>
    <row r="205" spans="1:22" ht="15.75" customHeight="1">
      <c r="A205" s="1494" t="str">
        <f>IF(AND(SUM(MAX(Data!$BV205:$BY205))=0,NOT(SUM(MAX(Data!$BV211:$BY211))=0)),Data!A211,Data!A205)</f>
        <v>Goat sales - local: no. sold</v>
      </c>
      <c r="B205" s="1433"/>
      <c r="C205" s="1444">
        <f>IF(AND(SUM(MAX(Data!$BV205:$BY205))=0,NOT(SUM(MAX(Data!$BV211:$BY211))=0)),Data!BV211,Data!BV205)</f>
        <v>0</v>
      </c>
      <c r="D205" s="1444">
        <f>IF(AND(SUM(MAX(Data!$BV205:$BY205))=0,NOT(SUM(MAX(Data!$BV211:$BY211))=0)),Data!BW211,Data!BW205)</f>
        <v>0.5</v>
      </c>
      <c r="E205" s="1444">
        <f>IF(AND(SUM(MAX(Data!$BV205:$BY205))=0,NOT(SUM(MAX(Data!$BV211:$BY211))=0)),Data!BX211,Data!BX205)</f>
        <v>1.5</v>
      </c>
      <c r="F205" s="1444">
        <f>IF(AND(SUM(MAX(Data!$BV205:$BY205))=0,NOT(SUM(MAX(Data!$BV211:$BY211))=0)),Data!BY211,Data!BY205)</f>
        <v>2.5</v>
      </c>
      <c r="G205" s="1431"/>
      <c r="H205" s="149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9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9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49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31"/>
      <c r="M205" s="1427"/>
      <c r="N205" s="1427"/>
      <c r="O205" s="1427"/>
      <c r="P205" s="1427"/>
      <c r="Q205" s="1464"/>
      <c r="R205" s="1445"/>
      <c r="S205" s="1446"/>
      <c r="T205" s="1446"/>
      <c r="U205" s="1394">
        <v>205</v>
      </c>
      <c r="V205" s="1421"/>
    </row>
    <row r="206" spans="1:22" ht="15.75" customHeight="1">
      <c r="A206" s="1428" t="s">
        <v>181</v>
      </c>
      <c r="B206" s="1433"/>
      <c r="C206" s="1444">
        <f>IF(AND(SUM(MAX(Data!$BV206:$BY206))=0,NOT(SUM(MAX(Data!$BV212:$BY212))=0)),Data!BV212,Data!BV206)</f>
        <v>1000</v>
      </c>
      <c r="D206" s="1444">
        <f>IF(AND(SUM(MAX(Data!$BV206:$BY206))=0,NOT(SUM(MAX(Data!$BV212:$BY212))=0)),Data!BW212,Data!BW206)</f>
        <v>1000</v>
      </c>
      <c r="E206" s="1444">
        <f>IF(AND(SUM(MAX(Data!$BV206:$BY206))=0,NOT(SUM(MAX(Data!$BV212:$BY212))=0)),Data!BX212,Data!BX206)</f>
        <v>1000</v>
      </c>
      <c r="F206" s="1444">
        <f>IF(AND(SUM(MAX(Data!$BV206:$BY206))=0,NOT(SUM(MAX(Data!$BV212:$BY212))=0)),Data!BY212,Data!BY206)</f>
        <v>1000</v>
      </c>
      <c r="G206" s="1431"/>
      <c r="H206" s="1427"/>
      <c r="I206" s="1427"/>
      <c r="J206" s="1427"/>
      <c r="K206" s="1427"/>
      <c r="L206" s="1431"/>
      <c r="M206" s="1427"/>
      <c r="N206" s="1427"/>
      <c r="O206" s="1427"/>
      <c r="P206" s="1427"/>
      <c r="Q206" s="1464"/>
      <c r="R206" s="1402"/>
      <c r="S206" s="1403"/>
      <c r="T206" s="1403"/>
      <c r="U206" s="1394">
        <v>206</v>
      </c>
      <c r="V206" s="1421"/>
    </row>
    <row r="207" spans="1:22" ht="15.75" customHeight="1">
      <c r="A207" s="1428" t="s">
        <v>183</v>
      </c>
      <c r="B207" s="1493"/>
      <c r="C207" s="1454" t="str">
        <f>IF(SUM(C205)=0,"",C205*C206)</f>
        <v/>
      </c>
      <c r="D207" s="1454">
        <f>IF(SUM(D205)=0,"",D205*D206)</f>
        <v>500</v>
      </c>
      <c r="E207" s="1454">
        <f>IF(SUM(E205)=0,"",E205*E206)</f>
        <v>1500</v>
      </c>
      <c r="F207" s="1454">
        <f>IF(SUM(F205)=0,"",F205*F206)</f>
        <v>2500</v>
      </c>
      <c r="G207" s="1433"/>
      <c r="H207" s="1463" t="str">
        <f>IF(SUM(H205)=0,"",H205*C206)</f>
        <v/>
      </c>
      <c r="I207" s="1463">
        <f>IF(SUM(I205)=0,"",I205*D206)</f>
        <v>500</v>
      </c>
      <c r="J207" s="1463">
        <f>IF(SUM(J205)=0,"",J205*E206)</f>
        <v>2500</v>
      </c>
      <c r="K207" s="1463">
        <f>IF(SUM(K205)=0,"",K205*F206)</f>
        <v>3000</v>
      </c>
      <c r="L207" s="1433"/>
      <c r="M207" s="1454" t="str">
        <f>IF(H207="","",SUM(H207)-SUM(C207))</f>
        <v/>
      </c>
      <c r="N207" s="1454">
        <f>IF(I207="","",SUM(I207)-SUM(D207))</f>
        <v>0</v>
      </c>
      <c r="O207" s="1454">
        <f>IF(J207="","",SUM(J207)-SUM(E207))</f>
        <v>1000</v>
      </c>
      <c r="P207" s="1454">
        <f>IF(K207="","",SUM(K207)-SUM(F207))</f>
        <v>500</v>
      </c>
      <c r="Q207" s="1464"/>
      <c r="R207" s="1402"/>
      <c r="S207" s="1403"/>
      <c r="T207" s="1403"/>
      <c r="U207" s="1394">
        <v>207</v>
      </c>
      <c r="V207" s="1421"/>
    </row>
    <row r="208" spans="1:22" ht="15.75" customHeight="1">
      <c r="A208" s="1494" t="s">
        <v>961</v>
      </c>
      <c r="B208" s="1412"/>
      <c r="C208" s="1444" t="str">
        <f>IF(Data!BV208="","",Data!BV208)</f>
        <v/>
      </c>
      <c r="D208" s="1444" t="str">
        <f>IF(Data!BW208="","",Data!BW208)</f>
        <v/>
      </c>
      <c r="E208" s="1444" t="str">
        <f>IF(Data!BX208="","",Data!BX208)</f>
        <v/>
      </c>
      <c r="F208" s="1444" t="str">
        <f>IF(Data!BY208="","",Data!BY208)</f>
        <v/>
      </c>
      <c r="G208" s="1431"/>
      <c r="H208" s="1492"/>
      <c r="I208" s="1492"/>
      <c r="J208" s="1492"/>
      <c r="K208" s="1492"/>
      <c r="L208" s="1431"/>
      <c r="M208" s="1427"/>
      <c r="N208" s="1427"/>
      <c r="O208" s="1427"/>
      <c r="P208" s="1427"/>
      <c r="Q208" s="1464"/>
      <c r="R208" s="1445"/>
      <c r="S208" s="1446"/>
      <c r="T208" s="1446"/>
      <c r="U208" s="1394">
        <v>208</v>
      </c>
      <c r="V208" s="1421"/>
    </row>
    <row r="209" spans="1:22" ht="15.75" customHeight="1">
      <c r="A209" s="1428" t="s">
        <v>181</v>
      </c>
      <c r="B209" s="1431"/>
      <c r="C209" s="1444" t="str">
        <f>IF(Data!BV209="","",Data!BV209)</f>
        <v/>
      </c>
      <c r="D209" s="1444" t="str">
        <f>IF(Data!BW209="","",Data!BW209)</f>
        <v/>
      </c>
      <c r="E209" s="1444" t="str">
        <f>IF(Data!BX209="","",Data!BX209)</f>
        <v/>
      </c>
      <c r="F209" s="1444" t="str">
        <f>IF(Data!BY209="","",Data!BY209)</f>
        <v/>
      </c>
      <c r="G209" s="1431"/>
      <c r="H209" s="1427"/>
      <c r="I209" s="1427"/>
      <c r="J209" s="1427"/>
      <c r="K209" s="1427"/>
      <c r="L209" s="1431"/>
      <c r="M209" s="1427"/>
      <c r="N209" s="1427"/>
      <c r="O209" s="1427"/>
      <c r="P209" s="1427"/>
      <c r="Q209" s="1464"/>
      <c r="R209" s="1402"/>
      <c r="S209" s="1403"/>
      <c r="T209" s="1403"/>
      <c r="U209" s="1394">
        <v>209</v>
      </c>
      <c r="V209" s="1421"/>
    </row>
    <row r="210" spans="1:22" ht="15.75" customHeight="1">
      <c r="A210" s="1428" t="s">
        <v>183</v>
      </c>
      <c r="B210" s="1433"/>
      <c r="C210" s="1454" t="str">
        <f>IF(SUM(C208)=0,"",C208*C209)</f>
        <v/>
      </c>
      <c r="D210" s="1454" t="str">
        <f>IF(SUM(D208)=0,"",D208*D209)</f>
        <v/>
      </c>
      <c r="E210" s="1454" t="str">
        <f>IF(SUM(E208)=0,"",E208*E209)</f>
        <v/>
      </c>
      <c r="F210" s="1454" t="str">
        <f>IF(SUM(F208)=0,"",F208*F209)</f>
        <v/>
      </c>
      <c r="G210" s="1433"/>
      <c r="H210" s="1463" t="str">
        <f>IF(H208="","",H208*C209)</f>
        <v/>
      </c>
      <c r="I210" s="1463" t="str">
        <f>IF(I208="","",I208*D209)</f>
        <v/>
      </c>
      <c r="J210" s="1463" t="str">
        <f>IF(J208="","",J208*E209)</f>
        <v/>
      </c>
      <c r="K210" s="1463" t="str">
        <f>IF(K208="","",K208*F209)</f>
        <v/>
      </c>
      <c r="L210" s="1433"/>
      <c r="M210" s="1454" t="str">
        <f>IF(H210="","",SUM(H210)-SUM(C210))</f>
        <v/>
      </c>
      <c r="N210" s="1454" t="str">
        <f>IF(I210="","",SUM(I210)-SUM(D210))</f>
        <v/>
      </c>
      <c r="O210" s="1454" t="str">
        <f>IF(J210="","",SUM(J210)-SUM(E210))</f>
        <v/>
      </c>
      <c r="P210" s="1454" t="str">
        <f>IF(K210="","",SUM(K210)-SUM(F210))</f>
        <v/>
      </c>
      <c r="Q210" s="1464"/>
      <c r="R210" s="1402"/>
      <c r="S210" s="1403"/>
      <c r="T210" s="1403"/>
      <c r="U210" s="1394">
        <v>210</v>
      </c>
      <c r="V210" s="1421"/>
    </row>
    <row r="211" spans="1:22" ht="15.75" customHeight="1">
      <c r="A211" s="1494" t="str">
        <f>IF(AND(SUM(MAX(Data!$BV205:$BY205))=0,NOT(SUM(MAX(Data!$BV211:$BY211))=0)),Data!A205,Data!A211)</f>
        <v>Sheep sales - local: no. sold</v>
      </c>
      <c r="B211" s="1433"/>
      <c r="C211" s="1444">
        <f>IF(AND(SUM(MAX(Data!$BV205:$BY205))=0,NOT(SUM(MAX(Data!$BV211:$BY211))=0)),Data!BV205,Data!BV211)</f>
        <v>0</v>
      </c>
      <c r="D211" s="1444">
        <f>IF(AND(SUM(MAX(Data!$BV205:$BY205))=0,NOT(SUM(MAX(Data!$BV211:$BY211))=0)),Data!BW205,Data!BW211)</f>
        <v>0</v>
      </c>
      <c r="E211" s="1444">
        <f>IF(AND(SUM(MAX(Data!$BV205:$BY205))=0,NOT(SUM(MAX(Data!$BV211:$BY211))=0)),Data!BX205,Data!BX211)</f>
        <v>0</v>
      </c>
      <c r="F211" s="1444">
        <f>IF(AND(SUM(MAX(Data!$BV205:$BY205))=0,NOT(SUM(MAX(Data!$BV211:$BY211))=0)),Data!BY205,Data!BY211)</f>
        <v>0</v>
      </c>
      <c r="G211" s="1431"/>
      <c r="H211" s="1492"/>
      <c r="I211" s="1492"/>
      <c r="J211" s="1492"/>
      <c r="K211" s="1492"/>
      <c r="L211" s="1431"/>
      <c r="M211" s="1427"/>
      <c r="N211" s="1427"/>
      <c r="O211" s="1427"/>
      <c r="P211" s="1427"/>
      <c r="Q211" s="1464"/>
      <c r="R211" s="1445"/>
      <c r="S211" s="1446"/>
      <c r="T211" s="1446"/>
      <c r="U211" s="1394">
        <v>211</v>
      </c>
      <c r="V211" s="1421"/>
    </row>
    <row r="212" spans="1:22" ht="15.75" customHeight="1">
      <c r="A212" s="1428" t="s">
        <v>181</v>
      </c>
      <c r="B212" s="1433"/>
      <c r="C212" s="1444">
        <f>IF(AND(SUM(MAX(Data!$BV206:$BY206))=0,NOT(SUM(MAX(Data!$BV212:$BY212))=0)),Data!BV206,Data!BV212)</f>
        <v>0</v>
      </c>
      <c r="D212" s="1444">
        <f>IF(AND(SUM(MAX(Data!$BV206:$BY206))=0,NOT(SUM(MAX(Data!$BV212:$BY212))=0)),Data!BW206,Data!BW212)</f>
        <v>0</v>
      </c>
      <c r="E212" s="1444">
        <f>IF(AND(SUM(MAX(Data!$BV206:$BY206))=0,NOT(SUM(MAX(Data!$BV212:$BY212))=0)),Data!BX206,Data!BX212)</f>
        <v>0</v>
      </c>
      <c r="F212" s="1444">
        <f>IF(AND(SUM(MAX(Data!$BV206:$BY206))=0,NOT(SUM(MAX(Data!$BV212:$BY212))=0)),Data!BY206,Data!BY212)</f>
        <v>0</v>
      </c>
      <c r="G212" s="1431"/>
      <c r="H212" s="1427"/>
      <c r="I212" s="1427"/>
      <c r="J212" s="1427"/>
      <c r="K212" s="1427"/>
      <c r="L212" s="1431"/>
      <c r="M212" s="1427"/>
      <c r="N212" s="1427"/>
      <c r="O212" s="1427"/>
      <c r="P212" s="1427"/>
      <c r="Q212" s="1464"/>
      <c r="R212" s="1402"/>
      <c r="S212" s="1403"/>
      <c r="T212" s="1403"/>
      <c r="U212" s="1394">
        <v>212</v>
      </c>
      <c r="V212" s="1421"/>
    </row>
    <row r="213" spans="1:22" ht="15.75" customHeight="1">
      <c r="A213" s="1428" t="s">
        <v>183</v>
      </c>
      <c r="B213" s="1443"/>
      <c r="C213" s="1454" t="str">
        <f>IF(SUM(C211)=0,"",C211*C212)</f>
        <v/>
      </c>
      <c r="D213" s="1454" t="str">
        <f>IF(SUM(D211)=0,"",D211*D212)</f>
        <v/>
      </c>
      <c r="E213" s="1454" t="str">
        <f>IF(SUM(E211)=0,"",E211*E212)</f>
        <v/>
      </c>
      <c r="F213" s="1454" t="str">
        <f>IF(SUM(F211)=0,"",F211*F212)</f>
        <v/>
      </c>
      <c r="G213" s="1433"/>
      <c r="H213" s="1463" t="str">
        <f>IF(H211="","",H211*C212)</f>
        <v/>
      </c>
      <c r="I213" s="1463" t="str">
        <f>IF(I211="","",I211*D212)</f>
        <v/>
      </c>
      <c r="J213" s="1463" t="str">
        <f>IF(J211="","",J211*E212)</f>
        <v/>
      </c>
      <c r="K213" s="1463" t="str">
        <f>IF(K211="","",K211*F212)</f>
        <v/>
      </c>
      <c r="L213" s="1433"/>
      <c r="M213" s="1454" t="str">
        <f>IF(H213="","",SUM(H213)-SUM(C213))</f>
        <v/>
      </c>
      <c r="N213" s="1454" t="str">
        <f>IF(I213="","",SUM(I213)-SUM(D213))</f>
        <v/>
      </c>
      <c r="O213" s="1454" t="str">
        <f>IF(J213="","",SUM(J213)-SUM(E213))</f>
        <v/>
      </c>
      <c r="P213" s="1454" t="str">
        <f>IF(K213="","",SUM(K213)-SUM(F213))</f>
        <v/>
      </c>
      <c r="Q213" s="1464"/>
      <c r="R213" s="1402"/>
      <c r="S213" s="1403"/>
      <c r="T213" s="1403"/>
      <c r="U213" s="1394">
        <v>213</v>
      </c>
      <c r="V213" s="1421"/>
    </row>
    <row r="214" spans="1:22" ht="15.75" customHeight="1">
      <c r="A214" s="1498" t="s">
        <v>243</v>
      </c>
      <c r="B214" s="1493"/>
      <c r="C214" s="1468">
        <f>IF(SUM(C54,C55)=0,"",SUM(C181,C202,C205,C208,C211)/SUM(C54,C55))</f>
        <v>0.33333333333333331</v>
      </c>
      <c r="D214" s="1468">
        <f>IF(SUM(D54,D55)=0,"",SUM(D181,D202,D205,D208,D211)/SUM(D54,D55))</f>
        <v>0.3125</v>
      </c>
      <c r="E214" s="1468">
        <f>IF(SUM(E54,E55)=0,"",SUM(E181,E202,E205,E208,E211)/SUM(E54,E55))</f>
        <v>0.3</v>
      </c>
      <c r="F214" s="1468">
        <f>IF(SUM(F54,F55)=0,"",SUM(F181,F202,F205,F208,F211)/SUM(F54,F55))</f>
        <v>0.3</v>
      </c>
      <c r="G214" s="1433"/>
      <c r="H214" s="1468">
        <f>IF(H54+H55=0,"",SUM(H181,SUM(C181)*(H181=""),H202,SUM(C202)*(H202=""),H208,SUM(C208)*(H208=""),H211,SUM(C211)*(H211=""),H205)/(H54+H55))</f>
        <v>0.33333333333333331</v>
      </c>
      <c r="I214" s="1468">
        <f>IF(I54+I55=0,"",SUM(I181,SUM(D181)*(I181=""),I202,SUM(D202)*(I202=""),I208,SUM(D208)*(I208=""),I211,SUM(D211)*(I211=""),I205)/(I54+I55))</f>
        <v>0.3125</v>
      </c>
      <c r="J214" s="1468">
        <f>IF(J54+J55=0,"",SUM(J181,SUM(E181)*(J181=""),J202,SUM(E202)*(J202=""),J208,SUM(E208)*(J208=""),J211,SUM(E211)*(J211=""),J205)/(J54+J55))</f>
        <v>0.36666666666666664</v>
      </c>
      <c r="K214" s="1468">
        <f>IF(K54+K55=0,"",SUM(K181,SUM(F181)*(K181=""),K202,SUM(F202)*(K202=""),K208,SUM(F208)*(K208=""),K211,SUM(F211)*(K211=""),K205)/(K54+K55))</f>
        <v>0.32500000000000001</v>
      </c>
      <c r="L214" s="1433"/>
      <c r="M214" s="1449"/>
      <c r="N214" s="1449"/>
      <c r="O214" s="1449"/>
      <c r="P214" s="1449"/>
      <c r="Q214" s="1464"/>
      <c r="R214" s="1392"/>
      <c r="S214" s="1393"/>
      <c r="T214" s="1393"/>
      <c r="U214" s="1394">
        <v>214</v>
      </c>
      <c r="V214" s="1421"/>
    </row>
    <row r="215" spans="1:22" ht="15.75" customHeight="1">
      <c r="A215" s="1500" t="str">
        <f>IF(Data!A215="","",Data!A215)</f>
        <v>Chicken sales: no. sold</v>
      </c>
      <c r="B215" s="1412"/>
      <c r="C215" s="1444" t="str">
        <f>IF(Data!BV215="","",Data!BV215)</f>
        <v/>
      </c>
      <c r="D215" s="1444" t="str">
        <f>IF(Data!BW215="","",Data!BW215)</f>
        <v/>
      </c>
      <c r="E215" s="1444" t="str">
        <f>IF(Data!BX215="","",Data!BX215)</f>
        <v/>
      </c>
      <c r="F215" s="1444">
        <f>IF(Data!BY215="","",Data!BY215)</f>
        <v>11</v>
      </c>
      <c r="G215" s="1431"/>
      <c r="H215" s="1492"/>
      <c r="I215" s="1492"/>
      <c r="J215" s="1492"/>
      <c r="K215" s="1492"/>
      <c r="L215" s="1431"/>
      <c r="M215" s="1427"/>
      <c r="N215" s="1427"/>
      <c r="O215" s="1427"/>
      <c r="P215" s="1427"/>
      <c r="Q215" s="1464"/>
      <c r="R215" s="1445"/>
      <c r="S215" s="1446"/>
      <c r="T215" s="1446"/>
      <c r="U215" s="1394">
        <v>215</v>
      </c>
      <c r="V215" s="1421"/>
    </row>
    <row r="216" spans="1:22" ht="15.75" customHeight="1">
      <c r="A216" s="1428" t="s">
        <v>181</v>
      </c>
      <c r="B216" s="1431"/>
      <c r="C216" s="1444" t="str">
        <f>IF(Data!BV216="","",Data!BV216)</f>
        <v/>
      </c>
      <c r="D216" s="1444" t="str">
        <f>IF(Data!BW216="","",Data!BW216)</f>
        <v/>
      </c>
      <c r="E216" s="1444" t="str">
        <f>IF(Data!BX216="","",Data!BX216)</f>
        <v/>
      </c>
      <c r="F216" s="1444">
        <f>IF(Data!BY216="","",Data!BY216)</f>
        <v>50</v>
      </c>
      <c r="G216" s="1431"/>
      <c r="H216" s="1427"/>
      <c r="I216" s="1427"/>
      <c r="J216" s="1427"/>
      <c r="K216" s="1427"/>
      <c r="L216" s="1431"/>
      <c r="M216" s="1427"/>
      <c r="N216" s="1427"/>
      <c r="O216" s="1427"/>
      <c r="P216" s="1427"/>
      <c r="Q216" s="1464"/>
      <c r="R216" s="1402"/>
      <c r="S216" s="1403"/>
      <c r="T216" s="1403"/>
      <c r="U216" s="1394">
        <v>216</v>
      </c>
      <c r="V216" s="1421"/>
    </row>
    <row r="217" spans="1:22" ht="15.75" customHeight="1">
      <c r="A217" s="1428" t="s">
        <v>183</v>
      </c>
      <c r="B217" s="1433"/>
      <c r="C217" s="1454" t="str">
        <f>IF(SUM(C215)=0,"",C215*C216)</f>
        <v/>
      </c>
      <c r="D217" s="1454" t="str">
        <f>IF(SUM(D215)=0,"",D215*D216)</f>
        <v/>
      </c>
      <c r="E217" s="1454" t="str">
        <f>IF(SUM(E215)=0,"",E215*E216)</f>
        <v/>
      </c>
      <c r="F217" s="1454">
        <f>IF(SUM(F215)=0,"",F215*F216)</f>
        <v>550</v>
      </c>
      <c r="G217" s="1432"/>
      <c r="H217" s="1463" t="str">
        <f>IF(H215="","",H215*C216)</f>
        <v/>
      </c>
      <c r="I217" s="1463" t="str">
        <f>IF(I215="","",I215*D216)</f>
        <v/>
      </c>
      <c r="J217" s="1463" t="str">
        <f>IF(J215="","",J215*E216)</f>
        <v/>
      </c>
      <c r="K217" s="1463" t="str">
        <f>IF(K215="","",K215*F216)</f>
        <v/>
      </c>
      <c r="L217" s="1432"/>
      <c r="M217" s="1454" t="str">
        <f>IF(H217="","",SUM(H217)-SUM(C217))</f>
        <v/>
      </c>
      <c r="N217" s="1454" t="str">
        <f>IF(I217="","",SUM(I217)-SUM(D217))</f>
        <v/>
      </c>
      <c r="O217" s="1454" t="str">
        <f>IF(J217="","",SUM(J217)-SUM(E217))</f>
        <v/>
      </c>
      <c r="P217" s="1454" t="str">
        <f>IF(K217="","",SUM(K217)-SUM(F217))</f>
        <v/>
      </c>
      <c r="Q217" s="1464"/>
      <c r="R217" s="1402"/>
      <c r="S217" s="1403"/>
      <c r="T217" s="1403"/>
      <c r="U217" s="1394">
        <v>217</v>
      </c>
      <c r="V217" s="1421"/>
    </row>
    <row r="218" spans="1:22" ht="15.75" customHeight="1">
      <c r="A218" s="1500" t="str">
        <f>IF(Data!A218="","",Data!A218)</f>
        <v>Egg sales: no. sold</v>
      </c>
      <c r="B218" s="1433"/>
      <c r="C218" s="1444" t="str">
        <f>IF(Data!BV218="","",Data!BV218)</f>
        <v/>
      </c>
      <c r="D218" s="1444" t="str">
        <f>IF(Data!BW218="","",Data!BW218)</f>
        <v/>
      </c>
      <c r="E218" s="1444" t="str">
        <f>IF(Data!BX218="","",Data!BX218)</f>
        <v/>
      </c>
      <c r="F218" s="1444" t="str">
        <f>IF(Data!BY218="","",Data!BY218)</f>
        <v/>
      </c>
      <c r="G218" s="1431"/>
      <c r="H218" s="1427"/>
      <c r="I218" s="1427"/>
      <c r="J218" s="1427"/>
      <c r="K218" s="1427"/>
      <c r="L218" s="1431"/>
      <c r="M218" s="1427"/>
      <c r="N218" s="1427"/>
      <c r="O218" s="1427"/>
      <c r="P218" s="1427"/>
      <c r="Q218" s="1464"/>
      <c r="R218" s="1445"/>
      <c r="S218" s="1446"/>
      <c r="T218" s="1446"/>
      <c r="U218" s="1394">
        <v>218</v>
      </c>
      <c r="V218" s="1421"/>
    </row>
    <row r="219" spans="1:22" ht="15.75" customHeight="1">
      <c r="A219" s="1428" t="s">
        <v>181</v>
      </c>
      <c r="B219" s="1433"/>
      <c r="C219" s="1444" t="str">
        <f>IF(Data!BV219="","",Data!BV219)</f>
        <v/>
      </c>
      <c r="D219" s="1444" t="str">
        <f>IF(Data!BW219="","",Data!BW219)</f>
        <v/>
      </c>
      <c r="E219" s="1444" t="str">
        <f>IF(Data!BX219="","",Data!BX219)</f>
        <v/>
      </c>
      <c r="F219" s="1444" t="str">
        <f>IF(Data!BY219="","",Data!BY219)</f>
        <v/>
      </c>
      <c r="G219" s="1431"/>
      <c r="H219" s="1427"/>
      <c r="I219" s="1427"/>
      <c r="J219" s="1427"/>
      <c r="K219" s="1427"/>
      <c r="L219" s="1431"/>
      <c r="M219" s="1427"/>
      <c r="N219" s="1427"/>
      <c r="O219" s="1427"/>
      <c r="P219" s="1427"/>
      <c r="Q219" s="1464"/>
      <c r="R219" s="1445"/>
      <c r="S219" s="1446"/>
      <c r="T219" s="1446"/>
      <c r="U219" s="1394">
        <v>219</v>
      </c>
      <c r="V219" s="1421"/>
    </row>
    <row r="220" spans="1:22" ht="15.75" customHeight="1">
      <c r="A220" s="1428" t="s">
        <v>183</v>
      </c>
      <c r="B220" s="1443"/>
      <c r="C220" s="1463" t="str">
        <f>IF(SUM(C218)=0,"",C218*C219)</f>
        <v/>
      </c>
      <c r="D220" s="1463" t="str">
        <f>IF(SUM(D218)=0,"",D218*D219)</f>
        <v/>
      </c>
      <c r="E220" s="1463" t="str">
        <f>IF(SUM(E218)=0,"",E218*E219)</f>
        <v/>
      </c>
      <c r="F220" s="1463" t="str">
        <f>IF(SUM(F218)=0,"",F218*F219)</f>
        <v/>
      </c>
      <c r="G220" s="1432"/>
      <c r="H220" s="1427"/>
      <c r="I220" s="1427"/>
      <c r="J220" s="1427"/>
      <c r="K220" s="1427"/>
      <c r="L220" s="1432"/>
      <c r="M220" s="1427"/>
      <c r="N220" s="1427"/>
      <c r="O220" s="1427"/>
      <c r="P220" s="1427"/>
      <c r="Q220" s="1464"/>
      <c r="R220" s="1402"/>
      <c r="S220" s="1403"/>
      <c r="T220" s="1403"/>
      <c r="U220" s="1394">
        <v>220</v>
      </c>
      <c r="V220" s="1421"/>
    </row>
    <row r="221" spans="1:22" ht="15.75" customHeight="1">
      <c r="A221" s="1500" t="str">
        <f>IF(Data!A221="","",Data!A221)</f>
        <v>Pig sales: no sold</v>
      </c>
      <c r="B221" s="1493"/>
      <c r="C221" s="1444" t="str">
        <f>IF(Data!BV221="","",Data!BV221)</f>
        <v/>
      </c>
      <c r="D221" s="1444" t="str">
        <f>IF(Data!BW221="","",Data!BW221)</f>
        <v/>
      </c>
      <c r="E221" s="1444" t="str">
        <f>IF(Data!BX221="","",Data!BX221)</f>
        <v/>
      </c>
      <c r="F221" s="1444" t="str">
        <f>IF(Data!BY221="","",Data!BY221)</f>
        <v/>
      </c>
      <c r="G221" s="1433"/>
      <c r="H221" s="1427"/>
      <c r="I221" s="1427"/>
      <c r="J221" s="1427"/>
      <c r="K221" s="1427"/>
      <c r="L221" s="1433"/>
      <c r="M221" s="1449"/>
      <c r="N221" s="1449"/>
      <c r="O221" s="1449"/>
      <c r="P221" s="1449"/>
      <c r="Q221" s="1464"/>
      <c r="R221" s="1445"/>
      <c r="S221" s="1446"/>
      <c r="T221" s="1446"/>
      <c r="U221" s="1394">
        <v>221</v>
      </c>
      <c r="V221" s="1421"/>
    </row>
    <row r="222" spans="1:22" ht="15.75" customHeight="1">
      <c r="A222" s="1428" t="s">
        <v>181</v>
      </c>
      <c r="B222" s="1412"/>
      <c r="C222" s="1444" t="str">
        <f>IF(Data!BV222="","",Data!BV222)</f>
        <v/>
      </c>
      <c r="D222" s="1444" t="str">
        <f>IF(Data!BW222="","",Data!BW222)</f>
        <v/>
      </c>
      <c r="E222" s="1444" t="str">
        <f>IF(Data!BX222="","",Data!BX222)</f>
        <v/>
      </c>
      <c r="F222" s="1444" t="str">
        <f>IF(Data!BY222="","",Data!BY222)</f>
        <v/>
      </c>
      <c r="G222" s="1433"/>
      <c r="H222" s="1427"/>
      <c r="I222" s="1427"/>
      <c r="J222" s="1427"/>
      <c r="K222" s="1427"/>
      <c r="L222" s="1433"/>
      <c r="M222" s="1449"/>
      <c r="N222" s="1449"/>
      <c r="O222" s="1449"/>
      <c r="P222" s="1449"/>
      <c r="Q222" s="1464"/>
      <c r="R222" s="1402"/>
      <c r="S222" s="1403"/>
      <c r="T222" s="1403"/>
      <c r="U222" s="1394">
        <v>222</v>
      </c>
      <c r="V222" s="1421"/>
    </row>
    <row r="223" spans="1:22" ht="15.75" customHeight="1">
      <c r="A223" s="1428" t="s">
        <v>183</v>
      </c>
      <c r="B223" s="1431"/>
      <c r="C223" s="1463" t="str">
        <f>IF(SUM(C221)=0,"",C221*C222)</f>
        <v/>
      </c>
      <c r="D223" s="1463" t="str">
        <f>IF(SUM(D221)=0,"",D221*D222)</f>
        <v/>
      </c>
      <c r="E223" s="1463" t="str">
        <f>IF(SUM(E221)=0,"",E221*E222)</f>
        <v/>
      </c>
      <c r="F223" s="1463" t="str">
        <f>IF(SUM(F221)=0,"",F221*F222)</f>
        <v/>
      </c>
      <c r="G223" s="1433"/>
      <c r="H223" s="1427"/>
      <c r="I223" s="1427"/>
      <c r="J223" s="1427"/>
      <c r="K223" s="1427"/>
      <c r="L223" s="1433"/>
      <c r="M223" s="1449"/>
      <c r="N223" s="1449"/>
      <c r="O223" s="1449"/>
      <c r="P223" s="1449"/>
      <c r="Q223" s="1464"/>
      <c r="R223" s="1402"/>
      <c r="S223" s="1403"/>
      <c r="T223" s="1403"/>
      <c r="U223" s="1394">
        <v>223</v>
      </c>
      <c r="V223" s="1421"/>
    </row>
    <row r="224" spans="1:22" ht="15.75" customHeight="1">
      <c r="A224" s="1500" t="str">
        <f>IF(Data!A224="","",Data!A224)</f>
        <v>Other: quantity</v>
      </c>
      <c r="B224" s="1433"/>
      <c r="C224" s="1444" t="str">
        <f>IF(Data!BV224="","",Data!BV224)</f>
        <v/>
      </c>
      <c r="D224" s="1444" t="str">
        <f>IF(Data!BW224="","",Data!BW224)</f>
        <v/>
      </c>
      <c r="E224" s="1444" t="str">
        <f>IF(Data!BX224="","",Data!BX224)</f>
        <v/>
      </c>
      <c r="F224" s="1444" t="str">
        <f>IF(Data!BY224="","",Data!BY224)</f>
        <v/>
      </c>
      <c r="G224" s="1433"/>
      <c r="H224" s="1427"/>
      <c r="I224" s="1427"/>
      <c r="J224" s="1427"/>
      <c r="K224" s="1427"/>
      <c r="L224" s="1433"/>
      <c r="M224" s="1449"/>
      <c r="N224" s="1449"/>
      <c r="O224" s="1449"/>
      <c r="P224" s="1449"/>
      <c r="Q224" s="1464"/>
      <c r="R224" s="1402"/>
      <c r="S224" s="1403"/>
      <c r="T224" s="1403"/>
      <c r="U224" s="1394">
        <v>224</v>
      </c>
      <c r="V224" s="1421"/>
    </row>
    <row r="225" spans="1:22" ht="15.75" customHeight="1">
      <c r="A225" s="1428" t="s">
        <v>248</v>
      </c>
      <c r="B225" s="1433"/>
      <c r="C225" s="1444" t="str">
        <f>IF(Data!BV225="","",Data!BV225)</f>
        <v/>
      </c>
      <c r="D225" s="1444" t="str">
        <f>IF(Data!BW225="","",Data!BW225)</f>
        <v/>
      </c>
      <c r="E225" s="1444" t="str">
        <f>IF(Data!BX225="","",Data!BX225)</f>
        <v/>
      </c>
      <c r="F225" s="1444" t="str">
        <f>IF(Data!BY225="","",Data!BY225)</f>
        <v/>
      </c>
      <c r="G225" s="1433"/>
      <c r="H225" s="1427"/>
      <c r="I225" s="1427"/>
      <c r="J225" s="1427"/>
      <c r="K225" s="1427"/>
      <c r="L225" s="1433"/>
      <c r="M225" s="1449"/>
      <c r="N225" s="1449"/>
      <c r="O225" s="1449"/>
      <c r="P225" s="1449"/>
      <c r="Q225" s="1464"/>
      <c r="R225" s="1402"/>
      <c r="S225" s="1403"/>
      <c r="T225" s="1403"/>
      <c r="U225" s="1394">
        <v>225</v>
      </c>
      <c r="V225" s="1421"/>
    </row>
    <row r="226" spans="1:22" ht="15.75" customHeight="1">
      <c r="A226" s="1428" t="s">
        <v>183</v>
      </c>
      <c r="B226" s="1433"/>
      <c r="C226" s="1463" t="str">
        <f>IF(SUM(C224)=0,"",C224*C225)</f>
        <v/>
      </c>
      <c r="D226" s="1463" t="str">
        <f>IF(SUM(D224)=0,"",D224*D225)</f>
        <v/>
      </c>
      <c r="E226" s="1463" t="str">
        <f>IF(SUM(E224)=0,"",E224*E225)</f>
        <v/>
      </c>
      <c r="F226" s="1463" t="str">
        <f>IF(SUM(F224)=0,"",F224*F225)</f>
        <v/>
      </c>
      <c r="G226" s="1433"/>
      <c r="H226" s="1427"/>
      <c r="I226" s="1427"/>
      <c r="J226" s="1427"/>
      <c r="K226" s="1427"/>
      <c r="L226" s="1433"/>
      <c r="M226" s="1449"/>
      <c r="N226" s="1449"/>
      <c r="O226" s="1449"/>
      <c r="P226" s="1449"/>
      <c r="Q226" s="1464"/>
      <c r="R226" s="1402"/>
      <c r="S226" s="1403"/>
      <c r="T226" s="1403"/>
      <c r="U226" s="1394">
        <v>226</v>
      </c>
      <c r="V226" s="1421"/>
    </row>
    <row r="227" spans="1:22" ht="15.75" customHeight="1">
      <c r="A227" s="1501" t="s">
        <v>249</v>
      </c>
      <c r="B227" s="1443"/>
      <c r="C227" s="1444"/>
      <c r="D227" s="1444"/>
      <c r="E227" s="1444"/>
      <c r="F227" s="1444"/>
      <c r="G227" s="1431"/>
      <c r="H227" s="1427"/>
      <c r="I227" s="1427"/>
      <c r="J227" s="1427"/>
      <c r="K227" s="1427"/>
      <c r="L227" s="1431"/>
      <c r="M227" s="1427"/>
      <c r="N227" s="1427"/>
      <c r="O227" s="1427"/>
      <c r="P227" s="1427"/>
      <c r="Q227" s="1464"/>
      <c r="R227" s="1378"/>
      <c r="S227" s="1378"/>
      <c r="T227" s="1378"/>
      <c r="U227" s="1394">
        <v>227</v>
      </c>
      <c r="V227" s="1421"/>
    </row>
    <row r="228" spans="1:22" ht="15.75" customHeight="1">
      <c r="A228" s="1500" t="str">
        <f>IF(Data!A228="","",Data!A228)</f>
        <v>Green cons - Season 1: no of months</v>
      </c>
      <c r="B228" s="1493"/>
      <c r="C228" s="1444">
        <f>IF(Data!BV228="","",Data!BV228)</f>
        <v>3</v>
      </c>
      <c r="D228" s="1444">
        <f>IF(Data!BW228="","",Data!BW228)</f>
        <v>3</v>
      </c>
      <c r="E228" s="1444">
        <f>IF(Data!BX228="","",Data!BX228)</f>
        <v>3</v>
      </c>
      <c r="F228" s="1444">
        <f>IF(Data!BY228="","",Data!BY228)</f>
        <v>3</v>
      </c>
      <c r="G228" s="1431"/>
      <c r="H228" s="1427"/>
      <c r="I228" s="1427"/>
      <c r="J228" s="1427"/>
      <c r="K228" s="1427"/>
      <c r="L228" s="1431"/>
      <c r="M228" s="1427"/>
      <c r="N228" s="1427"/>
      <c r="O228" s="1427"/>
      <c r="P228" s="1427"/>
      <c r="Q228" s="1464"/>
      <c r="R228" s="1402"/>
      <c r="S228" s="1403"/>
      <c r="T228" s="1403"/>
      <c r="U228" s="1394">
        <v>228</v>
      </c>
      <c r="V228" s="1421"/>
    </row>
    <row r="229" spans="1:22" ht="15.75" customHeight="1">
      <c r="A229" s="1382" t="s">
        <v>251</v>
      </c>
      <c r="B229" s="1465"/>
      <c r="C229" s="1466">
        <f>IF(Data!BV229="","",Data!BV229)</f>
        <v>0.17</v>
      </c>
      <c r="D229" s="1466">
        <f>IF(Data!BW229="","",Data!BW229)</f>
        <v>0.17</v>
      </c>
      <c r="E229" s="1466">
        <f>IF(Data!BX229="","",Data!BX229)</f>
        <v>0.17</v>
      </c>
      <c r="F229" s="1466">
        <f>IF(Data!BY229="","",Data!BY229)</f>
        <v>0.2</v>
      </c>
      <c r="G229" s="1443"/>
      <c r="H229" s="1427"/>
      <c r="I229" s="1427"/>
      <c r="J229" s="1427"/>
      <c r="K229" s="1427"/>
      <c r="L229" s="1443"/>
      <c r="M229" s="1502"/>
      <c r="N229" s="1502"/>
      <c r="O229" s="1502"/>
      <c r="P229" s="1502"/>
      <c r="Q229" s="1464"/>
      <c r="R229" s="1392"/>
      <c r="S229" s="1393"/>
      <c r="T229" s="1393"/>
      <c r="U229" s="1394">
        <v>229</v>
      </c>
      <c r="V229" s="1421"/>
    </row>
    <row r="230" spans="1:22" ht="15.75" customHeight="1">
      <c r="A230" s="1382" t="s">
        <v>252</v>
      </c>
      <c r="B230" s="1493"/>
      <c r="C230" s="1483">
        <f>IF(SUM(C228)=0,"",(C228/12)*C229)</f>
        <v>4.2500000000000003E-2</v>
      </c>
      <c r="D230" s="1483">
        <f>IF(SUM(D228)=0,"",(D228/12)*D229)</f>
        <v>4.2500000000000003E-2</v>
      </c>
      <c r="E230" s="1483">
        <f>IF(SUM(E228)=0,"",(E228/12)*E229)</f>
        <v>4.2500000000000003E-2</v>
      </c>
      <c r="F230" s="1483">
        <f>IF(SUM(F228)=0,"",(F228/12)*F229)</f>
        <v>0.05</v>
      </c>
      <c r="G230" s="1443"/>
      <c r="H230" s="1427"/>
      <c r="I230" s="1427"/>
      <c r="J230" s="1427"/>
      <c r="K230" s="1427"/>
      <c r="L230" s="1443"/>
      <c r="M230" s="1427"/>
      <c r="N230" s="1427"/>
      <c r="O230" s="1427"/>
      <c r="P230" s="1427"/>
      <c r="Q230" s="1464"/>
      <c r="R230" s="1392"/>
      <c r="S230" s="1393"/>
      <c r="T230" s="1393"/>
      <c r="U230" s="1394">
        <v>230</v>
      </c>
      <c r="V230" s="1421"/>
    </row>
    <row r="231" spans="1:22" ht="15.75" customHeight="1">
      <c r="A231" s="1500" t="str">
        <f>IF(Data!A231="","",Data!A231)</f>
        <v xml:space="preserve">Green beans </v>
      </c>
      <c r="B231" s="1503"/>
      <c r="C231" s="1444" t="str">
        <f>IF(Data!BV231="","",Data!BV231)</f>
        <v/>
      </c>
      <c r="D231" s="1444" t="str">
        <f>IF(Data!BW231="","",Data!BW231)</f>
        <v/>
      </c>
      <c r="E231" s="1444" t="str">
        <f>IF(Data!BX231="","",Data!BX231)</f>
        <v/>
      </c>
      <c r="F231" s="1444" t="str">
        <f>IF(Data!BY231="","",Data!BY231)</f>
        <v/>
      </c>
      <c r="G231" s="1431"/>
      <c r="H231" s="1427"/>
      <c r="I231" s="1427"/>
      <c r="J231" s="1427"/>
      <c r="K231" s="1427"/>
      <c r="L231" s="1431"/>
      <c r="M231" s="1427"/>
      <c r="N231" s="1427"/>
      <c r="O231" s="1427"/>
      <c r="P231" s="1427"/>
      <c r="Q231" s="1464"/>
      <c r="R231" s="1402"/>
      <c r="S231" s="1403"/>
      <c r="T231" s="1403"/>
      <c r="U231" s="1394">
        <v>231</v>
      </c>
      <c r="V231" s="1421"/>
    </row>
    <row r="232" spans="1:22" s="1506" customFormat="1" ht="15.75" customHeight="1">
      <c r="A232" s="1382" t="s">
        <v>251</v>
      </c>
      <c r="B232" s="1503"/>
      <c r="C232" s="1444" t="str">
        <f>IF(Data!BV232="","",Data!BV232)</f>
        <v/>
      </c>
      <c r="D232" s="1444" t="str">
        <f>IF(Data!BW232="","",Data!BW232)</f>
        <v/>
      </c>
      <c r="E232" s="1444" t="str">
        <f>IF(Data!BX232="","",Data!BX232)</f>
        <v/>
      </c>
      <c r="F232" s="1444" t="str">
        <f>IF(Data!BY232="","",Data!BY232)</f>
        <v/>
      </c>
      <c r="G232" s="1443"/>
      <c r="H232" s="1427"/>
      <c r="I232" s="1427"/>
      <c r="J232" s="1427"/>
      <c r="K232" s="1427"/>
      <c r="L232" s="1443"/>
      <c r="M232" s="1427"/>
      <c r="N232" s="1427"/>
      <c r="O232" s="1427"/>
      <c r="P232" s="1427"/>
      <c r="Q232" s="1504"/>
      <c r="R232" s="1392"/>
      <c r="S232" s="1393"/>
      <c r="T232" s="1393"/>
      <c r="U232" s="1394">
        <v>232</v>
      </c>
      <c r="V232" s="1505"/>
    </row>
    <row r="233" spans="1:22" ht="15.75" customHeight="1">
      <c r="A233" s="1382" t="s">
        <v>252</v>
      </c>
      <c r="B233" s="1415"/>
      <c r="C233" s="1483" t="str">
        <f>IF(SUM(C231)=0,"",(C231/12)*C232)</f>
        <v/>
      </c>
      <c r="D233" s="1483" t="str">
        <f>IF(SUM(D231)=0,"",(D231/12)*D232)</f>
        <v/>
      </c>
      <c r="E233" s="1483" t="str">
        <f>IF(SUM(E231)=0,"",(E231/12)*E232)</f>
        <v/>
      </c>
      <c r="F233" s="1483" t="str">
        <f>IF(SUM(F231)=0,"",(F231/12)*F232)</f>
        <v/>
      </c>
      <c r="G233" s="1443"/>
      <c r="H233" s="1427"/>
      <c r="I233" s="1427"/>
      <c r="J233" s="1427"/>
      <c r="K233" s="1427"/>
      <c r="L233" s="1443"/>
      <c r="M233" s="1427"/>
      <c r="N233" s="1427"/>
      <c r="O233" s="1427"/>
      <c r="P233" s="1427"/>
      <c r="Q233" s="1464"/>
      <c r="R233" s="1392"/>
      <c r="S233" s="1393"/>
      <c r="T233" s="1393"/>
      <c r="U233" s="1394">
        <v>233</v>
      </c>
      <c r="V233" s="1421"/>
    </row>
    <row r="234" spans="1:22" ht="15.75" customHeight="1">
      <c r="A234" s="1500" t="str">
        <f>IF(Data!A234="","",Data!A234)</f>
        <v>Green maize sold: quantity</v>
      </c>
      <c r="B234" s="1507"/>
      <c r="C234" s="1444" t="str">
        <f>IF(Data!BV234="","",Data!BV234)</f>
        <v/>
      </c>
      <c r="D234" s="1444" t="str">
        <f>IF(Data!BW234="","",Data!BW234)</f>
        <v/>
      </c>
      <c r="E234" s="1444" t="str">
        <f>IF(Data!BX234="","",Data!BX234)</f>
        <v/>
      </c>
      <c r="F234" s="1444" t="str">
        <f>IF(Data!BY234="","",Data!BY234)</f>
        <v/>
      </c>
      <c r="G234" s="1460"/>
      <c r="H234" s="1427"/>
      <c r="I234" s="1427"/>
      <c r="J234" s="1427"/>
      <c r="K234" s="1427"/>
      <c r="L234" s="1443"/>
      <c r="M234" s="1477"/>
      <c r="N234" s="1477"/>
      <c r="O234" s="1477"/>
      <c r="P234" s="1477"/>
      <c r="Q234" s="1464"/>
      <c r="R234" s="1402"/>
      <c r="S234" s="1403"/>
      <c r="T234" s="1403"/>
      <c r="U234" s="1394">
        <v>234</v>
      </c>
      <c r="V234" s="1421"/>
    </row>
    <row r="235" spans="1:22" ht="15.75" customHeight="1">
      <c r="A235" s="1382" t="s">
        <v>181</v>
      </c>
      <c r="B235" s="1507"/>
      <c r="C235" s="1444" t="str">
        <f>IF(Data!BV235="","",Data!BV235)</f>
        <v/>
      </c>
      <c r="D235" s="1444" t="str">
        <f>IF(Data!BW235="","",Data!BW235)</f>
        <v/>
      </c>
      <c r="E235" s="1444" t="str">
        <f>IF(Data!BX235="","",Data!BX235)</f>
        <v/>
      </c>
      <c r="F235" s="1444" t="str">
        <f>IF(Data!BY235="","",Data!BY235)</f>
        <v/>
      </c>
      <c r="G235" s="1460"/>
      <c r="H235" s="1427"/>
      <c r="I235" s="1427"/>
      <c r="J235" s="1427"/>
      <c r="K235" s="1427"/>
      <c r="L235" s="1443"/>
      <c r="M235" s="1477"/>
      <c r="N235" s="1477"/>
      <c r="O235" s="1477"/>
      <c r="P235" s="1477"/>
      <c r="Q235" s="1464"/>
      <c r="R235" s="1445"/>
      <c r="S235" s="1446"/>
      <c r="T235" s="1446"/>
      <c r="U235" s="1394">
        <v>235</v>
      </c>
      <c r="V235" s="1421"/>
    </row>
    <row r="236" spans="1:22" ht="15.75" customHeight="1">
      <c r="A236" s="1382" t="s">
        <v>183</v>
      </c>
      <c r="B236" s="1507"/>
      <c r="C236" s="1479" t="str">
        <f>IF(SUM(C234)=0,"",C234*C235)</f>
        <v/>
      </c>
      <c r="D236" s="1479" t="str">
        <f>IF(SUM(D234)=0,"",D234*D235)</f>
        <v/>
      </c>
      <c r="E236" s="1479" t="str">
        <f>IF(SUM(E234)=0,"",E234*E235)</f>
        <v/>
      </c>
      <c r="F236" s="1479" t="str">
        <f>IF(SUM(F234)=0,"",F234*F235)</f>
        <v/>
      </c>
      <c r="G236" s="1443"/>
      <c r="H236" s="1427"/>
      <c r="I236" s="1427"/>
      <c r="J236" s="1427"/>
      <c r="K236" s="1427"/>
      <c r="L236" s="1443"/>
      <c r="M236" s="1477"/>
      <c r="N236" s="1477"/>
      <c r="O236" s="1477"/>
      <c r="P236" s="1477"/>
      <c r="Q236" s="1464"/>
      <c r="R236" s="1402"/>
      <c r="S236" s="1403"/>
      <c r="T236" s="1403"/>
      <c r="U236" s="1394">
        <v>236</v>
      </c>
      <c r="V236" s="1421"/>
    </row>
    <row r="237" spans="1:22" ht="15.75" customHeight="1">
      <c r="A237" s="1500" t="str">
        <f>IF(Data!A237="","",Data!A237)</f>
        <v>Maize: kg produced</v>
      </c>
      <c r="B237" s="1433"/>
      <c r="C237" s="1444">
        <f>IF(Data!BV237="","",Data!BV237)</f>
        <v>200</v>
      </c>
      <c r="D237" s="1444">
        <f>IF(Data!BW237="","",Data!BW237)</f>
        <v>200</v>
      </c>
      <c r="E237" s="1444">
        <f>IF(Data!BX237="","",Data!BX237)</f>
        <v>400</v>
      </c>
      <c r="F237" s="1444">
        <f>IF(Data!BY237="","",Data!BY237)</f>
        <v>500</v>
      </c>
      <c r="G237" s="1431"/>
      <c r="H237" s="1427"/>
      <c r="I237" s="1427"/>
      <c r="J237" s="1427"/>
      <c r="K237" s="1427"/>
      <c r="L237" s="1431"/>
      <c r="M237" s="1427"/>
      <c r="N237" s="1427"/>
      <c r="O237" s="1427"/>
      <c r="P237" s="1427"/>
      <c r="Q237" s="1464"/>
      <c r="R237" s="1402"/>
      <c r="S237" s="1403"/>
      <c r="T237" s="1403"/>
      <c r="U237" s="1394">
        <v>237</v>
      </c>
      <c r="V237" s="1421"/>
    </row>
    <row r="238" spans="1:22" ht="15.75" customHeight="1">
      <c r="A238" s="1380" t="s">
        <v>256</v>
      </c>
      <c r="B238" s="1433"/>
      <c r="C238" s="1456">
        <f>IF(Data!BV238="","",Data!BV238)</f>
        <v>15198.083999999999</v>
      </c>
      <c r="D238" s="1456">
        <f>IF(Data!BW238="","",Data!BW238)</f>
        <v>15198.083999999999</v>
      </c>
      <c r="E238" s="1456">
        <f>IF(Data!BX238="","",Data!BX238)</f>
        <v>15198.083999999999</v>
      </c>
      <c r="F238" s="1456">
        <f>IF(Data!BY238="","",Data!BY238)</f>
        <v>15198.083999999999</v>
      </c>
      <c r="G238" s="1412"/>
      <c r="H238" s="1427"/>
      <c r="I238" s="1427"/>
      <c r="J238" s="1427"/>
      <c r="K238" s="1427"/>
      <c r="L238" s="1412"/>
      <c r="M238" s="1425"/>
      <c r="N238" s="1425"/>
      <c r="O238" s="1425"/>
      <c r="P238" s="1425"/>
      <c r="Q238" s="1464"/>
      <c r="R238" s="1402"/>
      <c r="S238" s="1403"/>
      <c r="T238" s="1403"/>
      <c r="U238" s="1394">
        <v>238</v>
      </c>
      <c r="V238" s="1421"/>
    </row>
    <row r="239" spans="1:22" ht="15.75" customHeight="1">
      <c r="A239" s="1382" t="s">
        <v>257</v>
      </c>
      <c r="B239" s="1433"/>
      <c r="C239" s="1444">
        <f>IF(Data!BV239="","",Data!BV239)</f>
        <v>0</v>
      </c>
      <c r="D239" s="1444">
        <f>IF(Data!BW239="","",Data!BW239)</f>
        <v>0</v>
      </c>
      <c r="E239" s="1444">
        <f>IF(Data!BX239="","",Data!BX239)</f>
        <v>125</v>
      </c>
      <c r="F239" s="1444">
        <f>IF(Data!BY239="","",Data!BY239)</f>
        <v>131</v>
      </c>
      <c r="G239" s="1431"/>
      <c r="H239" s="1497" t="str">
        <f>IF(SUM(C239)&gt;0,(C237-H242-SUM(C242)*(H242=""))*'Exp factors'!C$23,"")</f>
        <v/>
      </c>
      <c r="I239" s="1497" t="str">
        <f>IF(SUM(D239)&gt;0,(D237-I242-SUM(D242)*(I242=""))*'Exp factors'!D$23,"")</f>
        <v/>
      </c>
      <c r="J239" s="1497">
        <f>IF(SUM(E239)&gt;0,(E237-J242-SUM(E242)*(J242=""))*'Exp factors'!E$23,"")</f>
        <v>0</v>
      </c>
      <c r="K239" s="1497">
        <f>IF(SUM(F239)&gt;0,(F237-K242-SUM(F242)*(K242=""))*'Exp factors'!F$23,"")</f>
        <v>0</v>
      </c>
      <c r="L239" s="1431"/>
      <c r="M239" s="1427"/>
      <c r="N239" s="1427"/>
      <c r="O239" s="1427"/>
      <c r="P239" s="1427"/>
      <c r="Q239" s="1464"/>
      <c r="R239" s="1402"/>
      <c r="S239" s="1403"/>
      <c r="T239" s="1403"/>
      <c r="U239" s="1394">
        <v>239</v>
      </c>
      <c r="V239" s="1421"/>
    </row>
    <row r="240" spans="1:22" ht="15.75" customHeight="1">
      <c r="A240" s="1428" t="s">
        <v>181</v>
      </c>
      <c r="B240" s="1443"/>
      <c r="C240" s="1444" t="str">
        <f>IF(Data!BV240="","",Data!BV240)</f>
        <v/>
      </c>
      <c r="D240" s="1444" t="str">
        <f>IF(Data!BW240="","",Data!BW240)</f>
        <v/>
      </c>
      <c r="E240" s="1444">
        <f>IF(Data!BX240="","",Data!BX240)</f>
        <v>4</v>
      </c>
      <c r="F240" s="1444">
        <f>IF(Data!BY240="","",Data!BY240)</f>
        <v>5</v>
      </c>
      <c r="G240" s="1433"/>
      <c r="H240" s="1427"/>
      <c r="I240" s="1427"/>
      <c r="J240" s="1427"/>
      <c r="K240" s="1427"/>
      <c r="L240" s="1433"/>
      <c r="M240" s="1449"/>
      <c r="N240" s="1449"/>
      <c r="O240" s="1449"/>
      <c r="P240" s="1449"/>
      <c r="Q240" s="1464"/>
      <c r="R240" s="1445"/>
      <c r="S240" s="1446"/>
      <c r="T240" s="1446"/>
      <c r="U240" s="1394">
        <v>240</v>
      </c>
      <c r="V240" s="1421"/>
    </row>
    <row r="241" spans="1:22" ht="15.75" customHeight="1">
      <c r="A241" s="1508" t="s">
        <v>183</v>
      </c>
      <c r="B241" s="1493"/>
      <c r="C241" s="1454" t="str">
        <f>IF(SUM(C239)=0,"",C239*C240)</f>
        <v/>
      </c>
      <c r="D241" s="1454" t="str">
        <f>IF(SUM(D239)=0,"",D239*D240)</f>
        <v/>
      </c>
      <c r="E241" s="1454">
        <f>IF(SUM(E239)=0,"",E239*E240)</f>
        <v>500</v>
      </c>
      <c r="F241" s="1454">
        <f>IF(SUM(F239)=0,"",F239*F240)</f>
        <v>655</v>
      </c>
      <c r="G241" s="1432"/>
      <c r="H241" s="1463" t="str">
        <f>IF(H239="","",H239*C240)</f>
        <v/>
      </c>
      <c r="I241" s="1463" t="str">
        <f>IF(I239="","",I239*D240)</f>
        <v/>
      </c>
      <c r="J241" s="1463">
        <f>IF(J239="","",J239*E240)</f>
        <v>0</v>
      </c>
      <c r="K241" s="1463">
        <f>IF(K239="","",K239*F240)</f>
        <v>0</v>
      </c>
      <c r="L241" s="1432"/>
      <c r="M241" s="1355" t="str">
        <f>IF(H241="","",SUM(H241)-SUM(C241))</f>
        <v/>
      </c>
      <c r="N241" s="1355" t="str">
        <f>IF(I241="","",SUM(I241)-SUM(D241))</f>
        <v/>
      </c>
      <c r="O241" s="1355">
        <f>IF(J241="","",SUM(J241)-SUM(E241))</f>
        <v>-500</v>
      </c>
      <c r="P241" s="1355">
        <f>IF(K241="","",SUM(K241)-SUM(F241))</f>
        <v>-655</v>
      </c>
      <c r="Q241" s="1464"/>
      <c r="R241" s="1402"/>
      <c r="S241" s="1403"/>
      <c r="T241" s="1403"/>
      <c r="U241" s="1394">
        <v>241</v>
      </c>
      <c r="V241" s="1421"/>
    </row>
    <row r="242" spans="1:22" s="1506" customFormat="1" ht="15.75" customHeight="1">
      <c r="A242" s="1428" t="s">
        <v>258</v>
      </c>
      <c r="B242" s="1493"/>
      <c r="C242" s="1444">
        <f>IF(Data!BV242="","",Data!BV242)</f>
        <v>50</v>
      </c>
      <c r="D242" s="1444">
        <f>IF(Data!BW242="","",Data!BW242)</f>
        <v>50</v>
      </c>
      <c r="E242" s="1444">
        <f>IF(Data!BX242="","",Data!BX242)</f>
        <v>50</v>
      </c>
      <c r="F242" s="1444">
        <f>IF(Data!BY242="","",Data!BY242)</f>
        <v>60</v>
      </c>
      <c r="G242" s="1433"/>
      <c r="H242" s="1492"/>
      <c r="I242" s="1492"/>
      <c r="J242" s="1492"/>
      <c r="K242" s="1492"/>
      <c r="L242" s="1433"/>
      <c r="M242" s="1449"/>
      <c r="N242" s="1449"/>
      <c r="O242" s="1449"/>
      <c r="P242" s="1449"/>
      <c r="Q242" s="1504"/>
      <c r="R242" s="1402"/>
      <c r="S242" s="1403"/>
      <c r="T242" s="1403"/>
      <c r="U242" s="1394">
        <v>242</v>
      </c>
      <c r="V242" s="1505"/>
    </row>
    <row r="243" spans="1:22" ht="15.75" customHeight="1">
      <c r="A243" s="1429" t="s">
        <v>252</v>
      </c>
      <c r="B243" s="1431"/>
      <c r="C243" s="1483">
        <f>IF(C237="","",(C237-SUM(C239)-SUM(C242))*C238/C$46/365/$P$1)</f>
        <v>8.8718578767123274E-2</v>
      </c>
      <c r="D243" s="1483">
        <f>IF(D237="","",(D237-SUM(D239)-SUM(D242))*D238/D$46/365/$P$1)</f>
        <v>8.8718578767123274E-2</v>
      </c>
      <c r="E243" s="1483">
        <f>IF(E237="","",(E237-SUM(E239)-SUM(E242))*E238/E$46/365/$P$1)</f>
        <v>0.13307786815068492</v>
      </c>
      <c r="F243" s="1483">
        <f>IF(F237="","",(F237-SUM(F239)-SUM(F242))*F238/F$46/365/$P$1)</f>
        <v>0.16245357534246571</v>
      </c>
      <c r="G243" s="1443"/>
      <c r="H243" s="1354" t="str">
        <f>IF(H239="","",(C237-H239-H242-SUM(C242)*(H242=""))*C238/H$46/365/$P$1)</f>
        <v/>
      </c>
      <c r="I243" s="1354" t="str">
        <f>IF(I239="","",(D237-I239-I242-SUM(D242)*(I242=""))*D238/I$46/365/$P$1)</f>
        <v/>
      </c>
      <c r="J243" s="1354">
        <f>IF(J239="","",(E237-J239-J242-SUM(E242)*(J242=""))*E238/J$46/365/$P$1)</f>
        <v>0.20701001712328765</v>
      </c>
      <c r="K243" s="1354">
        <f>IF(K239="","",(F237-K239-K242-SUM(F242)*(K242=""))*F238/K$46/365/$P$1)</f>
        <v>0.23132547945205478</v>
      </c>
      <c r="L243" s="1443"/>
      <c r="M243" s="1484" t="str">
        <f>IF(H243="","",SUM(H243)-SUM(C243))</f>
        <v/>
      </c>
      <c r="N243" s="1484" t="str">
        <f>IF(I243="","",SUM(I243)-SUM(D243))</f>
        <v/>
      </c>
      <c r="O243" s="1484">
        <f>IF(J243="","",SUM(J243)-SUM(E243))</f>
        <v>7.3932148972602724E-2</v>
      </c>
      <c r="P243" s="1484">
        <f>IF(K243="","",SUM(K243)-SUM(F243))</f>
        <v>6.8871904109589072E-2</v>
      </c>
      <c r="Q243" s="1464"/>
      <c r="R243" s="1392"/>
      <c r="S243" s="1393"/>
      <c r="T243" s="1393"/>
      <c r="U243" s="1394">
        <v>243</v>
      </c>
      <c r="V243" s="1421"/>
    </row>
    <row r="244" spans="1:22" ht="15.75" customHeight="1">
      <c r="A244" s="1500" t="str">
        <f>IF(Data!A244="","",Data!A244)</f>
        <v>Sorghum: kg produced</v>
      </c>
      <c r="B244" s="1443"/>
      <c r="C244" s="1444" t="str">
        <f>IF(Data!BV244="","",Data!BV244)</f>
        <v/>
      </c>
      <c r="D244" s="1444" t="str">
        <f>IF(Data!BW244="","",Data!BW244)</f>
        <v/>
      </c>
      <c r="E244" s="1444" t="str">
        <f>IF(Data!BX244="","",Data!BX244)</f>
        <v/>
      </c>
      <c r="F244" s="1444">
        <f>IF(Data!BY244="","",Data!BY244)</f>
        <v>75</v>
      </c>
      <c r="G244" s="1412"/>
      <c r="H244" s="1427"/>
      <c r="I244" s="1427"/>
      <c r="J244" s="1427"/>
      <c r="K244" s="1427"/>
      <c r="L244" s="1412"/>
      <c r="M244" s="1427"/>
      <c r="N244" s="1427"/>
      <c r="O244" s="1427"/>
      <c r="P244" s="1427"/>
      <c r="Q244" s="1464"/>
      <c r="R244" s="1402"/>
      <c r="S244" s="1403"/>
      <c r="T244" s="1403"/>
      <c r="U244" s="1394">
        <v>244</v>
      </c>
      <c r="V244" s="1421"/>
    </row>
    <row r="245" spans="1:22" ht="15.75" customHeight="1">
      <c r="A245" s="1380" t="s">
        <v>256</v>
      </c>
      <c r="B245" s="1493"/>
      <c r="C245" s="1444">
        <f>IF(Data!BV245="","",Data!BV245)</f>
        <v>14863.14</v>
      </c>
      <c r="D245" s="1444">
        <f>IF(Data!BW245="","",Data!BW245)</f>
        <v>14863.14</v>
      </c>
      <c r="E245" s="1444">
        <f>IF(Data!BX245="","",Data!BX245)</f>
        <v>14863.14</v>
      </c>
      <c r="F245" s="1444">
        <f>IF(Data!BY245="","",Data!BY245)</f>
        <v>14863.14</v>
      </c>
      <c r="G245" s="1412"/>
      <c r="H245" s="1427"/>
      <c r="I245" s="1427"/>
      <c r="J245" s="1427"/>
      <c r="K245" s="1427"/>
      <c r="L245" s="1412"/>
      <c r="M245" s="1425"/>
      <c r="N245" s="1425"/>
      <c r="O245" s="1425"/>
      <c r="P245" s="1425"/>
      <c r="Q245" s="1464"/>
      <c r="R245" s="1402"/>
      <c r="S245" s="1403"/>
      <c r="T245" s="1403"/>
      <c r="U245" s="1394">
        <v>245</v>
      </c>
      <c r="V245" s="1421"/>
    </row>
    <row r="246" spans="1:22" ht="15.75" customHeight="1">
      <c r="A246" s="1382" t="s">
        <v>257</v>
      </c>
      <c r="B246" s="1493"/>
      <c r="C246" s="1444" t="str">
        <f>IF(Data!BV246="","",Data!BV246)</f>
        <v/>
      </c>
      <c r="D246" s="1444" t="str">
        <f>IF(Data!BW246="","",Data!BW246)</f>
        <v/>
      </c>
      <c r="E246" s="1444" t="str">
        <f>IF(Data!BX246="","",Data!BX246)</f>
        <v/>
      </c>
      <c r="F246" s="1444">
        <f>IF(Data!BY246="","",Data!BY246)</f>
        <v>0</v>
      </c>
      <c r="G246" s="1431"/>
      <c r="H246" s="1497" t="str">
        <f>IF(SUM(C246)&gt;0,(C244-H249-SUM(C249)*(H249=""))*'Exp factors'!C$23,"")</f>
        <v/>
      </c>
      <c r="I246" s="1497" t="str">
        <f>IF(SUM(D246)&gt;0,(D244-I249-SUM(D249)*(I249=""))*'Exp factors'!D$23,"")</f>
        <v/>
      </c>
      <c r="J246" s="1497" t="str">
        <f>IF(SUM(E246)&gt;0,(E244-J249-SUM(E249)*(J249=""))*'Exp factors'!E$23,"")</f>
        <v/>
      </c>
      <c r="K246" s="1497" t="str">
        <f>IF(SUM(F246)&gt;0,(F244-K249-SUM(F249)*(K249=""))*'Exp factors'!F$23,"")</f>
        <v/>
      </c>
      <c r="L246" s="1431"/>
      <c r="M246" s="1427"/>
      <c r="N246" s="1427"/>
      <c r="O246" s="1427"/>
      <c r="P246" s="1427"/>
      <c r="Q246" s="1464"/>
      <c r="R246" s="1402"/>
      <c r="S246" s="1403"/>
      <c r="T246" s="1403"/>
      <c r="U246" s="1394">
        <v>246</v>
      </c>
      <c r="V246" s="1421"/>
    </row>
    <row r="247" spans="1:22" ht="15.75" customHeight="1">
      <c r="A247" s="1428" t="s">
        <v>181</v>
      </c>
      <c r="B247" s="1493"/>
      <c r="C247" s="1444" t="str">
        <f>IF(Data!BV247="","",Data!BV247)</f>
        <v/>
      </c>
      <c r="D247" s="1444" t="str">
        <f>IF(Data!BW247="","",Data!BW247)</f>
        <v/>
      </c>
      <c r="E247" s="1444" t="str">
        <f>IF(Data!BX247="","",Data!BX247)</f>
        <v/>
      </c>
      <c r="F247" s="1444">
        <f>IF(Data!BY247="","",Data!BY247)</f>
        <v>3</v>
      </c>
      <c r="G247" s="1433"/>
      <c r="H247" s="1427"/>
      <c r="I247" s="1427"/>
      <c r="J247" s="1427"/>
      <c r="K247" s="1427"/>
      <c r="L247" s="1433"/>
      <c r="M247" s="1449"/>
      <c r="N247" s="1449"/>
      <c r="O247" s="1449"/>
      <c r="P247" s="1449"/>
      <c r="Q247" s="1464"/>
      <c r="R247" s="1445"/>
      <c r="S247" s="1446"/>
      <c r="T247" s="1446"/>
      <c r="U247" s="1394">
        <v>247</v>
      </c>
      <c r="V247" s="1421"/>
    </row>
    <row r="248" spans="1:22" ht="15.75" customHeight="1">
      <c r="A248" s="1428" t="s">
        <v>183</v>
      </c>
      <c r="B248" s="1443"/>
      <c r="C248" s="1454" t="str">
        <f>IF(SUM(C246)=0,"",C246*C247)</f>
        <v/>
      </c>
      <c r="D248" s="1454" t="str">
        <f>IF(SUM(D246)=0,"",D246*D247)</f>
        <v/>
      </c>
      <c r="E248" s="1454" t="str">
        <f>IF(SUM(E246)=0,"",E246*E247)</f>
        <v/>
      </c>
      <c r="F248" s="1454" t="str">
        <f>IF(SUM(F246)=0,"",F246*F247)</f>
        <v/>
      </c>
      <c r="G248" s="1433"/>
      <c r="H248" s="1463" t="str">
        <f>IF(H246="","",H246*C247)</f>
        <v/>
      </c>
      <c r="I248" s="1463" t="str">
        <f>IF(I246="","",I246*D247)</f>
        <v/>
      </c>
      <c r="J248" s="1463" t="str">
        <f>IF(J246="","",J246*E247)</f>
        <v/>
      </c>
      <c r="K248" s="1463" t="str">
        <f>IF(K246="","",K246*F247)</f>
        <v/>
      </c>
      <c r="L248" s="1433"/>
      <c r="M248" s="1355" t="str">
        <f>IF(H248="","",SUM(H248)-SUM(C248))</f>
        <v/>
      </c>
      <c r="N248" s="1355" t="str">
        <f>IF(I248="","",SUM(I248)-SUM(D248))</f>
        <v/>
      </c>
      <c r="O248" s="1355" t="str">
        <f>IF(J248="","",SUM(J248)-SUM(E248))</f>
        <v/>
      </c>
      <c r="P248" s="1355" t="str">
        <f>IF(K248="","",SUM(K248)-SUM(F248))</f>
        <v/>
      </c>
      <c r="Q248" s="1464"/>
      <c r="R248" s="1402"/>
      <c r="S248" s="1403"/>
      <c r="T248" s="1403"/>
      <c r="U248" s="1394">
        <v>248</v>
      </c>
      <c r="V248" s="1421"/>
    </row>
    <row r="249" spans="1:22" ht="15.75" customHeight="1">
      <c r="A249" s="1428" t="s">
        <v>258</v>
      </c>
      <c r="B249" s="1443"/>
      <c r="C249" s="1444" t="str">
        <f>IF(Data!BV249="","",Data!BV249)</f>
        <v/>
      </c>
      <c r="D249" s="1444" t="str">
        <f>IF(Data!BW249="","",Data!BW249)</f>
        <v/>
      </c>
      <c r="E249" s="1444" t="str">
        <f>IF(Data!BX249="","",Data!BX249)</f>
        <v/>
      </c>
      <c r="F249" s="1444" t="str">
        <f>IF(Data!BY249="","",Data!BY249)</f>
        <v/>
      </c>
      <c r="G249" s="1433"/>
      <c r="H249" s="1492"/>
      <c r="I249" s="1492"/>
      <c r="J249" s="1492"/>
      <c r="K249" s="1492"/>
      <c r="L249" s="1433"/>
      <c r="M249" s="1449"/>
      <c r="N249" s="1449"/>
      <c r="O249" s="1449"/>
      <c r="P249" s="1449"/>
      <c r="Q249" s="1464"/>
      <c r="R249" s="1402"/>
      <c r="S249" s="1403"/>
      <c r="T249" s="1403"/>
      <c r="U249" s="1394">
        <v>249</v>
      </c>
      <c r="V249" s="1421"/>
    </row>
    <row r="250" spans="1:22" ht="15.75" customHeight="1">
      <c r="A250" s="1429" t="s">
        <v>252</v>
      </c>
      <c r="B250" s="1493"/>
      <c r="C250" s="1483" t="str">
        <f>IF(C244="","",(C244-SUM(C246)-SUM(C249))*C245/C$46/365/$P$1)</f>
        <v/>
      </c>
      <c r="D250" s="1483" t="str">
        <f>IF(D244="","",(D244-SUM(D246)-SUM(D249))*D245/D$46/365/$P$1)</f>
        <v/>
      </c>
      <c r="E250" s="1483" t="str">
        <f>IF(E244="","",(E244-SUM(E246)-SUM(E249))*E245/E$46/365/$P$1)</f>
        <v/>
      </c>
      <c r="F250" s="1483">
        <f>IF(F244="","",(F244-SUM(F246)-SUM(F249))*F245/F$46/365/$P$1)</f>
        <v>3.8561488169364881E-2</v>
      </c>
      <c r="G250" s="1443"/>
      <c r="H250" s="1354" t="str">
        <f>IF(H246="","",(C244-H246-H249-SUM(C249)*(H249=""))*C245/H$46/365/$P$1)</f>
        <v/>
      </c>
      <c r="I250" s="1354" t="str">
        <f>IF(I246="","",(D244-I246-I249-SUM(D249)*(I249=""))*D245/I$46/365/$P$1)</f>
        <v/>
      </c>
      <c r="J250" s="1354" t="str">
        <f>IF(J246="","",(E244-J246-J249-SUM(E249)*(J249=""))*E245/J$46/365/$P$1)</f>
        <v/>
      </c>
      <c r="K250" s="1354" t="str">
        <f>IF(K246="","",(F244-K246-K249-SUM(F249)*(K249=""))*F245/K$46/365/$P$1)</f>
        <v/>
      </c>
      <c r="L250" s="1443"/>
      <c r="M250" s="1484" t="str">
        <f>IF(H250="","",SUM(H250)-SUM(C250))</f>
        <v/>
      </c>
      <c r="N250" s="1484" t="str">
        <f>IF(I250="","",SUM(I250)-SUM(D250))</f>
        <v/>
      </c>
      <c r="O250" s="1484" t="str">
        <f>IF(J250="","",SUM(J250)-SUM(E250))</f>
        <v/>
      </c>
      <c r="P250" s="1484" t="str">
        <f>IF(K250="","",SUM(K250)-SUM(F250))</f>
        <v/>
      </c>
      <c r="Q250" s="1464"/>
      <c r="R250" s="1392"/>
      <c r="S250" s="1393"/>
      <c r="T250" s="1393"/>
      <c r="U250" s="1394">
        <v>250</v>
      </c>
      <c r="V250" s="1421"/>
    </row>
    <row r="251" spans="1:22" ht="15.75" customHeight="1">
      <c r="A251" s="1500" t="str">
        <f>IF(Data!A251="","",Data!A251)</f>
        <v>High value cereal: kg produced</v>
      </c>
      <c r="B251" s="1431"/>
      <c r="C251" s="1444" t="str">
        <f>IF(Data!BV251="","",Data!BV251)</f>
        <v/>
      </c>
      <c r="D251" s="1444" t="str">
        <f>IF(Data!BW251="","",Data!BW251)</f>
        <v/>
      </c>
      <c r="E251" s="1444" t="str">
        <f>IF(Data!BX251="","",Data!BX251)</f>
        <v/>
      </c>
      <c r="F251" s="1444" t="str">
        <f>IF(Data!BY251="","",Data!BY251)</f>
        <v/>
      </c>
      <c r="G251" s="1412"/>
      <c r="H251" s="1427"/>
      <c r="I251" s="1427"/>
      <c r="J251" s="1427"/>
      <c r="K251" s="1427"/>
      <c r="L251" s="1412"/>
      <c r="M251" s="1427"/>
      <c r="N251" s="1427"/>
      <c r="O251" s="1427"/>
      <c r="P251" s="1427"/>
      <c r="Q251" s="1464"/>
      <c r="R251" s="1402"/>
      <c r="S251" s="1403"/>
      <c r="T251" s="1403"/>
      <c r="U251" s="1394">
        <v>251</v>
      </c>
      <c r="V251" s="1421"/>
    </row>
    <row r="252" spans="1:22" ht="15.75" customHeight="1">
      <c r="A252" s="1380" t="s">
        <v>256</v>
      </c>
      <c r="B252" s="1493"/>
      <c r="C252" s="1444">
        <f>IF(Data!BV252="","",Data!BV252)</f>
        <v>14444.46</v>
      </c>
      <c r="D252" s="1444">
        <f>IF(Data!BW252="","",Data!BW252)</f>
        <v>14444.46</v>
      </c>
      <c r="E252" s="1444">
        <f>IF(Data!BX252="","",Data!BX252)</f>
        <v>14444.46</v>
      </c>
      <c r="F252" s="1444">
        <f>IF(Data!BY252="","",Data!BY252)</f>
        <v>14444.46</v>
      </c>
      <c r="G252" s="1412"/>
      <c r="H252" s="1427"/>
      <c r="I252" s="1427"/>
      <c r="J252" s="1427"/>
      <c r="K252" s="1427"/>
      <c r="L252" s="1412"/>
      <c r="M252" s="1427"/>
      <c r="N252" s="1427"/>
      <c r="O252" s="1427"/>
      <c r="P252" s="1427"/>
      <c r="Q252" s="1464"/>
      <c r="R252" s="1402"/>
      <c r="S252" s="1403"/>
      <c r="T252" s="1403"/>
      <c r="U252" s="1394">
        <v>252</v>
      </c>
      <c r="V252" s="1421"/>
    </row>
    <row r="253" spans="1:22" ht="15.75" customHeight="1">
      <c r="A253" s="1382" t="s">
        <v>257</v>
      </c>
      <c r="B253" s="1493"/>
      <c r="C253" s="1444" t="str">
        <f>IF(Data!BV253="","",Data!BV253)</f>
        <v/>
      </c>
      <c r="D253" s="1444" t="str">
        <f>IF(Data!BW253="","",Data!BW253)</f>
        <v/>
      </c>
      <c r="E253" s="1444" t="str">
        <f>IF(Data!BX253="","",Data!BX253)</f>
        <v/>
      </c>
      <c r="F253" s="1444" t="str">
        <f>IF(Data!BY253="","",Data!BY253)</f>
        <v/>
      </c>
      <c r="G253" s="1431"/>
      <c r="H253" s="1497" t="str">
        <f>IF(SUM(C253)&gt;0,(C251-H256-SUM(C256)*(H256=""))*'Exp factors'!C$24,"")</f>
        <v/>
      </c>
      <c r="I253" s="1497" t="str">
        <f>IF(SUM(D253)&gt;0,(D251-I256-SUM(D256)*(I256=""))*'Exp factors'!D$24,"")</f>
        <v/>
      </c>
      <c r="J253" s="1497" t="str">
        <f>IF(SUM(E253)&gt;0,(E251-J256-SUM(E256)*(J256=""))*'Exp factors'!E$24,"")</f>
        <v/>
      </c>
      <c r="K253" s="1497" t="str">
        <f>IF(SUM(F253)&gt;0,(F251-K256-SUM(F256)*(K256=""))*'Exp factors'!F$24,"")</f>
        <v/>
      </c>
      <c r="L253" s="1431"/>
      <c r="M253" s="1427"/>
      <c r="N253" s="1427"/>
      <c r="O253" s="1427"/>
      <c r="P253" s="1427"/>
      <c r="Q253" s="1464"/>
      <c r="R253" s="1402"/>
      <c r="S253" s="1403"/>
      <c r="T253" s="1403"/>
      <c r="U253" s="1394">
        <v>253</v>
      </c>
      <c r="V253" s="1421"/>
    </row>
    <row r="254" spans="1:22" ht="15.75" customHeight="1">
      <c r="A254" s="1428" t="s">
        <v>181</v>
      </c>
      <c r="B254" s="1493"/>
      <c r="C254" s="1444" t="str">
        <f>IF(Data!BV254="","",Data!BV254)</f>
        <v/>
      </c>
      <c r="D254" s="1444" t="str">
        <f>IF(Data!BW254="","",Data!BW254)</f>
        <v/>
      </c>
      <c r="E254" s="1444" t="str">
        <f>IF(Data!BX254="","",Data!BX254)</f>
        <v/>
      </c>
      <c r="F254" s="1444" t="str">
        <f>IF(Data!BY254="","",Data!BY254)</f>
        <v/>
      </c>
      <c r="G254" s="1433"/>
      <c r="H254" s="1427"/>
      <c r="I254" s="1427"/>
      <c r="J254" s="1427"/>
      <c r="K254" s="1427"/>
      <c r="L254" s="1433"/>
      <c r="M254" s="1427"/>
      <c r="N254" s="1427"/>
      <c r="O254" s="1427"/>
      <c r="P254" s="1427"/>
      <c r="Q254" s="1464"/>
      <c r="R254" s="1445"/>
      <c r="S254" s="1446"/>
      <c r="T254" s="1446"/>
      <c r="U254" s="1394">
        <v>254</v>
      </c>
      <c r="V254" s="1421"/>
    </row>
    <row r="255" spans="1:22" ht="15.75" customHeight="1">
      <c r="A255" s="1428" t="s">
        <v>183</v>
      </c>
      <c r="B255" s="1493"/>
      <c r="C255" s="1454" t="str">
        <f>IF(SUM(C253)=0,"",C253*C254)</f>
        <v/>
      </c>
      <c r="D255" s="1454" t="str">
        <f>IF(SUM(D253)=0,"",D253*D254)</f>
        <v/>
      </c>
      <c r="E255" s="1454" t="str">
        <f>IF(SUM(E253)=0,"",E253*E254)</f>
        <v/>
      </c>
      <c r="F255" s="1454" t="str">
        <f>IF(SUM(F253)=0,"",F253*F254)</f>
        <v/>
      </c>
      <c r="G255" s="1432"/>
      <c r="H255" s="1463" t="str">
        <f>IF(H253="","",H253*C254)</f>
        <v/>
      </c>
      <c r="I255" s="1463" t="str">
        <f>IF(I253="","",I253*D254)</f>
        <v/>
      </c>
      <c r="J255" s="1463" t="str">
        <f>IF(J253="","",J253*E254)</f>
        <v/>
      </c>
      <c r="K255" s="1463" t="str">
        <f>IF(K253="","",K253*F254)</f>
        <v/>
      </c>
      <c r="L255" s="1432"/>
      <c r="M255" s="1454" t="str">
        <f>IF(H255="","",SUM(H255)-SUM(C255))</f>
        <v/>
      </c>
      <c r="N255" s="1454" t="str">
        <f>IF(I255="","",SUM(I255)-SUM(D255))</f>
        <v/>
      </c>
      <c r="O255" s="1454" t="str">
        <f>IF(J255="","",SUM(J255)-SUM(E255))</f>
        <v/>
      </c>
      <c r="P255" s="1454" t="str">
        <f>IF(K255="","",SUM(K255)-SUM(F255))</f>
        <v/>
      </c>
      <c r="Q255" s="1464"/>
      <c r="R255" s="1402"/>
      <c r="S255" s="1403"/>
      <c r="T255" s="1403"/>
      <c r="U255" s="1394">
        <v>255</v>
      </c>
      <c r="V255" s="1421"/>
    </row>
    <row r="256" spans="1:22" ht="15.75" customHeight="1">
      <c r="A256" s="1428" t="s">
        <v>258</v>
      </c>
      <c r="B256" s="1412"/>
      <c r="C256" s="1444" t="str">
        <f>IF(Data!BV256="","",Data!BV256)</f>
        <v/>
      </c>
      <c r="D256" s="1444" t="str">
        <f>IF(Data!BW256="","",Data!BW256)</f>
        <v/>
      </c>
      <c r="E256" s="1444" t="str">
        <f>IF(Data!BX256="","",Data!BX256)</f>
        <v/>
      </c>
      <c r="F256" s="1444" t="str">
        <f>IF(Data!BY256="","",Data!BY256)</f>
        <v/>
      </c>
      <c r="G256" s="1433"/>
      <c r="H256" s="1492"/>
      <c r="I256" s="1492"/>
      <c r="J256" s="1492"/>
      <c r="K256" s="1492"/>
      <c r="L256" s="1433"/>
      <c r="M256" s="1427"/>
      <c r="N256" s="1427"/>
      <c r="O256" s="1427"/>
      <c r="P256" s="1427"/>
      <c r="Q256" s="1464"/>
      <c r="R256" s="1402"/>
      <c r="S256" s="1403"/>
      <c r="T256" s="1403"/>
      <c r="U256" s="1394">
        <v>256</v>
      </c>
      <c r="V256" s="1421"/>
    </row>
    <row r="257" spans="1:22" ht="15.75" customHeight="1">
      <c r="A257" s="1429" t="s">
        <v>252</v>
      </c>
      <c r="B257" s="1443"/>
      <c r="C257" s="1483" t="str">
        <f>IF(C251="","",(C251-SUM(C253)-SUM(C256))*C252/C$46/365/$P$1)</f>
        <v/>
      </c>
      <c r="D257" s="1483" t="str">
        <f>IF(D251="","",(D251-SUM(D253)-SUM(D256))*D252/D$46/365/$P$1)</f>
        <v/>
      </c>
      <c r="E257" s="1483" t="str">
        <f>IF(E251="","",(E251-SUM(E253)-SUM(E256))*E252/E$46/365/$P$1)</f>
        <v/>
      </c>
      <c r="F257" s="1483" t="str">
        <f>IF(F251="","",(F251-SUM(F253)-SUM(F256))*F252/F$46/365/$P$1)</f>
        <v/>
      </c>
      <c r="G257" s="1443"/>
      <c r="H257" s="1354" t="str">
        <f>IF(H253="","",(C251-H253-H256-SUM(C256)*(H256=""))*C252/H$46/365/$P$1)</f>
        <v/>
      </c>
      <c r="I257" s="1354" t="str">
        <f>IF(I253="","",(D251-I253-I256-SUM(D256)*(I256=""))*D252/I$46/365/$P$1)</f>
        <v/>
      </c>
      <c r="J257" s="1354" t="str">
        <f>IF(J253="","",(E251-J253-J256-SUM(E256)*(J256=""))*E252/J$46/365/$P$1)</f>
        <v/>
      </c>
      <c r="K257" s="1354" t="str">
        <f>IF(K253="","",(F251-K253-K256-SUM(F256)*(K256=""))*F252/K$46/365/$P$1)</f>
        <v/>
      </c>
      <c r="L257" s="1443"/>
      <c r="M257" s="1484" t="str">
        <f>IF(H257="","",SUM(H257)-SUM(C257))</f>
        <v/>
      </c>
      <c r="N257" s="1484" t="str">
        <f>IF(I257="","",SUM(I257)-SUM(D257))</f>
        <v/>
      </c>
      <c r="O257" s="1484" t="str">
        <f>IF(J257="","",SUM(J257)-SUM(E257))</f>
        <v/>
      </c>
      <c r="P257" s="1484" t="str">
        <f>IF(K257="","",SUM(K257)-SUM(F257))</f>
        <v/>
      </c>
      <c r="Q257" s="1464"/>
      <c r="R257" s="1392"/>
      <c r="S257" s="1393"/>
      <c r="T257" s="1393"/>
      <c r="U257" s="1394">
        <v>257</v>
      </c>
      <c r="V257" s="1421"/>
    </row>
    <row r="258" spans="1:22" ht="15.75" customHeight="1">
      <c r="A258" s="1500" t="str">
        <f>IF(Data!A258="","",Data!A258)</f>
        <v>High value cereal: kg produced</v>
      </c>
      <c r="B258" s="1431"/>
      <c r="C258" s="1444" t="str">
        <f>IF(Data!BV258="","",Data!BV258)</f>
        <v/>
      </c>
      <c r="D258" s="1444" t="str">
        <f>IF(Data!BW258="","",Data!BW258)</f>
        <v/>
      </c>
      <c r="E258" s="1444" t="str">
        <f>IF(Data!BX258="","",Data!BX258)</f>
        <v/>
      </c>
      <c r="F258" s="1444" t="str">
        <f>IF(Data!BY258="","",Data!BY258)</f>
        <v/>
      </c>
      <c r="G258" s="1412"/>
      <c r="H258" s="1427"/>
      <c r="I258" s="1427"/>
      <c r="J258" s="1427"/>
      <c r="K258" s="1427"/>
      <c r="L258" s="1412"/>
      <c r="M258" s="1427"/>
      <c r="N258" s="1427"/>
      <c r="O258" s="1427"/>
      <c r="P258" s="1427"/>
      <c r="Q258" s="1464"/>
      <c r="R258" s="1402"/>
      <c r="S258" s="1403"/>
      <c r="T258" s="1403"/>
      <c r="U258" s="1394">
        <v>258</v>
      </c>
      <c r="V258" s="1421"/>
    </row>
    <row r="259" spans="1:22" ht="15.75" customHeight="1">
      <c r="A259" s="1380" t="s">
        <v>256</v>
      </c>
      <c r="B259" s="1493"/>
      <c r="C259" s="1444">
        <f>IF(Data!BV259="","",Data!BV259)</f>
        <v>14653.8</v>
      </c>
      <c r="D259" s="1444">
        <f>IF(Data!BW259="","",Data!BW259)</f>
        <v>14653.8</v>
      </c>
      <c r="E259" s="1444">
        <f>IF(Data!BX259="","",Data!BX259)</f>
        <v>14653.8</v>
      </c>
      <c r="F259" s="1444">
        <f>IF(Data!BY259="","",Data!BY259)</f>
        <v>14653.8</v>
      </c>
      <c r="G259" s="1412"/>
      <c r="H259" s="1427"/>
      <c r="I259" s="1427"/>
      <c r="J259" s="1427"/>
      <c r="K259" s="1427"/>
      <c r="L259" s="1412"/>
      <c r="M259" s="1427"/>
      <c r="N259" s="1427"/>
      <c r="O259" s="1427"/>
      <c r="P259" s="1427"/>
      <c r="Q259" s="1464"/>
      <c r="R259" s="1402"/>
      <c r="S259" s="1403"/>
      <c r="T259" s="1403"/>
      <c r="U259" s="1394">
        <v>259</v>
      </c>
      <c r="V259" s="1421"/>
    </row>
    <row r="260" spans="1:22" ht="15.75" customHeight="1">
      <c r="A260" s="1382" t="s">
        <v>257</v>
      </c>
      <c r="B260" s="1493"/>
      <c r="C260" s="1444" t="str">
        <f>IF(Data!BV260="","",Data!BV260)</f>
        <v/>
      </c>
      <c r="D260" s="1444" t="str">
        <f>IF(Data!BW260="","",Data!BW260)</f>
        <v/>
      </c>
      <c r="E260" s="1444" t="str">
        <f>IF(Data!BX260="","",Data!BX260)</f>
        <v/>
      </c>
      <c r="F260" s="1444" t="str">
        <f>IF(Data!BY260="","",Data!BY260)</f>
        <v/>
      </c>
      <c r="G260" s="1431"/>
      <c r="H260" s="1497" t="str">
        <f>IF(SUM(C260)&gt;0,(C258-H263-SUM(C263)*(H263=""))*'Exp factors'!C$24,"")</f>
        <v/>
      </c>
      <c r="I260" s="1497" t="str">
        <f>IF(SUM(D260)&gt;0,(D258-I263-SUM(D263)*(I263=""))*'Exp factors'!D$24,"")</f>
        <v/>
      </c>
      <c r="J260" s="1497" t="str">
        <f>IF(SUM(E260)&gt;0,(E258-J263-SUM(E263)*(J263=""))*'Exp factors'!E$24,"")</f>
        <v/>
      </c>
      <c r="K260" s="1497" t="str">
        <f>IF(SUM(F260)&gt;0,(F258-K263-SUM(F263)*(K263=""))*'Exp factors'!F$24,"")</f>
        <v/>
      </c>
      <c r="L260" s="1431"/>
      <c r="M260" s="1427"/>
      <c r="N260" s="1427"/>
      <c r="O260" s="1427"/>
      <c r="P260" s="1427"/>
      <c r="Q260" s="1464"/>
      <c r="R260" s="1402"/>
      <c r="S260" s="1403"/>
      <c r="T260" s="1403"/>
      <c r="U260" s="1394">
        <v>260</v>
      </c>
      <c r="V260" s="1421"/>
    </row>
    <row r="261" spans="1:22" ht="15.75" customHeight="1">
      <c r="A261" s="1428" t="s">
        <v>181</v>
      </c>
      <c r="B261" s="1493"/>
      <c r="C261" s="1444" t="str">
        <f>IF(Data!BV261="","",Data!BV261)</f>
        <v/>
      </c>
      <c r="D261" s="1444" t="str">
        <f>IF(Data!BW261="","",Data!BW261)</f>
        <v/>
      </c>
      <c r="E261" s="1444" t="str">
        <f>IF(Data!BX261="","",Data!BX261)</f>
        <v/>
      </c>
      <c r="F261" s="1444" t="str">
        <f>IF(Data!BY261="","",Data!BY261)</f>
        <v/>
      </c>
      <c r="G261" s="1433"/>
      <c r="H261" s="1427"/>
      <c r="I261" s="1427"/>
      <c r="J261" s="1427"/>
      <c r="K261" s="1427"/>
      <c r="L261" s="1433"/>
      <c r="M261" s="1427"/>
      <c r="N261" s="1427"/>
      <c r="O261" s="1427"/>
      <c r="P261" s="1427"/>
      <c r="Q261" s="1464"/>
      <c r="R261" s="1445"/>
      <c r="S261" s="1446"/>
      <c r="T261" s="1446"/>
      <c r="U261" s="1394">
        <v>261</v>
      </c>
      <c r="V261" s="1421"/>
    </row>
    <row r="262" spans="1:22" ht="15.75" customHeight="1">
      <c r="A262" s="1428" t="s">
        <v>183</v>
      </c>
      <c r="B262" s="1412"/>
      <c r="C262" s="1454" t="str">
        <f>IF(SUM(C260)=0,"",C260*C261)</f>
        <v/>
      </c>
      <c r="D262" s="1454" t="str">
        <f>IF(SUM(D260)=0,"",D260*D261)</f>
        <v/>
      </c>
      <c r="E262" s="1454" t="str">
        <f>IF(SUM(E260)=0,"",E260*E261)</f>
        <v/>
      </c>
      <c r="F262" s="1454" t="str">
        <f>IF(SUM(F260)=0,"",F260*F261)</f>
        <v/>
      </c>
      <c r="G262" s="1432"/>
      <c r="H262" s="1463" t="str">
        <f>IF(H260="","",H260*C261)</f>
        <v/>
      </c>
      <c r="I262" s="1463" t="str">
        <f>IF(I260="","",I260*D261)</f>
        <v/>
      </c>
      <c r="J262" s="1463" t="str">
        <f>IF(J260="","",J260*E261)</f>
        <v/>
      </c>
      <c r="K262" s="1463" t="str">
        <f>IF(K260="","",K260*F261)</f>
        <v/>
      </c>
      <c r="L262" s="1432"/>
      <c r="M262" s="1454" t="str">
        <f>IF(H262="","",SUM(H262)-SUM(C262))</f>
        <v/>
      </c>
      <c r="N262" s="1454" t="str">
        <f>IF(I262="","",SUM(I262)-SUM(D262))</f>
        <v/>
      </c>
      <c r="O262" s="1454" t="str">
        <f>IF(J262="","",SUM(J262)-SUM(E262))</f>
        <v/>
      </c>
      <c r="P262" s="1454" t="str">
        <f>IF(K262="","",SUM(K262)-SUM(F262))</f>
        <v/>
      </c>
      <c r="Q262" s="1464"/>
      <c r="R262" s="1402"/>
      <c r="S262" s="1403"/>
      <c r="T262" s="1403"/>
      <c r="U262" s="1394">
        <v>262</v>
      </c>
      <c r="V262" s="1421"/>
    </row>
    <row r="263" spans="1:22" ht="15.75" customHeight="1">
      <c r="A263" s="1428" t="s">
        <v>258</v>
      </c>
      <c r="B263" s="1412"/>
      <c r="C263" s="1444" t="str">
        <f>IF(Data!BV263="","",Data!BV263)</f>
        <v/>
      </c>
      <c r="D263" s="1444" t="str">
        <f>IF(Data!BW263="","",Data!BW263)</f>
        <v/>
      </c>
      <c r="E263" s="1444" t="str">
        <f>IF(Data!BX263="","",Data!BX263)</f>
        <v/>
      </c>
      <c r="F263" s="1444" t="str">
        <f>IF(Data!BY263="","",Data!BY263)</f>
        <v/>
      </c>
      <c r="G263" s="1433"/>
      <c r="H263" s="1492"/>
      <c r="I263" s="1492"/>
      <c r="J263" s="1492"/>
      <c r="K263" s="1492"/>
      <c r="L263" s="1433"/>
      <c r="M263" s="1427"/>
      <c r="N263" s="1427"/>
      <c r="O263" s="1427"/>
      <c r="P263" s="1427"/>
      <c r="Q263" s="1464"/>
      <c r="R263" s="1402"/>
      <c r="S263" s="1403"/>
      <c r="T263" s="1403"/>
      <c r="U263" s="1394">
        <v>263</v>
      </c>
      <c r="V263" s="1421"/>
    </row>
    <row r="264" spans="1:22" ht="15.75" customHeight="1">
      <c r="A264" s="1429" t="s">
        <v>252</v>
      </c>
      <c r="B264" s="1431"/>
      <c r="C264" s="1483" t="str">
        <f>IF(C258="","",(C258-SUM(C260)-SUM(C263))*C259/C$46/365/$P$1)</f>
        <v/>
      </c>
      <c r="D264" s="1483" t="str">
        <f>IF(D258="","",(D258-SUM(D260)-SUM(D263))*D259/D$46/365/$P$1)</f>
        <v/>
      </c>
      <c r="E264" s="1483" t="str">
        <f>IF(E258="","",(E258-SUM(E260)-SUM(E263))*E259/E$46/365/$P$1)</f>
        <v/>
      </c>
      <c r="F264" s="1483" t="str">
        <f>IF(F258="","",(F258-SUM(F260)-SUM(F263))*F259/F$46/365/$P$1)</f>
        <v/>
      </c>
      <c r="G264" s="1443"/>
      <c r="H264" s="1354" t="str">
        <f>IF(H260="","",(C258-H260-H263-SUM(C263)*(H263=""))*C259/H$46/365/$P$1)</f>
        <v/>
      </c>
      <c r="I264" s="1354" t="str">
        <f>IF(I260="","",(D258-I260-I263-SUM(D263)*(I263=""))*D259/I$46/365/$P$1)</f>
        <v/>
      </c>
      <c r="J264" s="1354" t="str">
        <f>IF(J260="","",(E258-J260-J263-SUM(E263)*(J263=""))*E259/J$46/365/$P$1)</f>
        <v/>
      </c>
      <c r="K264" s="1354" t="str">
        <f>IF(K260="","",(F258-K260-K263-SUM(F263)*(K263=""))*F259/K$46/365/$P$1)</f>
        <v/>
      </c>
      <c r="L264" s="1443"/>
      <c r="M264" s="1484" t="str">
        <f>IF(H264="","",SUM(H264)-SUM(C264))</f>
        <v/>
      </c>
      <c r="N264" s="1484" t="str">
        <f>IF(I264="","",SUM(I264)-SUM(D264))</f>
        <v/>
      </c>
      <c r="O264" s="1484" t="str">
        <f>IF(J264="","",SUM(J264)-SUM(E264))</f>
        <v/>
      </c>
      <c r="P264" s="1484" t="str">
        <f>IF(K264="","",SUM(K264)-SUM(F264))</f>
        <v/>
      </c>
      <c r="Q264" s="1464"/>
      <c r="R264" s="1392"/>
      <c r="S264" s="1393"/>
      <c r="T264" s="1393"/>
      <c r="U264" s="1394">
        <v>264</v>
      </c>
      <c r="V264" s="1421"/>
    </row>
    <row r="265" spans="1:22" ht="15.75" customHeight="1">
      <c r="A265" s="1500" t="str">
        <f>IF(Data!A265="","",Data!A265)</f>
        <v>Cowpeas: kg produced (Mbumba)</v>
      </c>
      <c r="B265" s="1443"/>
      <c r="C265" s="1444" t="str">
        <f>IF(Data!BV265="","",Data!BV265)</f>
        <v/>
      </c>
      <c r="D265" s="1444" t="str">
        <f>IF(Data!BW265="","",Data!BW265)</f>
        <v/>
      </c>
      <c r="E265" s="1444" t="str">
        <f>IF(Data!BX265="","",Data!BX265)</f>
        <v/>
      </c>
      <c r="F265" s="1444" t="str">
        <f>IF(Data!BY265="","",Data!BY265)</f>
        <v/>
      </c>
      <c r="G265" s="1493"/>
      <c r="H265" s="1427"/>
      <c r="I265" s="1427"/>
      <c r="J265" s="1427"/>
      <c r="K265" s="1427"/>
      <c r="L265" s="1493"/>
      <c r="M265" s="1477"/>
      <c r="N265" s="1477"/>
      <c r="O265" s="1477"/>
      <c r="P265" s="1477"/>
      <c r="Q265" s="1464"/>
      <c r="R265" s="1402"/>
      <c r="S265" s="1403"/>
      <c r="T265" s="1403"/>
      <c r="U265" s="1394">
        <v>265</v>
      </c>
      <c r="V265" s="1421"/>
    </row>
    <row r="266" spans="1:22" ht="15.75" customHeight="1">
      <c r="A266" s="1380" t="s">
        <v>256</v>
      </c>
      <c r="B266" s="1507"/>
      <c r="C266" s="1444">
        <f>IF(Data!BV266="","",Data!BV266)</f>
        <v>14235.119999999999</v>
      </c>
      <c r="D266" s="1444">
        <f>IF(Data!BW266="","",Data!BW266)</f>
        <v>14235.119999999999</v>
      </c>
      <c r="E266" s="1444">
        <f>IF(Data!BX266="","",Data!BX266)</f>
        <v>14235.119999999999</v>
      </c>
      <c r="F266" s="1444">
        <f>IF(Data!BY266="","",Data!BY266)</f>
        <v>14235.119999999999</v>
      </c>
      <c r="G266" s="1412"/>
      <c r="H266" s="1427"/>
      <c r="I266" s="1427"/>
      <c r="J266" s="1427"/>
      <c r="K266" s="1427"/>
      <c r="L266" s="1412"/>
      <c r="M266" s="1427"/>
      <c r="N266" s="1427"/>
      <c r="O266" s="1427"/>
      <c r="P266" s="1427"/>
      <c r="Q266" s="1464"/>
      <c r="R266" s="1402"/>
      <c r="S266" s="1403"/>
      <c r="T266" s="1403"/>
      <c r="U266" s="1394">
        <v>266</v>
      </c>
      <c r="V266" s="1421"/>
    </row>
    <row r="267" spans="1:22" ht="15.75" customHeight="1">
      <c r="A267" s="1382" t="s">
        <v>257</v>
      </c>
      <c r="B267" s="1507"/>
      <c r="C267" s="1444" t="str">
        <f>IF(Data!BV267="","",Data!BV267)</f>
        <v/>
      </c>
      <c r="D267" s="1444" t="str">
        <f>IF(Data!BW267="","",Data!BW267)</f>
        <v/>
      </c>
      <c r="E267" s="1444" t="str">
        <f>IF(Data!BX267="","",Data!BX267)</f>
        <v/>
      </c>
      <c r="F267" s="1444" t="str">
        <f>IF(Data!BY267="","",Data!BY267)</f>
        <v/>
      </c>
      <c r="G267" s="1431"/>
      <c r="H267" s="1497" t="str">
        <f>IF(SUM(C267)&gt;0,MAX(C267,(C265-H270-SUM(C270)*(H270=""))*'Exp factors'!C$25),"")</f>
        <v/>
      </c>
      <c r="I267" s="1497" t="str">
        <f>IF(SUM(D267)&gt;0,MAX(D267,(D265-I270-SUM(D270)*(I270=""))*'Exp factors'!D$25),"")</f>
        <v/>
      </c>
      <c r="J267" s="1497" t="str">
        <f>IF(SUM(E267)&gt;0,MAX(E267,(E265-J270-SUM(E270)*(J270=""))*'Exp factors'!E$25),"")</f>
        <v/>
      </c>
      <c r="K267" s="1497" t="str">
        <f>IF(SUM(F267)&gt;0,MAX(F267,(F265-K270-SUM(F270)*(K270=""))*'Exp factors'!F$25),"")</f>
        <v/>
      </c>
      <c r="L267" s="1431"/>
      <c r="M267" s="1427"/>
      <c r="N267" s="1427"/>
      <c r="O267" s="1427"/>
      <c r="P267" s="1427"/>
      <c r="Q267" s="1464"/>
      <c r="R267" s="1402"/>
      <c r="S267" s="1403"/>
      <c r="T267" s="1403"/>
      <c r="U267" s="1394">
        <v>267</v>
      </c>
      <c r="V267" s="1421"/>
    </row>
    <row r="268" spans="1:22" ht="15.75" customHeight="1">
      <c r="A268" s="1428" t="s">
        <v>181</v>
      </c>
      <c r="B268" s="1455"/>
      <c r="C268" s="1444" t="str">
        <f>IF(Data!BV268="","",Data!BV268)</f>
        <v/>
      </c>
      <c r="D268" s="1444" t="str">
        <f>IF(Data!BW268="","",Data!BW268)</f>
        <v/>
      </c>
      <c r="E268" s="1444" t="str">
        <f>IF(Data!BX268="","",Data!BX268)</f>
        <v/>
      </c>
      <c r="F268" s="1444" t="str">
        <f>IF(Data!BY268="","",Data!BY268)</f>
        <v/>
      </c>
      <c r="G268" s="1433"/>
      <c r="H268" s="1427"/>
      <c r="I268" s="1427"/>
      <c r="J268" s="1427"/>
      <c r="K268" s="1427"/>
      <c r="L268" s="1433"/>
      <c r="M268" s="1427"/>
      <c r="N268" s="1427"/>
      <c r="O268" s="1427"/>
      <c r="P268" s="1427"/>
      <c r="Q268" s="1464"/>
      <c r="R268" s="1445"/>
      <c r="S268" s="1446"/>
      <c r="T268" s="1446"/>
      <c r="U268" s="1394">
        <v>268</v>
      </c>
      <c r="V268" s="1421"/>
    </row>
    <row r="269" spans="1:22" ht="15.75" customHeight="1">
      <c r="A269" s="1428" t="s">
        <v>183</v>
      </c>
      <c r="B269" s="1493"/>
      <c r="C269" s="1454" t="str">
        <f>IF(SUM(C267)=0,"",C267*C268)</f>
        <v/>
      </c>
      <c r="D269" s="1454" t="str">
        <f>IF(SUM(D267)=0,"",D267*D268)</f>
        <v/>
      </c>
      <c r="E269" s="1454" t="str">
        <f>IF(SUM(E267)=0,"",E267*E268)</f>
        <v/>
      </c>
      <c r="F269" s="1454" t="str">
        <f>IF(SUM(F267)=0,"",F267*F268)</f>
        <v/>
      </c>
      <c r="G269" s="1433"/>
      <c r="H269" s="1463" t="str">
        <f>IF(H267="","",H267*C268)</f>
        <v/>
      </c>
      <c r="I269" s="1463" t="str">
        <f>IF(I267="","",I267*D268)</f>
        <v/>
      </c>
      <c r="J269" s="1463" t="str">
        <f>IF(J267="","",J267*E268)</f>
        <v/>
      </c>
      <c r="K269" s="1463" t="str">
        <f>IF(K267="","",K267*F268)</f>
        <v/>
      </c>
      <c r="L269" s="1433"/>
      <c r="M269" s="1454" t="str">
        <f>IF(H269="","",SUM(H269)-SUM(C269))</f>
        <v/>
      </c>
      <c r="N269" s="1454" t="str">
        <f>IF(I269="","",SUM(I269)-SUM(D269))</f>
        <v/>
      </c>
      <c r="O269" s="1454" t="str">
        <f>IF(J269="","",SUM(J269)-SUM(E269))</f>
        <v/>
      </c>
      <c r="P269" s="1454" t="str">
        <f>IF(K269="","",SUM(K269)-SUM(F269))</f>
        <v/>
      </c>
      <c r="Q269" s="1464"/>
      <c r="R269" s="1402"/>
      <c r="S269" s="1403"/>
      <c r="T269" s="1403"/>
      <c r="U269" s="1394">
        <v>269</v>
      </c>
      <c r="V269" s="1421"/>
    </row>
    <row r="270" spans="1:22" ht="15.75" customHeight="1">
      <c r="A270" s="1428" t="s">
        <v>258</v>
      </c>
      <c r="B270" s="1493"/>
      <c r="C270" s="1444" t="str">
        <f>IF(Data!BV270="","",Data!BV270)</f>
        <v/>
      </c>
      <c r="D270" s="1444" t="str">
        <f>IF(Data!BW270="","",Data!BW270)</f>
        <v/>
      </c>
      <c r="E270" s="1444" t="str">
        <f>IF(Data!BX270="","",Data!BX270)</f>
        <v/>
      </c>
      <c r="F270" s="1444" t="str">
        <f>IF(Data!BY270="","",Data!BY270)</f>
        <v/>
      </c>
      <c r="G270" s="1433"/>
      <c r="H270" s="1492"/>
      <c r="I270" s="1492"/>
      <c r="J270" s="1492"/>
      <c r="K270" s="1492"/>
      <c r="L270" s="1433"/>
      <c r="M270" s="1427"/>
      <c r="N270" s="1427"/>
      <c r="O270" s="1427"/>
      <c r="P270" s="1427"/>
      <c r="Q270" s="1464"/>
      <c r="R270" s="1402"/>
      <c r="S270" s="1403"/>
      <c r="T270" s="1403"/>
      <c r="U270" s="1394">
        <v>270</v>
      </c>
      <c r="V270" s="1421"/>
    </row>
    <row r="271" spans="1:22" ht="15.75" customHeight="1">
      <c r="A271" s="1429" t="s">
        <v>252</v>
      </c>
      <c r="B271" s="1493"/>
      <c r="C271" s="1483" t="str">
        <f>IF(C265="","",(C265-SUM(C267)-SUM(C270))*C266/C$46/365/$P$1)</f>
        <v/>
      </c>
      <c r="D271" s="1483" t="str">
        <f>IF(D265="","",(D265-SUM(D267)-SUM(D270))*D266/D$46/365/$P$1)</f>
        <v/>
      </c>
      <c r="E271" s="1483" t="str">
        <f>IF(E265="","",(E265-SUM(E267)-SUM(E270))*E266/E$46/365/$P$1)</f>
        <v/>
      </c>
      <c r="F271" s="1483" t="str">
        <f>IF(F265="","",(F265-SUM(F267)-SUM(F270))*F266/F$46/365/$P$1)</f>
        <v/>
      </c>
      <c r="G271" s="1443"/>
      <c r="H271" s="1354" t="str">
        <f>IF(H267="","",(C265-H267-H270-SUM(C270)*(H270=""))*C266/H$46/365/$P$1)</f>
        <v/>
      </c>
      <c r="I271" s="1354" t="str">
        <f>IF(I267="","",(D265-I267-I270-SUM(D270)*(I270=""))*D266/I$46/365/$P$1)</f>
        <v/>
      </c>
      <c r="J271" s="1354" t="str">
        <f>IF(J267="","",(E265-J267-J270-SUM(E270)*(J270=""))*E266/J$46/365/$P$1)</f>
        <v/>
      </c>
      <c r="K271" s="1354" t="str">
        <f>IF(K267="","",(F265-K267-K270-SUM(F270)*(K270=""))*F266/K$46/365/$P$1)</f>
        <v/>
      </c>
      <c r="L271" s="1443"/>
      <c r="M271" s="1484" t="str">
        <f>IF(H271="","",SUM(H271)-SUM(C271))</f>
        <v/>
      </c>
      <c r="N271" s="1484" t="str">
        <f>IF(I271="","",SUM(I271)-SUM(D271))</f>
        <v/>
      </c>
      <c r="O271" s="1484" t="str">
        <f>IF(J271="","",SUM(J271)-SUM(E271))</f>
        <v/>
      </c>
      <c r="P271" s="1484" t="str">
        <f>IF(K271="","",SUM(K271)-SUM(F271))</f>
        <v/>
      </c>
      <c r="Q271" s="1464"/>
      <c r="R271" s="1392"/>
      <c r="S271" s="1393"/>
      <c r="T271" s="1393"/>
      <c r="U271" s="1394">
        <v>271</v>
      </c>
      <c r="V271" s="1421"/>
    </row>
    <row r="272" spans="1:22" ht="15.75" customHeight="1">
      <c r="A272" s="1500" t="str">
        <f>IF(Data!A272="","",Data!A272)</f>
        <v>Beans: kg produced</v>
      </c>
      <c r="B272" s="1461"/>
      <c r="C272" s="1444">
        <f>IF(Data!BV272="","",Data!BV272)</f>
        <v>80</v>
      </c>
      <c r="D272" s="1444">
        <f>IF(Data!BW272="","",Data!BW272)</f>
        <v>150</v>
      </c>
      <c r="E272" s="1444">
        <f>IF(Data!BX272="","",Data!BX272)</f>
        <v>250</v>
      </c>
      <c r="F272" s="1444">
        <f>IF(Data!BY272="","",Data!BY272)</f>
        <v>200</v>
      </c>
      <c r="G272" s="1493"/>
      <c r="H272" s="1427"/>
      <c r="I272" s="1427"/>
      <c r="J272" s="1427"/>
      <c r="K272" s="1427"/>
      <c r="L272" s="1493"/>
      <c r="M272" s="1477"/>
      <c r="N272" s="1477"/>
      <c r="O272" s="1477"/>
      <c r="P272" s="1477"/>
      <c r="Q272" s="1464"/>
      <c r="R272" s="1402"/>
      <c r="S272" s="1403"/>
      <c r="T272" s="1403"/>
      <c r="U272" s="1394">
        <v>272</v>
      </c>
      <c r="V272" s="1421"/>
    </row>
    <row r="273" spans="1:22" ht="15.75" customHeight="1">
      <c r="A273" s="1380" t="s">
        <v>256</v>
      </c>
      <c r="B273" s="1412"/>
      <c r="C273" s="1444">
        <f>IF(Data!BV273="","",Data!BV273)</f>
        <v>14193.252</v>
      </c>
      <c r="D273" s="1444">
        <f>IF(Data!BW273="","",Data!BW273)</f>
        <v>14193.252</v>
      </c>
      <c r="E273" s="1444">
        <f>IF(Data!BX273="","",Data!BX273)</f>
        <v>14193.252</v>
      </c>
      <c r="F273" s="1444">
        <f>IF(Data!BY273="","",Data!BY273)</f>
        <v>14193.252</v>
      </c>
      <c r="G273" s="1412"/>
      <c r="H273" s="1427"/>
      <c r="I273" s="1427"/>
      <c r="J273" s="1427"/>
      <c r="K273" s="1427"/>
      <c r="L273" s="1412"/>
      <c r="M273" s="1427"/>
      <c r="N273" s="1427"/>
      <c r="O273" s="1427"/>
      <c r="P273" s="1427"/>
      <c r="Q273" s="1464"/>
      <c r="R273" s="1402"/>
      <c r="S273" s="1403"/>
      <c r="T273" s="1403"/>
      <c r="U273" s="1394">
        <v>273</v>
      </c>
      <c r="V273" s="1421"/>
    </row>
    <row r="274" spans="1:22" s="1510" customFormat="1" ht="15.75" customHeight="1">
      <c r="A274" s="1382" t="s">
        <v>257</v>
      </c>
      <c r="B274" s="1461"/>
      <c r="C274" s="1444">
        <f>IF(Data!BV274="","",Data!BV274)</f>
        <v>0</v>
      </c>
      <c r="D274" s="1444">
        <f>IF(Data!BW274="","",Data!BW274)</f>
        <v>0</v>
      </c>
      <c r="E274" s="1444">
        <f>IF(Data!BX274="","",Data!BX274)</f>
        <v>50</v>
      </c>
      <c r="F274" s="1444">
        <f>IF(Data!BY274="","",Data!BY274)</f>
        <v>50</v>
      </c>
      <c r="G274" s="1431"/>
      <c r="H274" s="1497" t="str">
        <f>IF(SUM(C274)&gt;0,MAX(C274,(C272-H277-SUM(C277)*(H277=""))*'Exp factors'!C$25),"")</f>
        <v/>
      </c>
      <c r="I274" s="1497" t="str">
        <f>IF(SUM(D274)&gt;0,MAX(D274,(D272-I277-SUM(D277)*(I277=""))*'Exp factors'!D$25),"")</f>
        <v/>
      </c>
      <c r="J274" s="1497">
        <f>IF(SUM(E274)&gt;0,MAX(E274,(E272-J277-SUM(E277)*(J277=""))*'Exp factors'!E$25),"")</f>
        <v>122.5</v>
      </c>
      <c r="K274" s="1497">
        <f>IF(SUM(F274)&gt;0,MAX(F274,(F272-K277-SUM(F277)*(K277=""))*'Exp factors'!F$25),"")</f>
        <v>93</v>
      </c>
      <c r="L274" s="1431"/>
      <c r="M274" s="1427"/>
      <c r="N274" s="1427"/>
      <c r="O274" s="1427"/>
      <c r="P274" s="1427"/>
      <c r="Q274" s="1464"/>
      <c r="R274" s="1402"/>
      <c r="S274" s="1403"/>
      <c r="T274" s="1403"/>
      <c r="U274" s="1394">
        <v>274</v>
      </c>
      <c r="V274" s="1509"/>
    </row>
    <row r="275" spans="1:22" s="1510" customFormat="1" ht="15.75" customHeight="1">
      <c r="A275" s="1428" t="s">
        <v>181</v>
      </c>
      <c r="B275" s="1461"/>
      <c r="C275" s="1444" t="str">
        <f>IF(Data!BV275="","",Data!BV275)</f>
        <v/>
      </c>
      <c r="D275" s="1444" t="str">
        <f>IF(Data!BW275="","",Data!BW275)</f>
        <v/>
      </c>
      <c r="E275" s="1444">
        <f>IF(Data!BX275="","",Data!BX275)</f>
        <v>25</v>
      </c>
      <c r="F275" s="1444">
        <f>IF(Data!BY275="","",Data!BY275)</f>
        <v>25</v>
      </c>
      <c r="G275" s="1433"/>
      <c r="H275" s="1427"/>
      <c r="I275" s="1427"/>
      <c r="J275" s="1427"/>
      <c r="K275" s="1427"/>
      <c r="L275" s="1433"/>
      <c r="M275" s="1427"/>
      <c r="N275" s="1427"/>
      <c r="O275" s="1427"/>
      <c r="P275" s="1427"/>
      <c r="Q275" s="1464"/>
      <c r="R275" s="1445"/>
      <c r="S275" s="1446"/>
      <c r="T275" s="1446"/>
      <c r="U275" s="1394">
        <v>275</v>
      </c>
      <c r="V275" s="1509"/>
    </row>
    <row r="276" spans="1:22" s="1510" customFormat="1" ht="15.75" customHeight="1">
      <c r="A276" s="1428" t="s">
        <v>183</v>
      </c>
      <c r="B276" s="1433"/>
      <c r="C276" s="1454" t="str">
        <f>IF(SUM(C274)=0,"",C274*C275)</f>
        <v/>
      </c>
      <c r="D276" s="1454" t="str">
        <f>IF(SUM(D274)=0,"",D274*D275)</f>
        <v/>
      </c>
      <c r="E276" s="1454">
        <f>IF(SUM(E274)=0,"",E274*E275)</f>
        <v>1250</v>
      </c>
      <c r="F276" s="1454">
        <f>IF(SUM(F274)=0,"",F274*F275)</f>
        <v>1250</v>
      </c>
      <c r="G276" s="1433"/>
      <c r="H276" s="1463" t="str">
        <f>IF(H274="","",H274*C275)</f>
        <v/>
      </c>
      <c r="I276" s="1463" t="str">
        <f>IF(I274="","",I274*D275)</f>
        <v/>
      </c>
      <c r="J276" s="1463">
        <f>IF(J274="","",J274*E275)</f>
        <v>3062.5</v>
      </c>
      <c r="K276" s="1463">
        <f>IF(K274="","",K274*F275)</f>
        <v>2325</v>
      </c>
      <c r="L276" s="1433"/>
      <c r="M276" s="1454" t="str">
        <f>IF(H276="","",SUM(H276)-SUM(C276))</f>
        <v/>
      </c>
      <c r="N276" s="1454" t="str">
        <f>IF(I276="","",SUM(I276)-SUM(D276))</f>
        <v/>
      </c>
      <c r="O276" s="1454">
        <f>IF(J276="","",SUM(J276)-SUM(E276))</f>
        <v>1812.5</v>
      </c>
      <c r="P276" s="1454">
        <f>IF(K276="","",SUM(K276)-SUM(F276))</f>
        <v>1075</v>
      </c>
      <c r="Q276" s="1464"/>
      <c r="R276" s="1402"/>
      <c r="S276" s="1403"/>
      <c r="T276" s="1403"/>
      <c r="U276" s="1394">
        <v>276</v>
      </c>
      <c r="V276" s="1509"/>
    </row>
    <row r="277" spans="1:22" ht="15.75" customHeight="1">
      <c r="A277" s="1428" t="s">
        <v>258</v>
      </c>
      <c r="B277" s="1461"/>
      <c r="C277" s="1444" t="str">
        <f>IF(Data!BV277="","",Data!BV277)</f>
        <v/>
      </c>
      <c r="D277" s="1444" t="str">
        <f>IF(Data!BW277="","",Data!BW277)</f>
        <v/>
      </c>
      <c r="E277" s="1444">
        <f>IF(Data!BX277="","",Data!BX277)</f>
        <v>5</v>
      </c>
      <c r="F277" s="1444">
        <f>IF(Data!BY277="","",Data!BY277)</f>
        <v>14</v>
      </c>
      <c r="G277" s="1433"/>
      <c r="H277" s="1492"/>
      <c r="I277" s="1492"/>
      <c r="J277" s="1492"/>
      <c r="K277" s="1492"/>
      <c r="L277" s="1433"/>
      <c r="M277" s="1427"/>
      <c r="N277" s="1427"/>
      <c r="O277" s="1427"/>
      <c r="P277" s="1427"/>
      <c r="Q277" s="1464"/>
      <c r="R277" s="1402"/>
      <c r="S277" s="1403"/>
      <c r="T277" s="1403"/>
      <c r="U277" s="1394">
        <v>277</v>
      </c>
      <c r="V277" s="1421"/>
    </row>
    <row r="278" spans="1:22" ht="15.75" customHeight="1">
      <c r="A278" s="1429" t="s">
        <v>252</v>
      </c>
      <c r="B278" s="1433"/>
      <c r="C278" s="1483">
        <f>IF(C272="","",(C272-SUM(C274)-SUM(C277))*C273/C$46/365/$P$1)</f>
        <v>4.4188206724782075E-2</v>
      </c>
      <c r="D278" s="1483">
        <f>IF(D272="","",(D272-SUM(D274)-SUM(D277))*D273/D$46/365/$P$1)</f>
        <v>8.2852887608966391E-2</v>
      </c>
      <c r="E278" s="1483">
        <f>IF(E272="","",(E272-SUM(E274)-SUM(E277))*E273/E$46/365/$P$1)</f>
        <v>0.10770875389165629</v>
      </c>
      <c r="F278" s="1483">
        <f>IF(F272="","",(F272-SUM(F274)-SUM(F277))*F273/F$46/365/$P$1)</f>
        <v>6.6773290161892901E-2</v>
      </c>
      <c r="G278" s="1443"/>
      <c r="H278" s="1354" t="str">
        <f>IF(H274="","",(C272-H274-H277-SUM(C277)*(H277=""))*C273/H$46/365/$P$1)</f>
        <v/>
      </c>
      <c r="I278" s="1354" t="str">
        <f>IF(I274="","",(D272-I274-I277-SUM(D277)*(I277=""))*D273/I$46/365/$P$1)</f>
        <v/>
      </c>
      <c r="J278" s="1354">
        <f>IF(J274="","",(E272-J274-J277-SUM(E277)*(J277=""))*E273/J$46/365/$P$1)</f>
        <v>6.7663191547322546E-2</v>
      </c>
      <c r="K278" s="1354">
        <f>IF(K274="","",(F272-K274-K277-SUM(F277)*(K277=""))*F273/K$46/365/$P$1)</f>
        <v>4.5661146948941467E-2</v>
      </c>
      <c r="L278" s="1443"/>
      <c r="M278" s="1484" t="str">
        <f>IF(H278="","",SUM(H278)-SUM(C278))</f>
        <v/>
      </c>
      <c r="N278" s="1484" t="str">
        <f>IF(I278="","",SUM(I278)-SUM(D278))</f>
        <v/>
      </c>
      <c r="O278" s="1484">
        <f>IF(J278="","",SUM(J278)-SUM(E278))</f>
        <v>-4.0045562344333749E-2</v>
      </c>
      <c r="P278" s="1484">
        <f>IF(K278="","",SUM(K278)-SUM(F278))</f>
        <v>-2.1112143212951434E-2</v>
      </c>
      <c r="Q278" s="1464"/>
      <c r="R278" s="1392"/>
      <c r="S278" s="1393"/>
      <c r="T278" s="1393"/>
      <c r="U278" s="1394">
        <v>278</v>
      </c>
      <c r="V278" s="1421"/>
    </row>
    <row r="279" spans="1:22" ht="15.75" customHeight="1">
      <c r="A279" s="1500" t="str">
        <f>IF(Data!A279="","",Data!A279)</f>
        <v>Millet: kg produced</v>
      </c>
      <c r="B279" s="1443"/>
      <c r="C279" s="1444" t="str">
        <f>IF(Data!BV279="","",Data!BV279)</f>
        <v/>
      </c>
      <c r="D279" s="1444" t="str">
        <f>IF(Data!BW279="","",Data!BW279)</f>
        <v/>
      </c>
      <c r="E279" s="1444" t="str">
        <f>IF(Data!BX279="","",Data!BX279)</f>
        <v/>
      </c>
      <c r="F279" s="1444" t="str">
        <f>IF(Data!BY279="","",Data!BY279)</f>
        <v/>
      </c>
      <c r="G279" s="1493"/>
      <c r="H279" s="1427"/>
      <c r="I279" s="1427"/>
      <c r="J279" s="1427"/>
      <c r="K279" s="1427"/>
      <c r="L279" s="1493"/>
      <c r="M279" s="1477"/>
      <c r="N279" s="1477"/>
      <c r="O279" s="1477"/>
      <c r="P279" s="1477"/>
      <c r="Q279" s="1464"/>
      <c r="R279" s="1402"/>
      <c r="S279" s="1403"/>
      <c r="T279" s="1403"/>
      <c r="U279" s="1394">
        <v>279</v>
      </c>
      <c r="V279" s="1421"/>
    </row>
    <row r="280" spans="1:22" ht="15.75" customHeight="1">
      <c r="A280" s="1380" t="s">
        <v>256</v>
      </c>
      <c r="B280" s="1493"/>
      <c r="C280" s="1444">
        <f>IF(Data!BV280="","",Data!BV280)</f>
        <v>15198.083999999999</v>
      </c>
      <c r="D280" s="1444">
        <f>IF(Data!BW280="","",Data!BW280)</f>
        <v>15198.083999999999</v>
      </c>
      <c r="E280" s="1444">
        <f>IF(Data!BX280="","",Data!BX280)</f>
        <v>15198.083999999999</v>
      </c>
      <c r="F280" s="1444">
        <f>IF(Data!BY280="","",Data!BY280)</f>
        <v>15198.083999999999</v>
      </c>
      <c r="G280" s="1412"/>
      <c r="H280" s="1427"/>
      <c r="I280" s="1427"/>
      <c r="J280" s="1427"/>
      <c r="K280" s="1427"/>
      <c r="L280" s="1412"/>
      <c r="M280" s="1427"/>
      <c r="N280" s="1427"/>
      <c r="O280" s="1427"/>
      <c r="P280" s="1427"/>
      <c r="Q280" s="1464"/>
      <c r="R280" s="1402"/>
      <c r="S280" s="1403"/>
      <c r="T280" s="1403"/>
      <c r="U280" s="1394">
        <v>280</v>
      </c>
      <c r="V280" s="1421"/>
    </row>
    <row r="281" spans="1:22" ht="15.75" customHeight="1">
      <c r="A281" s="1382" t="s">
        <v>257</v>
      </c>
      <c r="B281" s="1493"/>
      <c r="C281" s="1444" t="str">
        <f>IF(Data!BV281="","",Data!BV281)</f>
        <v/>
      </c>
      <c r="D281" s="1444" t="str">
        <f>IF(Data!BW281="","",Data!BW281)</f>
        <v/>
      </c>
      <c r="E281" s="1444" t="str">
        <f>IF(Data!BX281="","",Data!BX281)</f>
        <v/>
      </c>
      <c r="F281" s="1444" t="str">
        <f>IF(Data!BY281="","",Data!BY281)</f>
        <v/>
      </c>
      <c r="G281" s="1431"/>
      <c r="H281" s="1497" t="str">
        <f>IF(SUM(C281)&gt;0,(C279-H284-SUM(C284)*(H284=""))*'Exp factors'!C$23,"")</f>
        <v/>
      </c>
      <c r="I281" s="1497" t="str">
        <f>IF(SUM(D281)&gt;0,(D279-I284-SUM(D284)*(I284=""))*'Exp factors'!D$23,"")</f>
        <v/>
      </c>
      <c r="J281" s="1497" t="str">
        <f>IF(SUM(E281)&gt;0,(E279-J284-SUM(E284)*(J284=""))*'Exp factors'!E$23,"")</f>
        <v/>
      </c>
      <c r="K281" s="1497" t="str">
        <f>IF(SUM(F281)&gt;0,(F279-K284-SUM(F284)*(K284=""))*'Exp factors'!F$23,"")</f>
        <v/>
      </c>
      <c r="L281" s="1431"/>
      <c r="M281" s="1427"/>
      <c r="N281" s="1427"/>
      <c r="O281" s="1427"/>
      <c r="P281" s="1427"/>
      <c r="Q281" s="1464"/>
      <c r="R281" s="1402"/>
      <c r="S281" s="1403"/>
      <c r="T281" s="1403"/>
      <c r="U281" s="1394">
        <v>281</v>
      </c>
      <c r="V281" s="1421"/>
    </row>
    <row r="282" spans="1:22" ht="15.75" customHeight="1">
      <c r="A282" s="1428" t="s">
        <v>181</v>
      </c>
      <c r="B282" s="1493"/>
      <c r="C282" s="1444" t="str">
        <f>IF(Data!BV282="","",Data!BV282)</f>
        <v/>
      </c>
      <c r="D282" s="1444" t="str">
        <f>IF(Data!BW282="","",Data!BW282)</f>
        <v/>
      </c>
      <c r="E282" s="1444" t="str">
        <f>IF(Data!BX282="","",Data!BX282)</f>
        <v/>
      </c>
      <c r="F282" s="1444" t="str">
        <f>IF(Data!BY282="","",Data!BY282)</f>
        <v/>
      </c>
      <c r="G282" s="1433"/>
      <c r="H282" s="1427"/>
      <c r="I282" s="1427"/>
      <c r="J282" s="1427"/>
      <c r="K282" s="1427"/>
      <c r="L282" s="1433"/>
      <c r="M282" s="1427"/>
      <c r="N282" s="1427"/>
      <c r="O282" s="1427"/>
      <c r="P282" s="1427"/>
      <c r="Q282" s="1464"/>
      <c r="R282" s="1445"/>
      <c r="S282" s="1446"/>
      <c r="T282" s="1446"/>
      <c r="U282" s="1394">
        <v>282</v>
      </c>
      <c r="V282" s="1421"/>
    </row>
    <row r="283" spans="1:22" ht="15.75" customHeight="1">
      <c r="A283" s="1428" t="s">
        <v>183</v>
      </c>
      <c r="B283" s="1443"/>
      <c r="C283" s="1454" t="str">
        <f>IF(SUM(C281)=0,"",C281*C282)</f>
        <v/>
      </c>
      <c r="D283" s="1454" t="str">
        <f>IF(SUM(D281)=0,"",D281*D282)</f>
        <v/>
      </c>
      <c r="E283" s="1454" t="str">
        <f>IF(SUM(E281)=0,"",E281*E282)</f>
        <v/>
      </c>
      <c r="F283" s="1454" t="str">
        <f>IF(SUM(F281)=0,"",F281*F282)</f>
        <v/>
      </c>
      <c r="G283" s="1433"/>
      <c r="H283" s="1463" t="str">
        <f>IF(H281="","",H281*C282)</f>
        <v/>
      </c>
      <c r="I283" s="1463" t="str">
        <f>IF(I281="","",I281*D282)</f>
        <v/>
      </c>
      <c r="J283" s="1463" t="str">
        <f>IF(J281="","",J281*E282)</f>
        <v/>
      </c>
      <c r="K283" s="1463" t="str">
        <f>IF(K281="","",K281*F282)</f>
        <v/>
      </c>
      <c r="L283" s="1433"/>
      <c r="M283" s="1454" t="str">
        <f>IF(H283="","",SUM(H283)-SUM(C283))</f>
        <v/>
      </c>
      <c r="N283" s="1454" t="str">
        <f>IF(I283="","",SUM(I283)-SUM(D283))</f>
        <v/>
      </c>
      <c r="O283" s="1454" t="str">
        <f>IF(J283="","",SUM(J283)-SUM(E283))</f>
        <v/>
      </c>
      <c r="P283" s="1454" t="str">
        <f>IF(K283="","",SUM(K283)-SUM(F283))</f>
        <v/>
      </c>
      <c r="Q283" s="1464"/>
      <c r="R283" s="1402"/>
      <c r="S283" s="1403"/>
      <c r="T283" s="1403"/>
      <c r="U283" s="1394">
        <v>283</v>
      </c>
      <c r="V283" s="1421"/>
    </row>
    <row r="284" spans="1:22" ht="15.75" customHeight="1">
      <c r="A284" s="1428" t="s">
        <v>258</v>
      </c>
      <c r="B284" s="1443"/>
      <c r="C284" s="1444" t="str">
        <f>IF(Data!BV284="","",Data!BV284)</f>
        <v/>
      </c>
      <c r="D284" s="1444" t="str">
        <f>IF(Data!BW284="","",Data!BW284)</f>
        <v/>
      </c>
      <c r="E284" s="1444" t="str">
        <f>IF(Data!BX284="","",Data!BX284)</f>
        <v/>
      </c>
      <c r="F284" s="1444" t="str">
        <f>IF(Data!BY284="","",Data!BY284)</f>
        <v/>
      </c>
      <c r="G284" s="1433"/>
      <c r="H284" s="1492"/>
      <c r="I284" s="1492"/>
      <c r="J284" s="1492"/>
      <c r="K284" s="1492"/>
      <c r="L284" s="1433"/>
      <c r="M284" s="1427"/>
      <c r="N284" s="1427"/>
      <c r="O284" s="1427"/>
      <c r="P284" s="1427"/>
      <c r="Q284" s="1464"/>
      <c r="R284" s="1402"/>
      <c r="S284" s="1403"/>
      <c r="T284" s="1403"/>
      <c r="U284" s="1394">
        <v>284</v>
      </c>
      <c r="V284" s="1421"/>
    </row>
    <row r="285" spans="1:22" s="1510" customFormat="1" ht="15.75" customHeight="1">
      <c r="A285" s="1429" t="s">
        <v>252</v>
      </c>
      <c r="B285" s="1443"/>
      <c r="C285" s="1483" t="str">
        <f>IF(C279="","",(C279-SUM(C281)-SUM(C284))*C280/C$46/365/$P$1)</f>
        <v/>
      </c>
      <c r="D285" s="1483" t="str">
        <f>IF(D279="","",(D279-SUM(D281)-SUM(D284))*D280/D$46/365/$P$1)</f>
        <v/>
      </c>
      <c r="E285" s="1483" t="str">
        <f>IF(E279="","",(E279-SUM(E281)-SUM(E284))*E280/E$46/365/$P$1)</f>
        <v/>
      </c>
      <c r="F285" s="1483" t="str">
        <f>IF(F279="","",(F279-SUM(F281)-SUM(F284))*F280/F$46/365/$P$1)</f>
        <v/>
      </c>
      <c r="G285" s="1443"/>
      <c r="H285" s="1354" t="str">
        <f>IF(H281="","",(C279-H281-H284-SUM(C284)*(H284=""))*C280/H$46/365/$P$1)</f>
        <v/>
      </c>
      <c r="I285" s="1354" t="str">
        <f>IF(I281="","",(D279-I281-I284-SUM(D284)*(I284=""))*D280/I$46/365/$P$1)</f>
        <v/>
      </c>
      <c r="J285" s="1354" t="str">
        <f>IF(J281="","",(E279-J281-J284-SUM(E284)*(J284=""))*E280/J$46/365/$P$1)</f>
        <v/>
      </c>
      <c r="K285" s="1354" t="str">
        <f>IF(K281="","",(F279-K281-K284-SUM(F284)*(K284=""))*F280/K$46/365/$P$1)</f>
        <v/>
      </c>
      <c r="L285" s="1443"/>
      <c r="M285" s="1484" t="str">
        <f>IF(H285="","",SUM(H285)-SUM(C285))</f>
        <v/>
      </c>
      <c r="N285" s="1484" t="str">
        <f>IF(I285="","",SUM(I285)-SUM(D285))</f>
        <v/>
      </c>
      <c r="O285" s="1484" t="str">
        <f>IF(J285="","",SUM(J285)-SUM(E285))</f>
        <v/>
      </c>
      <c r="P285" s="1484" t="str">
        <f>IF(K285="","",SUM(K285)-SUM(F285))</f>
        <v/>
      </c>
      <c r="Q285" s="1464"/>
      <c r="R285" s="1392"/>
      <c r="S285" s="1393"/>
      <c r="T285" s="1393"/>
      <c r="U285" s="1394">
        <v>285</v>
      </c>
      <c r="V285" s="1509"/>
    </row>
    <row r="286" spans="1:22" ht="15.75" customHeight="1">
      <c r="A286" s="1500" t="str">
        <f>IF(Data!A286="","",Data!A286)</f>
        <v>Finger millet: kg produced</v>
      </c>
      <c r="B286" s="1443"/>
      <c r="C286" s="1444" t="str">
        <f>IF(Data!BV286="","",Data!BV286)</f>
        <v/>
      </c>
      <c r="D286" s="1444" t="str">
        <f>IF(Data!BW286="","",Data!BW286)</f>
        <v/>
      </c>
      <c r="E286" s="1444" t="str">
        <f>IF(Data!BX286="","",Data!BX286)</f>
        <v/>
      </c>
      <c r="F286" s="1444" t="str">
        <f>IF(Data!BY286="","",Data!BY286)</f>
        <v/>
      </c>
      <c r="G286" s="1493"/>
      <c r="H286" s="1427"/>
      <c r="I286" s="1427"/>
      <c r="J286" s="1427"/>
      <c r="K286" s="1427"/>
      <c r="L286" s="1493"/>
      <c r="M286" s="1477"/>
      <c r="N286" s="1477"/>
      <c r="O286" s="1477"/>
      <c r="P286" s="1477"/>
      <c r="Q286" s="1464"/>
      <c r="R286" s="1402"/>
      <c r="S286" s="1403"/>
      <c r="T286" s="1403"/>
      <c r="U286" s="1394">
        <v>286</v>
      </c>
      <c r="V286" s="1421"/>
    </row>
    <row r="287" spans="1:22" ht="15.75" customHeight="1">
      <c r="A287" s="1380" t="s">
        <v>256</v>
      </c>
      <c r="B287" s="1507"/>
      <c r="C287" s="1444">
        <f>IF(Data!BV287="","",Data!BV287)</f>
        <v>14067.647999999999</v>
      </c>
      <c r="D287" s="1444">
        <f>IF(Data!BW287="","",Data!BW287)</f>
        <v>14067.647999999999</v>
      </c>
      <c r="E287" s="1444">
        <f>IF(Data!BX287="","",Data!BX287)</f>
        <v>14067.647999999999</v>
      </c>
      <c r="F287" s="1444">
        <f>IF(Data!BY287="","",Data!BY287)</f>
        <v>14067.647999999999</v>
      </c>
      <c r="G287" s="1412"/>
      <c r="H287" s="1427"/>
      <c r="I287" s="1427"/>
      <c r="J287" s="1427"/>
      <c r="K287" s="1427"/>
      <c r="L287" s="1412"/>
      <c r="M287" s="1427"/>
      <c r="N287" s="1427"/>
      <c r="O287" s="1427"/>
      <c r="P287" s="1427"/>
      <c r="Q287" s="1464"/>
      <c r="R287" s="1402"/>
      <c r="S287" s="1403"/>
      <c r="T287" s="1403"/>
      <c r="U287" s="1394">
        <v>287</v>
      </c>
      <c r="V287" s="1421"/>
    </row>
    <row r="288" spans="1:22" ht="15.75" customHeight="1">
      <c r="A288" s="1382" t="s">
        <v>257</v>
      </c>
      <c r="B288" s="1507"/>
      <c r="C288" s="1444" t="str">
        <f>IF(Data!BV288="","",Data!BV288)</f>
        <v/>
      </c>
      <c r="D288" s="1444" t="str">
        <f>IF(Data!BW288="","",Data!BW288)</f>
        <v/>
      </c>
      <c r="E288" s="1444" t="str">
        <f>IF(Data!BX288="","",Data!BX288)</f>
        <v/>
      </c>
      <c r="F288" s="1444" t="str">
        <f>IF(Data!BY288="","",Data!BY288)</f>
        <v/>
      </c>
      <c r="G288" s="1431"/>
      <c r="H288" s="1497" t="str">
        <f>IF(SUM(C288)&gt;0,(C286-H291-SUM(C291)*(H291=""))*'Exp factors'!C$23,"")</f>
        <v/>
      </c>
      <c r="I288" s="1497" t="str">
        <f>IF(SUM(D288)&gt;0,(D286-I291-SUM(D291)*(I291=""))*'Exp factors'!D$23,"")</f>
        <v/>
      </c>
      <c r="J288" s="1497" t="str">
        <f>IF(SUM(E288)&gt;0,(E286-J291-SUM(E291)*(J291=""))*'Exp factors'!E$23,"")</f>
        <v/>
      </c>
      <c r="K288" s="1497" t="str">
        <f>IF(SUM(F288)&gt;0,(F286-K291-SUM(F291)*(K291=""))*'Exp factors'!F$23,"")</f>
        <v/>
      </c>
      <c r="L288" s="1431"/>
      <c r="M288" s="1427"/>
      <c r="N288" s="1427"/>
      <c r="O288" s="1427"/>
      <c r="P288" s="1427"/>
      <c r="Q288" s="1464"/>
      <c r="R288" s="1402"/>
      <c r="S288" s="1403"/>
      <c r="T288" s="1403"/>
      <c r="U288" s="1394">
        <v>288</v>
      </c>
      <c r="V288" s="1421"/>
    </row>
    <row r="289" spans="1:22" ht="15.75" customHeight="1">
      <c r="A289" s="1428" t="s">
        <v>181</v>
      </c>
      <c r="B289" s="1455"/>
      <c r="C289" s="1444" t="str">
        <f>IF(Data!BV289="","",Data!BV289)</f>
        <v/>
      </c>
      <c r="D289" s="1444" t="str">
        <f>IF(Data!BW289="","",Data!BW289)</f>
        <v/>
      </c>
      <c r="E289" s="1444" t="str">
        <f>IF(Data!BX289="","",Data!BX289)</f>
        <v/>
      </c>
      <c r="F289" s="1444" t="str">
        <f>IF(Data!BY289="","",Data!BY289)</f>
        <v/>
      </c>
      <c r="G289" s="1433"/>
      <c r="H289" s="1427"/>
      <c r="I289" s="1427"/>
      <c r="J289" s="1427"/>
      <c r="K289" s="1427"/>
      <c r="L289" s="1433"/>
      <c r="M289" s="1427"/>
      <c r="N289" s="1427"/>
      <c r="O289" s="1427"/>
      <c r="P289" s="1427"/>
      <c r="Q289" s="1464"/>
      <c r="R289" s="1445"/>
      <c r="S289" s="1446"/>
      <c r="T289" s="1446"/>
      <c r="U289" s="1394">
        <v>289</v>
      </c>
      <c r="V289" s="1421"/>
    </row>
    <row r="290" spans="1:22" ht="15.75" customHeight="1">
      <c r="A290" s="1428" t="s">
        <v>183</v>
      </c>
      <c r="B290" s="1493"/>
      <c r="C290" s="1454" t="str">
        <f>IF(SUM(C288)=0,"",C288*C289)</f>
        <v/>
      </c>
      <c r="D290" s="1454" t="str">
        <f>IF(SUM(D288)=0,"",D288*D289)</f>
        <v/>
      </c>
      <c r="E290" s="1454" t="str">
        <f>IF(SUM(E288)=0,"",E288*E289)</f>
        <v/>
      </c>
      <c r="F290" s="1454" t="str">
        <f>IF(SUM(F288)=0,"",F288*F289)</f>
        <v/>
      </c>
      <c r="G290" s="1433"/>
      <c r="H290" s="1463" t="str">
        <f>IF(H288="","",H288*C289)</f>
        <v/>
      </c>
      <c r="I290" s="1463" t="str">
        <f>IF(I288="","",I288*D289)</f>
        <v/>
      </c>
      <c r="J290" s="1463" t="str">
        <f>IF(J288="","",J288*E289)</f>
        <v/>
      </c>
      <c r="K290" s="1463" t="str">
        <f>IF(K288="","",K288*F289)</f>
        <v/>
      </c>
      <c r="L290" s="1433"/>
      <c r="M290" s="1454" t="str">
        <f>IF(H290="","",SUM(H290)-SUM(C290))</f>
        <v/>
      </c>
      <c r="N290" s="1454" t="str">
        <f>IF(I290="","",SUM(I290)-SUM(D290))</f>
        <v/>
      </c>
      <c r="O290" s="1454" t="str">
        <f>IF(J290="","",SUM(J290)-SUM(E290))</f>
        <v/>
      </c>
      <c r="P290" s="1454" t="str">
        <f>IF(K290="","",SUM(K290)-SUM(F290))</f>
        <v/>
      </c>
      <c r="Q290" s="1464"/>
      <c r="R290" s="1402"/>
      <c r="S290" s="1403"/>
      <c r="T290" s="1403"/>
      <c r="U290" s="1394">
        <v>290</v>
      </c>
      <c r="V290" s="1421"/>
    </row>
    <row r="291" spans="1:22" ht="15.75" customHeight="1">
      <c r="A291" s="1428" t="s">
        <v>258</v>
      </c>
      <c r="B291" s="1493"/>
      <c r="C291" s="1444" t="str">
        <f>IF(Data!BV291="","",Data!BV291)</f>
        <v/>
      </c>
      <c r="D291" s="1444" t="str">
        <f>IF(Data!BW291="","",Data!BW291)</f>
        <v/>
      </c>
      <c r="E291" s="1444" t="str">
        <f>IF(Data!BX291="","",Data!BX291)</f>
        <v/>
      </c>
      <c r="F291" s="1444" t="str">
        <f>IF(Data!BY291="","",Data!BY291)</f>
        <v/>
      </c>
      <c r="G291" s="1433"/>
      <c r="H291" s="1492"/>
      <c r="I291" s="1492"/>
      <c r="J291" s="1492"/>
      <c r="K291" s="1492"/>
      <c r="L291" s="1433"/>
      <c r="M291" s="1427"/>
      <c r="N291" s="1427"/>
      <c r="O291" s="1427"/>
      <c r="P291" s="1427"/>
      <c r="Q291" s="1464"/>
      <c r="R291" s="1402"/>
      <c r="S291" s="1403"/>
      <c r="T291" s="1403"/>
      <c r="U291" s="1394">
        <v>291</v>
      </c>
      <c r="V291" s="1421"/>
    </row>
    <row r="292" spans="1:22" s="1510" customFormat="1" ht="15.75" customHeight="1">
      <c r="A292" s="1429" t="s">
        <v>252</v>
      </c>
      <c r="B292" s="1493"/>
      <c r="C292" s="1483" t="str">
        <f>IF(C286="","",(C286-SUM(C288)-SUM(C291))*C287/C$46/365/$P$1)</f>
        <v/>
      </c>
      <c r="D292" s="1483" t="str">
        <f>IF(D286="","",(D286-SUM(D288)-SUM(D291))*D287/D$46/365/$P$1)</f>
        <v/>
      </c>
      <c r="E292" s="1483" t="str">
        <f>IF(E286="","",(E286-SUM(E288)-SUM(E291))*E287/E$46/365/$P$1)</f>
        <v/>
      </c>
      <c r="F292" s="1483" t="str">
        <f>IF(F286="","",(F286-SUM(F288)-SUM(F291))*F287/F$46/365/$P$1)</f>
        <v/>
      </c>
      <c r="G292" s="1443"/>
      <c r="H292" s="1354" t="str">
        <f>IF(H288="","",(C286-H288-H291-SUM(C291)*(H291=""))*C287/H$46/365/$P$1)</f>
        <v/>
      </c>
      <c r="I292" s="1354" t="str">
        <f>IF(I288="","",(D286-I288-I291-SUM(D291)*(I291=""))*D287/I$46/365/$P$1)</f>
        <v/>
      </c>
      <c r="J292" s="1354" t="str">
        <f>IF(J288="","",(E286-J288-J291-SUM(E291)*(J291=""))*E287/J$46/365/$P$1)</f>
        <v/>
      </c>
      <c r="K292" s="1354" t="str">
        <f>IF(K288="","",(F286-K288-K291-SUM(F291)*(K291=""))*F287/K$46/365/$P$1)</f>
        <v/>
      </c>
      <c r="L292" s="1443"/>
      <c r="M292" s="1484" t="str">
        <f>IF(H292="","",SUM(H292)-SUM(C292))</f>
        <v/>
      </c>
      <c r="N292" s="1484" t="str">
        <f>IF(I292="","",SUM(I292)-SUM(D292))</f>
        <v/>
      </c>
      <c r="O292" s="1484" t="str">
        <f>IF(J292="","",SUM(J292)-SUM(E292))</f>
        <v/>
      </c>
      <c r="P292" s="1484" t="str">
        <f>IF(K292="","",SUM(K292)-SUM(F292))</f>
        <v/>
      </c>
      <c r="Q292" s="1464"/>
      <c r="R292" s="1392"/>
      <c r="S292" s="1393"/>
      <c r="T292" s="1393"/>
      <c r="U292" s="1394">
        <v>292</v>
      </c>
      <c r="V292" s="1509"/>
    </row>
    <row r="293" spans="1:22" ht="15.75" customHeight="1">
      <c r="A293" s="1500" t="str">
        <f>IF(Data!A293="","",Data!A293)</f>
        <v>Wheat: kg produced</v>
      </c>
      <c r="B293" s="1443"/>
      <c r="C293" s="1444" t="str">
        <f>IF(Data!BV293="","",Data!BV293)</f>
        <v/>
      </c>
      <c r="D293" s="1444" t="str">
        <f>IF(Data!BW293="","",Data!BW293)</f>
        <v/>
      </c>
      <c r="E293" s="1444" t="str">
        <f>IF(Data!BX293="","",Data!BX293)</f>
        <v/>
      </c>
      <c r="F293" s="1444" t="str">
        <f>IF(Data!BY293="","",Data!BY293)</f>
        <v/>
      </c>
      <c r="G293" s="1493"/>
      <c r="H293" s="1427"/>
      <c r="I293" s="1427"/>
      <c r="J293" s="1427"/>
      <c r="K293" s="1427"/>
      <c r="L293" s="1493"/>
      <c r="M293" s="1477"/>
      <c r="N293" s="1477"/>
      <c r="O293" s="1477"/>
      <c r="P293" s="1477"/>
      <c r="Q293" s="1464"/>
      <c r="R293" s="1402"/>
      <c r="S293" s="1403"/>
      <c r="T293" s="1403"/>
      <c r="U293" s="1394">
        <v>293</v>
      </c>
      <c r="V293" s="1421"/>
    </row>
    <row r="294" spans="1:22" ht="15.75" customHeight="1">
      <c r="A294" s="1380" t="s">
        <v>256</v>
      </c>
      <c r="B294" s="1443"/>
      <c r="C294" s="1444">
        <f>IF(Data!BV294="","",Data!BV294)</f>
        <v>14402.591999999999</v>
      </c>
      <c r="D294" s="1444">
        <f>IF(Data!BW294="","",Data!BW294)</f>
        <v>14402.591999999999</v>
      </c>
      <c r="E294" s="1444">
        <f>IF(Data!BX294="","",Data!BX294)</f>
        <v>14402.591999999999</v>
      </c>
      <c r="F294" s="1444">
        <f>IF(Data!BY294="","",Data!BY294)</f>
        <v>14402.591999999999</v>
      </c>
      <c r="G294" s="1412"/>
      <c r="H294" s="1427"/>
      <c r="I294" s="1427"/>
      <c r="J294" s="1427"/>
      <c r="K294" s="1427"/>
      <c r="L294" s="1412"/>
      <c r="M294" s="1427"/>
      <c r="N294" s="1427"/>
      <c r="O294" s="1427"/>
      <c r="P294" s="1427"/>
      <c r="Q294" s="1464"/>
      <c r="R294" s="1402"/>
      <c r="S294" s="1403"/>
      <c r="T294" s="1403"/>
      <c r="U294" s="1394">
        <v>294</v>
      </c>
      <c r="V294" s="1421"/>
    </row>
    <row r="295" spans="1:22" ht="15.75" customHeight="1">
      <c r="A295" s="1382" t="s">
        <v>257</v>
      </c>
      <c r="B295" s="1443"/>
      <c r="C295" s="1444" t="str">
        <f>IF(Data!BV295="","",Data!BV295)</f>
        <v/>
      </c>
      <c r="D295" s="1444" t="str">
        <f>IF(Data!BW295="","",Data!BW295)</f>
        <v/>
      </c>
      <c r="E295" s="1444" t="str">
        <f>IF(Data!BX295="","",Data!BX295)</f>
        <v/>
      </c>
      <c r="F295" s="1444" t="str">
        <f>IF(Data!BY295="","",Data!BY295)</f>
        <v/>
      </c>
      <c r="G295" s="1431"/>
      <c r="H295" s="1497" t="str">
        <f>IF(SUM(C295)&gt;0,(C293-H298-SUM(C298)*(H298=""))*'Exp factors'!C$23,"")</f>
        <v/>
      </c>
      <c r="I295" s="1497" t="str">
        <f>IF(SUM(D295)&gt;0,(D293-I298-SUM(D298)*(I298=""))*'Exp factors'!D$23,"")</f>
        <v/>
      </c>
      <c r="J295" s="1497" t="str">
        <f>IF(SUM(E295)&gt;0,(E293-J298-SUM(E298)*(J298=""))*'Exp factors'!E$23,"")</f>
        <v/>
      </c>
      <c r="K295" s="1497" t="str">
        <f>IF(SUM(F295)&gt;0,(F293-K298-SUM(F298)*(K298=""))*'Exp factors'!F$23,"")</f>
        <v/>
      </c>
      <c r="L295" s="1431"/>
      <c r="M295" s="1427"/>
      <c r="N295" s="1427"/>
      <c r="O295" s="1427"/>
      <c r="P295" s="1427"/>
      <c r="Q295" s="1464"/>
      <c r="R295" s="1402"/>
      <c r="S295" s="1403"/>
      <c r="T295" s="1403"/>
      <c r="U295" s="1394">
        <v>295</v>
      </c>
      <c r="V295" s="1421"/>
    </row>
    <row r="296" spans="1:22" ht="15.75" customHeight="1">
      <c r="A296" s="1428" t="s">
        <v>181</v>
      </c>
      <c r="B296" s="1443"/>
      <c r="C296" s="1444" t="str">
        <f>IF(Data!BV296="","",Data!BV296)</f>
        <v/>
      </c>
      <c r="D296" s="1444" t="str">
        <f>IF(Data!BW296="","",Data!BW296)</f>
        <v/>
      </c>
      <c r="E296" s="1444" t="str">
        <f>IF(Data!BX296="","",Data!BX296)</f>
        <v/>
      </c>
      <c r="F296" s="1444" t="str">
        <f>IF(Data!BY296="","",Data!BY296)</f>
        <v/>
      </c>
      <c r="G296" s="1433"/>
      <c r="H296" s="1427"/>
      <c r="I296" s="1427"/>
      <c r="J296" s="1427"/>
      <c r="K296" s="1427"/>
      <c r="L296" s="1433"/>
      <c r="M296" s="1427"/>
      <c r="N296" s="1427"/>
      <c r="O296" s="1427"/>
      <c r="P296" s="1427"/>
      <c r="Q296" s="1464"/>
      <c r="R296" s="1445"/>
      <c r="S296" s="1446"/>
      <c r="T296" s="1446"/>
      <c r="U296" s="1394">
        <v>296</v>
      </c>
      <c r="V296" s="1421"/>
    </row>
    <row r="297" spans="1:22" ht="15.75" customHeight="1">
      <c r="A297" s="1428" t="s">
        <v>183</v>
      </c>
      <c r="B297" s="1507"/>
      <c r="C297" s="1454" t="str">
        <f>IF(SUM(C295)=0,"",C295*C296)</f>
        <v/>
      </c>
      <c r="D297" s="1454" t="str">
        <f>IF(SUM(D295)=0,"",D295*D296)</f>
        <v/>
      </c>
      <c r="E297" s="1454" t="str">
        <f>IF(SUM(E295)=0,"",E295*E296)</f>
        <v/>
      </c>
      <c r="F297" s="1454" t="str">
        <f>IF(SUM(F295)=0,"",F295*F296)</f>
        <v/>
      </c>
      <c r="G297" s="1433"/>
      <c r="H297" s="1463" t="str">
        <f>IF(H295="","",H295*C296)</f>
        <v/>
      </c>
      <c r="I297" s="1463" t="str">
        <f>IF(I295="","",I295*D296)</f>
        <v/>
      </c>
      <c r="J297" s="1463" t="str">
        <f>IF(J295="","",J295*E296)</f>
        <v/>
      </c>
      <c r="K297" s="1463" t="str">
        <f>IF(K295="","",K295*F296)</f>
        <v/>
      </c>
      <c r="L297" s="1433"/>
      <c r="M297" s="1454" t="str">
        <f>IF(H297="","",SUM(H297)-SUM(C297))</f>
        <v/>
      </c>
      <c r="N297" s="1454" t="str">
        <f>IF(I297="","",SUM(I297)-SUM(D297))</f>
        <v/>
      </c>
      <c r="O297" s="1454" t="str">
        <f>IF(J297="","",SUM(J297)-SUM(E297))</f>
        <v/>
      </c>
      <c r="P297" s="1454" t="str">
        <f>IF(K297="","",SUM(K297)-SUM(F297))</f>
        <v/>
      </c>
      <c r="Q297" s="1464"/>
      <c r="R297" s="1402"/>
      <c r="S297" s="1403"/>
      <c r="T297" s="1403"/>
      <c r="U297" s="1394">
        <v>297</v>
      </c>
      <c r="V297" s="1421"/>
    </row>
    <row r="298" spans="1:22" ht="15.75" customHeight="1">
      <c r="A298" s="1428" t="s">
        <v>258</v>
      </c>
      <c r="B298" s="1507"/>
      <c r="C298" s="1444" t="str">
        <f>IF(Data!BV298="","",Data!BV298)</f>
        <v/>
      </c>
      <c r="D298" s="1444" t="str">
        <f>IF(Data!BW298="","",Data!BW298)</f>
        <v/>
      </c>
      <c r="E298" s="1444" t="str">
        <f>IF(Data!BX298="","",Data!BX298)</f>
        <v/>
      </c>
      <c r="F298" s="1444" t="str">
        <f>IF(Data!BY298="","",Data!BY298)</f>
        <v/>
      </c>
      <c r="G298" s="1433"/>
      <c r="H298" s="1492"/>
      <c r="I298" s="1492"/>
      <c r="J298" s="1492"/>
      <c r="K298" s="1492"/>
      <c r="L298" s="1433"/>
      <c r="M298" s="1427"/>
      <c r="N298" s="1427"/>
      <c r="O298" s="1427"/>
      <c r="P298" s="1427"/>
      <c r="Q298" s="1464"/>
      <c r="R298" s="1402"/>
      <c r="S298" s="1403"/>
      <c r="T298" s="1403"/>
      <c r="U298" s="1394">
        <v>298</v>
      </c>
      <c r="V298" s="1421"/>
    </row>
    <row r="299" spans="1:22" s="1510" customFormat="1" ht="15.75" customHeight="1">
      <c r="A299" s="1429" t="s">
        <v>252</v>
      </c>
      <c r="B299" s="1455"/>
      <c r="C299" s="1483" t="str">
        <f>IF(C293="","",(C293-SUM(C295)-SUM(C298))*C294/C$46/365/$P$1)</f>
        <v/>
      </c>
      <c r="D299" s="1483" t="str">
        <f>IF(D293="","",(D293-SUM(D295)-SUM(D298))*D294/D$46/365/$P$1)</f>
        <v/>
      </c>
      <c r="E299" s="1483" t="str">
        <f>IF(E293="","",(E293-SUM(E295)-SUM(E298))*E294/E$46/365/$P$1)</f>
        <v/>
      </c>
      <c r="F299" s="1483" t="str">
        <f>IF(F293="","",(F293-SUM(F295)-SUM(F298))*F294/F$46/365/$P$1)</f>
        <v/>
      </c>
      <c r="G299" s="1443"/>
      <c r="H299" s="1354" t="str">
        <f>IF(H295="","",(C293-H295-H298-SUM(C298)*(H298=""))*C294/H$46/365/$P$1)</f>
        <v/>
      </c>
      <c r="I299" s="1354" t="str">
        <f>IF(I295="","",(D293-I295-I298-SUM(D298)*(I298=""))*D294/I$46/365/$P$1)</f>
        <v/>
      </c>
      <c r="J299" s="1354" t="str">
        <f>IF(J295="","",(E293-J295-J298-SUM(E298)*(J298=""))*E294/J$46/365/$P$1)</f>
        <v/>
      </c>
      <c r="K299" s="1354" t="str">
        <f>IF(K295="","",(F293-K295-K298-SUM(F298)*(K298=""))*F294/K$46/365/$P$1)</f>
        <v/>
      </c>
      <c r="L299" s="1443"/>
      <c r="M299" s="1484" t="str">
        <f>IF(H299="","",SUM(H299)-SUM(C299))</f>
        <v/>
      </c>
      <c r="N299" s="1484" t="str">
        <f>IF(I299="","",SUM(I299)-SUM(D299))</f>
        <v/>
      </c>
      <c r="O299" s="1484" t="str">
        <f>IF(J299="","",SUM(J299)-SUM(E299))</f>
        <v/>
      </c>
      <c r="P299" s="1484" t="str">
        <f>IF(K299="","",SUM(K299)-SUM(F299))</f>
        <v/>
      </c>
      <c r="Q299" s="1464"/>
      <c r="R299" s="1392"/>
      <c r="S299" s="1393"/>
      <c r="T299" s="1393"/>
      <c r="U299" s="1394">
        <v>299</v>
      </c>
      <c r="V299" s="1509"/>
    </row>
    <row r="300" spans="1:22" ht="15.75" customHeight="1">
      <c r="A300" s="1500" t="str">
        <f>IF(Data!A300="","",Data!A300)</f>
        <v>Cassava: no. local meas.</v>
      </c>
      <c r="B300" s="1493"/>
      <c r="C300" s="1444">
        <f>IF(Data!BV300="","",Data!BV300)</f>
        <v>5</v>
      </c>
      <c r="D300" s="1444" t="str">
        <f>IF(Data!BW300="","",Data!BW300)</f>
        <v/>
      </c>
      <c r="E300" s="1444" t="str">
        <f>IF(Data!BX300="","",Data!BX300)</f>
        <v/>
      </c>
      <c r="F300" s="1444" t="str">
        <f>IF(Data!BY300="","",Data!BY300)</f>
        <v/>
      </c>
      <c r="G300" s="1465"/>
      <c r="H300" s="1452">
        <f>IF(SUM(C300)&gt;0,C300*'Exp factors'!C$21,"")</f>
        <v>6.25</v>
      </c>
      <c r="I300" s="1452" t="str">
        <f>IF(SUM(D300)&gt;0,D300*'Exp factors'!D$21,"")</f>
        <v/>
      </c>
      <c r="J300" s="1452" t="str">
        <f>IF(SUM(E300)&gt;0,E300*'Exp factors'!E$21,"")</f>
        <v/>
      </c>
      <c r="K300" s="1452" t="str">
        <f>IF(SUM(F300)&gt;0,F300*'Exp factors'!F$21,"")</f>
        <v/>
      </c>
      <c r="L300" s="1465"/>
      <c r="M300" s="1427"/>
      <c r="N300" s="1427"/>
      <c r="O300" s="1427"/>
      <c r="P300" s="1427"/>
      <c r="Q300" s="1464"/>
      <c r="R300" s="1402"/>
      <c r="S300" s="1403"/>
      <c r="T300" s="1403"/>
      <c r="U300" s="1394">
        <v>300</v>
      </c>
      <c r="V300" s="1421"/>
    </row>
    <row r="301" spans="1:22" ht="15.75" customHeight="1">
      <c r="A301" s="1380" t="s">
        <v>265</v>
      </c>
      <c r="B301" s="1493"/>
      <c r="C301" s="1444" t="str">
        <f>IF(Data!BV301="","",Data!BV301)</f>
        <v>kg</v>
      </c>
      <c r="D301" s="1444" t="str">
        <f>IF(Data!BW301="","",Data!BW301)</f>
        <v>kg</v>
      </c>
      <c r="E301" s="1444" t="str">
        <f>IF(Data!BX301="","",Data!BX301)</f>
        <v>kg</v>
      </c>
      <c r="F301" s="1444" t="str">
        <f>IF(Data!BY301="","",Data!BY301)</f>
        <v>kg</v>
      </c>
      <c r="G301" s="1465"/>
      <c r="H301" s="1427"/>
      <c r="I301" s="1427"/>
      <c r="J301" s="1427"/>
      <c r="K301" s="1427"/>
      <c r="L301" s="1465"/>
      <c r="M301" s="1427"/>
      <c r="N301" s="1427"/>
      <c r="O301" s="1427"/>
      <c r="P301" s="1427"/>
      <c r="Q301" s="1464"/>
      <c r="R301" s="1402"/>
      <c r="S301" s="1403"/>
      <c r="T301" s="1403"/>
      <c r="U301" s="1394">
        <v>301</v>
      </c>
      <c r="V301" s="1421"/>
    </row>
    <row r="302" spans="1:22" ht="15.75" customHeight="1">
      <c r="A302" s="1380" t="s">
        <v>266</v>
      </c>
      <c r="B302" s="1493"/>
      <c r="C302" s="1444">
        <f>IF(Data!BV302="","",Data!BV302)</f>
        <v>40</v>
      </c>
      <c r="D302" s="1444">
        <f>IF(Data!BW302="","",Data!BW302)</f>
        <v>40</v>
      </c>
      <c r="E302" s="1444">
        <f>IF(Data!BX302="","",Data!BX302)</f>
        <v>40</v>
      </c>
      <c r="F302" s="1444">
        <f>IF(Data!BY302="","",Data!BY302)</f>
        <v>40</v>
      </c>
      <c r="G302" s="1465"/>
      <c r="H302" s="1427"/>
      <c r="I302" s="1427"/>
      <c r="J302" s="1427"/>
      <c r="K302" s="1427"/>
      <c r="L302" s="1465"/>
      <c r="M302" s="1427"/>
      <c r="N302" s="1427"/>
      <c r="O302" s="1427"/>
      <c r="P302" s="1427"/>
      <c r="Q302" s="1464"/>
      <c r="R302" s="1402"/>
      <c r="S302" s="1403"/>
      <c r="T302" s="1403"/>
      <c r="U302" s="1394">
        <v>302</v>
      </c>
      <c r="V302" s="1421"/>
    </row>
    <row r="303" spans="1:22" ht="15.75" customHeight="1">
      <c r="A303" s="1511" t="s">
        <v>267</v>
      </c>
      <c r="B303" s="1443"/>
      <c r="C303" s="1479">
        <f>IF(C300="","",C300*C302)</f>
        <v>200</v>
      </c>
      <c r="D303" s="1479" t="str">
        <f>IF(D300="","",D300*D302)</f>
        <v/>
      </c>
      <c r="E303" s="1479" t="str">
        <f>IF(E300="","",E300*E302)</f>
        <v/>
      </c>
      <c r="F303" s="1479" t="str">
        <f>IF(F300="","",F300*F302)</f>
        <v/>
      </c>
      <c r="G303" s="1512"/>
      <c r="H303" s="1463">
        <f>IF(H300="","",H300*C302)</f>
        <v>250</v>
      </c>
      <c r="I303" s="1463" t="str">
        <f>IF(I300="","",I300*D302)</f>
        <v/>
      </c>
      <c r="J303" s="1463" t="str">
        <f>IF(J300="","",J300*E302)</f>
        <v/>
      </c>
      <c r="K303" s="1463" t="str">
        <f>IF(K300="","",K300*F302)</f>
        <v/>
      </c>
      <c r="L303" s="1512"/>
      <c r="M303" s="1427"/>
      <c r="N303" s="1427"/>
      <c r="O303" s="1427"/>
      <c r="P303" s="1427"/>
      <c r="Q303" s="1464"/>
      <c r="R303" s="1402"/>
      <c r="S303" s="1403"/>
      <c r="T303" s="1403"/>
      <c r="U303" s="1394">
        <v>303</v>
      </c>
      <c r="V303" s="1421"/>
    </row>
    <row r="304" spans="1:22" ht="15.75" customHeight="1">
      <c r="A304" s="1380" t="s">
        <v>256</v>
      </c>
      <c r="B304" s="1443"/>
      <c r="C304" s="1444">
        <f>IF(Data!BV304="","",Data!BV304)</f>
        <v>6405.8040000000001</v>
      </c>
      <c r="D304" s="1444">
        <f>IF(Data!BW304="","",Data!BW304)</f>
        <v>6405.8040000000001</v>
      </c>
      <c r="E304" s="1444">
        <f>IF(Data!BX304="","",Data!BX304)</f>
        <v>6405.8040000000001</v>
      </c>
      <c r="F304" s="1444">
        <f>IF(Data!BY304="","",Data!BY304)</f>
        <v>6405.8040000000001</v>
      </c>
      <c r="G304" s="1412"/>
      <c r="H304" s="1427"/>
      <c r="I304" s="1427"/>
      <c r="J304" s="1427"/>
      <c r="K304" s="1427"/>
      <c r="L304" s="1412"/>
      <c r="M304" s="1427"/>
      <c r="N304" s="1427"/>
      <c r="O304" s="1427"/>
      <c r="P304" s="1427"/>
      <c r="Q304" s="1464"/>
      <c r="R304" s="1402"/>
      <c r="S304" s="1403"/>
      <c r="T304" s="1403"/>
      <c r="U304" s="1394">
        <v>304</v>
      </c>
      <c r="V304" s="1421"/>
    </row>
    <row r="305" spans="1:22" ht="15.75" customHeight="1">
      <c r="A305" s="1382" t="s">
        <v>257</v>
      </c>
      <c r="B305" s="1443"/>
      <c r="C305" s="1444" t="str">
        <f>IF(Data!BV305="","",Data!BV305)</f>
        <v/>
      </c>
      <c r="D305" s="1444" t="str">
        <f>IF(Data!BW305="","",Data!BW305)</f>
        <v/>
      </c>
      <c r="E305" s="1444" t="str">
        <f>IF(Data!BX305="","",Data!BX305)</f>
        <v/>
      </c>
      <c r="F305" s="1444" t="str">
        <f>IF(Data!BY305="","",Data!BY305)</f>
        <v/>
      </c>
      <c r="G305" s="1431"/>
      <c r="H305" s="1497" t="str">
        <f>IF(SUM(C305)&gt;0,(C303-H308-SUM(C308)*(H308=""))*'Exp factors'!C$23,"")</f>
        <v/>
      </c>
      <c r="I305" s="1497" t="str">
        <f>IF(SUM(D305)&gt;0,(D303-I308-SUM(D308)*(I308=""))*'Exp factors'!D$23,"")</f>
        <v/>
      </c>
      <c r="J305" s="1497" t="str">
        <f>IF(SUM(E305)&gt;0,(E303-J308-SUM(E308)*(J308=""))*'Exp factors'!E$23,"")</f>
        <v/>
      </c>
      <c r="K305" s="1497" t="str">
        <f>IF(SUM(F305)&gt;0,(F303-K308-SUM(F308)*(K308=""))*'Exp factors'!F$23,"")</f>
        <v/>
      </c>
      <c r="L305" s="1431"/>
      <c r="M305" s="1427"/>
      <c r="N305" s="1427"/>
      <c r="O305" s="1427"/>
      <c r="P305" s="1427"/>
      <c r="Q305" s="1464"/>
      <c r="R305" s="1402"/>
      <c r="S305" s="1403"/>
      <c r="T305" s="1403"/>
      <c r="U305" s="1394">
        <v>305</v>
      </c>
      <c r="V305" s="1421"/>
    </row>
    <row r="306" spans="1:22" ht="15.75" customHeight="1">
      <c r="A306" s="1428" t="s">
        <v>181</v>
      </c>
      <c r="B306" s="1443"/>
      <c r="C306" s="1444" t="str">
        <f>IF(Data!BV306="","",Data!BV306)</f>
        <v/>
      </c>
      <c r="D306" s="1444" t="str">
        <f>IF(Data!BW306="","",Data!BW306)</f>
        <v/>
      </c>
      <c r="E306" s="1444" t="str">
        <f>IF(Data!BX306="","",Data!BX306)</f>
        <v/>
      </c>
      <c r="F306" s="1444" t="str">
        <f>IF(Data!BY306="","",Data!BY306)</f>
        <v/>
      </c>
      <c r="G306" s="1433"/>
      <c r="H306" s="1427"/>
      <c r="I306" s="1427"/>
      <c r="J306" s="1427"/>
      <c r="K306" s="1427"/>
      <c r="L306" s="1433"/>
      <c r="M306" s="1427"/>
      <c r="N306" s="1427"/>
      <c r="O306" s="1427"/>
      <c r="P306" s="1427"/>
      <c r="Q306" s="1464"/>
      <c r="R306" s="1445"/>
      <c r="S306" s="1446"/>
      <c r="T306" s="1446"/>
      <c r="U306" s="1394">
        <v>306</v>
      </c>
      <c r="V306" s="1421"/>
    </row>
    <row r="307" spans="1:22" ht="15.75" customHeight="1">
      <c r="A307" s="1428" t="s">
        <v>183</v>
      </c>
      <c r="B307" s="1507"/>
      <c r="C307" s="1454" t="str">
        <f>IF(SUM(C305)=0,"",C305*C306)</f>
        <v/>
      </c>
      <c r="D307" s="1454" t="str">
        <f>IF(SUM(D305)=0,"",D305*D306)</f>
        <v/>
      </c>
      <c r="E307" s="1454" t="str">
        <f>IF(SUM(E305)=0,"",E305*E306)</f>
        <v/>
      </c>
      <c r="F307" s="1454" t="str">
        <f>IF(SUM(F305)=0,"",F305*F306)</f>
        <v/>
      </c>
      <c r="G307" s="1433"/>
      <c r="H307" s="1463" t="str">
        <f>IF(H305="","",H305*C306)</f>
        <v/>
      </c>
      <c r="I307" s="1463" t="str">
        <f>IF(I305="","",I305*D306)</f>
        <v/>
      </c>
      <c r="J307" s="1463" t="str">
        <f>IF(J305="","",J305*E306)</f>
        <v/>
      </c>
      <c r="K307" s="1463" t="str">
        <f>IF(K305="","",K305*F306)</f>
        <v/>
      </c>
      <c r="L307" s="1433"/>
      <c r="M307" s="1463" t="str">
        <f>IF(H307="","",SUM(H307)-SUM(C307))</f>
        <v/>
      </c>
      <c r="N307" s="1463" t="str">
        <f>IF(I307="","",SUM(I307)-SUM(D307))</f>
        <v/>
      </c>
      <c r="O307" s="1463" t="str">
        <f>IF(J307="","",SUM(J307)-SUM(E307))</f>
        <v/>
      </c>
      <c r="P307" s="1463" t="str">
        <f>IF(K307="","",SUM(K307)-SUM(F307))</f>
        <v/>
      </c>
      <c r="Q307" s="1464"/>
      <c r="R307" s="1402"/>
      <c r="S307" s="1403"/>
      <c r="T307" s="1403"/>
      <c r="U307" s="1394">
        <v>307</v>
      </c>
      <c r="V307" s="1421"/>
    </row>
    <row r="308" spans="1:22" s="1506" customFormat="1" ht="15.75" customHeight="1">
      <c r="A308" s="1428" t="s">
        <v>258</v>
      </c>
      <c r="B308" s="1507"/>
      <c r="C308" s="1444" t="str">
        <f>IF(Data!BV308="","",Data!BV308)</f>
        <v/>
      </c>
      <c r="D308" s="1444" t="str">
        <f>IF(Data!BW308="","",Data!BW308)</f>
        <v/>
      </c>
      <c r="E308" s="1444" t="str">
        <f>IF(Data!BX308="","",Data!BX308)</f>
        <v/>
      </c>
      <c r="F308" s="1444" t="str">
        <f>IF(Data!BY308="","",Data!BY308)</f>
        <v/>
      </c>
      <c r="G308" s="1433"/>
      <c r="H308" s="1492"/>
      <c r="I308" s="1492"/>
      <c r="J308" s="1492"/>
      <c r="K308" s="1492"/>
      <c r="L308" s="1433"/>
      <c r="M308" s="1427"/>
      <c r="N308" s="1427"/>
      <c r="O308" s="1427"/>
      <c r="P308" s="1427"/>
      <c r="Q308" s="1464"/>
      <c r="R308" s="1402"/>
      <c r="S308" s="1403"/>
      <c r="T308" s="1403"/>
      <c r="U308" s="1394">
        <v>308</v>
      </c>
      <c r="V308" s="1505"/>
    </row>
    <row r="309" spans="1:22" s="1506" customFormat="1" ht="15.75" customHeight="1">
      <c r="A309" s="1429" t="s">
        <v>252</v>
      </c>
      <c r="B309" s="1455"/>
      <c r="C309" s="1483">
        <f>IF(C303="","",(C303-SUM(C305)-SUM(C308))*C304/C$46/365/$P$1)</f>
        <v>4.9858374844333753E-2</v>
      </c>
      <c r="D309" s="1483" t="str">
        <f>IF(D303="","",(D303-SUM(D305)-SUM(D308))*D304/D$46/365/$P$1)</f>
        <v/>
      </c>
      <c r="E309" s="1483" t="str">
        <f>IF(E303="","",(E303-SUM(E305)-SUM(E308))*E304/E$46/365/$P$1)</f>
        <v/>
      </c>
      <c r="F309" s="1483" t="str">
        <f>IF(F303="","",(F303-SUM(F305)-SUM(F308))*F304/F$46/365/$P$1)</f>
        <v/>
      </c>
      <c r="G309" s="1443"/>
      <c r="H309" s="1354">
        <f>IF(H303="","",(H303+SUM(C303)*(H303="")-SUM(H305)-H308-SUM(C308)*(H308=""))*C304/H$46/365/$P$1)</f>
        <v>6.2322968555417191E-2</v>
      </c>
      <c r="I309" s="1354" t="str">
        <f>IF(I303="","",(I303+SUM(D303)*(I303="")-SUM(I305)-I308-SUM(D308)*(I308=""))*D304/I$46/365/$P$1)</f>
        <v/>
      </c>
      <c r="J309" s="1354" t="str">
        <f>IF(J303="","",(J303+SUM(E303)*(J303="")-SUM(J305)-J308-SUM(E308)*(J308=""))*E304/J$46/365/$P$1)</f>
        <v/>
      </c>
      <c r="K309" s="1354" t="str">
        <f>IF(K303="","",(K303+SUM(F303)*(K303="")-SUM(K305)-K308-SUM(F308)*(K308=""))*F304/K$46/365/$P$1)</f>
        <v/>
      </c>
      <c r="L309" s="1443"/>
      <c r="M309" s="1484">
        <f>IF(H309="","",SUM(H309)-SUM(C309))</f>
        <v>1.2464593711083438E-2</v>
      </c>
      <c r="N309" s="1484" t="str">
        <f>IF(I309="","",SUM(I309)-SUM(D309))</f>
        <v/>
      </c>
      <c r="O309" s="1484" t="str">
        <f>IF(J309="","",SUM(J309)-SUM(E309))</f>
        <v/>
      </c>
      <c r="P309" s="1484" t="str">
        <f>IF(K309="","",SUM(K309)-SUM(F309))</f>
        <v/>
      </c>
      <c r="Q309" s="1504"/>
      <c r="R309" s="1392"/>
      <c r="S309" s="1393"/>
      <c r="T309" s="1393"/>
      <c r="U309" s="1394">
        <v>309</v>
      </c>
      <c r="V309" s="1505"/>
    </row>
    <row r="310" spans="1:22" s="1506" customFormat="1" ht="15.75" customHeight="1">
      <c r="A310" s="1500" t="str">
        <f>IF(Data!A310="","",Data!A310)</f>
        <v>Water melon: no. local meas (Bhece)</v>
      </c>
      <c r="B310" s="1460"/>
      <c r="C310" s="1444" t="str">
        <f>IF(Data!BV310="","",Data!BV310)</f>
        <v/>
      </c>
      <c r="D310" s="1444" t="str">
        <f>IF(Data!BW310="","",Data!BW310)</f>
        <v/>
      </c>
      <c r="E310" s="1444">
        <f>IF(Data!BX310="","",Data!BX310)</f>
        <v>30</v>
      </c>
      <c r="F310" s="1444">
        <f>IF(Data!BY310="","",Data!BY310)</f>
        <v>30</v>
      </c>
      <c r="G310" s="1412"/>
      <c r="H310" s="1427"/>
      <c r="I310" s="1427"/>
      <c r="J310" s="1427"/>
      <c r="K310" s="1427"/>
      <c r="L310" s="1412"/>
      <c r="M310" s="1427"/>
      <c r="N310" s="1427"/>
      <c r="O310" s="1427"/>
      <c r="P310" s="1427"/>
      <c r="Q310" s="1504"/>
      <c r="R310" s="1402"/>
      <c r="S310" s="1403"/>
      <c r="T310" s="1403"/>
      <c r="U310" s="1394">
        <v>310</v>
      </c>
      <c r="V310" s="1505"/>
    </row>
    <row r="311" spans="1:22" s="1506" customFormat="1" ht="15.75" customHeight="1">
      <c r="A311" s="1380" t="s">
        <v>265</v>
      </c>
      <c r="B311" s="1460"/>
      <c r="C311" s="1444" t="str">
        <f>IF(Data!BV311="","",Data!BV311)</f>
        <v/>
      </c>
      <c r="D311" s="1444" t="str">
        <f>IF(Data!BW311="","",Data!BW311)</f>
        <v/>
      </c>
      <c r="E311" s="1444" t="str">
        <f>IF(Data!BX311="","",Data!BX311)</f>
        <v/>
      </c>
      <c r="F311" s="1444" t="str">
        <f>IF(Data!BY311="","",Data!BY311)</f>
        <v/>
      </c>
      <c r="G311" s="1412"/>
      <c r="H311" s="1427"/>
      <c r="I311" s="1427"/>
      <c r="J311" s="1427"/>
      <c r="K311" s="1427"/>
      <c r="L311" s="1412"/>
      <c r="M311" s="1427"/>
      <c r="N311" s="1427"/>
      <c r="O311" s="1427"/>
      <c r="P311" s="1427"/>
      <c r="Q311" s="1504"/>
      <c r="R311" s="1402"/>
      <c r="S311" s="1403"/>
      <c r="T311" s="1403"/>
      <c r="U311" s="1394">
        <v>311</v>
      </c>
      <c r="V311" s="1505"/>
    </row>
    <row r="312" spans="1:22" ht="15.75" customHeight="1">
      <c r="A312" s="1380" t="s">
        <v>266</v>
      </c>
      <c r="B312" s="1513"/>
      <c r="C312" s="1444" t="str">
        <f>IF(Data!BV312="","",Data!BV312)</f>
        <v/>
      </c>
      <c r="D312" s="1444" t="str">
        <f>IF(Data!BW312="","",Data!BW312)</f>
        <v/>
      </c>
      <c r="E312" s="1444">
        <f>IF(Data!BX312="","",Data!BX312)</f>
        <v>3</v>
      </c>
      <c r="F312" s="1444">
        <f>IF(Data!BY312="","",Data!BY312)</f>
        <v>3</v>
      </c>
      <c r="G312" s="1412"/>
      <c r="H312" s="1427"/>
      <c r="I312" s="1427"/>
      <c r="J312" s="1427"/>
      <c r="K312" s="1427"/>
      <c r="L312" s="1412"/>
      <c r="M312" s="1427"/>
      <c r="N312" s="1427"/>
      <c r="O312" s="1427"/>
      <c r="P312" s="1427"/>
      <c r="Q312" s="1464"/>
      <c r="R312" s="1402"/>
      <c r="S312" s="1403"/>
      <c r="T312" s="1403"/>
      <c r="U312" s="1394">
        <v>312</v>
      </c>
      <c r="V312" s="1421"/>
    </row>
    <row r="313" spans="1:22" ht="15.75" customHeight="1">
      <c r="A313" s="1380" t="s">
        <v>267</v>
      </c>
      <c r="B313" s="1431"/>
      <c r="C313" s="1479" t="str">
        <f>IF(C310="","",C310*C312)</f>
        <v/>
      </c>
      <c r="D313" s="1479" t="str">
        <f>IF(D310="","",D310*D312)</f>
        <v/>
      </c>
      <c r="E313" s="1479">
        <f>IF(E310="","",E310*E312)</f>
        <v>90</v>
      </c>
      <c r="F313" s="1479">
        <f>IF(F310="","",F310*F312)</f>
        <v>90</v>
      </c>
      <c r="G313" s="1412"/>
      <c r="H313" s="1427"/>
      <c r="I313" s="1427"/>
      <c r="J313" s="1427"/>
      <c r="K313" s="1427"/>
      <c r="L313" s="1412"/>
      <c r="M313" s="1427"/>
      <c r="N313" s="1427"/>
      <c r="O313" s="1427"/>
      <c r="P313" s="1427"/>
      <c r="Q313" s="1464"/>
      <c r="R313" s="1402"/>
      <c r="S313" s="1403"/>
      <c r="T313" s="1403"/>
      <c r="U313" s="1394">
        <v>313</v>
      </c>
      <c r="V313" s="1421"/>
    </row>
    <row r="314" spans="1:22" ht="15.75" customHeight="1">
      <c r="A314" s="1380" t="s">
        <v>256</v>
      </c>
      <c r="B314" s="1433"/>
      <c r="C314" s="1444">
        <f>IF(Data!BV314="","",Data!BV314)</f>
        <v>962.96399999999994</v>
      </c>
      <c r="D314" s="1444">
        <f>IF(Data!BW314="","",Data!BW314)</f>
        <v>962.96399999999994</v>
      </c>
      <c r="E314" s="1444">
        <f>IF(Data!BX314="","",Data!BX314)</f>
        <v>962.96399999999994</v>
      </c>
      <c r="F314" s="1444">
        <f>IF(Data!BY314="","",Data!BY314)</f>
        <v>962.96399999999994</v>
      </c>
      <c r="G314" s="1412"/>
      <c r="H314" s="1427"/>
      <c r="I314" s="1427"/>
      <c r="J314" s="1427"/>
      <c r="K314" s="1427"/>
      <c r="L314" s="1412"/>
      <c r="M314" s="1427"/>
      <c r="N314" s="1427"/>
      <c r="O314" s="1427"/>
      <c r="P314" s="1427"/>
      <c r="Q314" s="1464"/>
      <c r="R314" s="1402"/>
      <c r="S314" s="1403"/>
      <c r="T314" s="1403"/>
      <c r="U314" s="1394">
        <v>314</v>
      </c>
      <c r="V314" s="1421"/>
    </row>
    <row r="315" spans="1:22" ht="15.75" customHeight="1">
      <c r="A315" s="1382" t="s">
        <v>257</v>
      </c>
      <c r="B315" s="1461"/>
      <c r="C315" s="1444" t="str">
        <f>IF(Data!BV315="","",Data!BV315)</f>
        <v/>
      </c>
      <c r="D315" s="1444" t="str">
        <f>IF(Data!BW315="","",Data!BW315)</f>
        <v/>
      </c>
      <c r="E315" s="1444">
        <f>IF(Data!BX315="","",Data!BX315)</f>
        <v>30</v>
      </c>
      <c r="F315" s="1444">
        <f>IF(Data!BY315="","",Data!BY315)</f>
        <v>30</v>
      </c>
      <c r="G315" s="1431"/>
      <c r="H315" s="1497" t="str">
        <f>IF(SUM(C315)&gt;0,(C313-H318-SUM(C318)*(H318=""))*'Exp factors'!C$23,"")</f>
        <v/>
      </c>
      <c r="I315" s="1497" t="str">
        <f>IF(SUM(D315)&gt;0,(D313-I318-SUM(D318)*(I318=""))*'Exp factors'!D$23,"")</f>
        <v/>
      </c>
      <c r="J315" s="1497">
        <f>IF(SUM(E315)&gt;0,(E313-J318-SUM(E318)*(J318=""))*'Exp factors'!E$23,"")</f>
        <v>0</v>
      </c>
      <c r="K315" s="1497">
        <f>IF(SUM(F315)&gt;0,(F313-K318-SUM(F318)*(K318=""))*'Exp factors'!F$23,"")</f>
        <v>0</v>
      </c>
      <c r="L315" s="1431"/>
      <c r="M315" s="1427"/>
      <c r="N315" s="1427"/>
      <c r="O315" s="1427"/>
      <c r="P315" s="1427"/>
      <c r="Q315" s="1464"/>
      <c r="R315" s="1402"/>
      <c r="S315" s="1403"/>
      <c r="T315" s="1403"/>
      <c r="U315" s="1394">
        <v>315</v>
      </c>
      <c r="V315" s="1421"/>
    </row>
    <row r="316" spans="1:22" ht="15.75" customHeight="1">
      <c r="A316" s="1428" t="s">
        <v>181</v>
      </c>
      <c r="B316" s="1460"/>
      <c r="C316" s="1444" t="str">
        <f>IF(Data!BV316="","",Data!BV316)</f>
        <v/>
      </c>
      <c r="D316" s="1444" t="str">
        <f>IF(Data!BW316="","",Data!BW316)</f>
        <v/>
      </c>
      <c r="E316" s="1444">
        <f>IF(Data!BX316="","",Data!BX316)</f>
        <v>3.3</v>
      </c>
      <c r="F316" s="1444">
        <f>IF(Data!BY316="","",Data!BY316)</f>
        <v>3.3</v>
      </c>
      <c r="G316" s="1433"/>
      <c r="H316" s="1427"/>
      <c r="I316" s="1427"/>
      <c r="J316" s="1427"/>
      <c r="K316" s="1427"/>
      <c r="L316" s="1433"/>
      <c r="M316" s="1427"/>
      <c r="N316" s="1427"/>
      <c r="O316" s="1427"/>
      <c r="P316" s="1427"/>
      <c r="Q316" s="1464"/>
      <c r="R316" s="1445"/>
      <c r="S316" s="1446"/>
      <c r="T316" s="1446"/>
      <c r="U316" s="1394">
        <v>316</v>
      </c>
      <c r="V316" s="1421"/>
    </row>
    <row r="317" spans="1:22" ht="15.75" customHeight="1">
      <c r="A317" s="1428" t="s">
        <v>183</v>
      </c>
      <c r="B317" s="1460"/>
      <c r="C317" s="1454" t="str">
        <f>IF(SUM(C315)=0,"",C315*C316)</f>
        <v/>
      </c>
      <c r="D317" s="1454" t="str">
        <f>IF(SUM(D315)=0,"",D315*D316)</f>
        <v/>
      </c>
      <c r="E317" s="1454">
        <f>IF(SUM(E315)=0,"",E315*E316)</f>
        <v>99</v>
      </c>
      <c r="F317" s="1454">
        <f>IF(SUM(F315)=0,"",F315*F316)</f>
        <v>99</v>
      </c>
      <c r="G317" s="1433"/>
      <c r="H317" s="1463" t="str">
        <f>IF(H315="","",H315*C316)</f>
        <v/>
      </c>
      <c r="I317" s="1463" t="str">
        <f>IF(I315="","",I315*D316)</f>
        <v/>
      </c>
      <c r="J317" s="1463">
        <f>IF(J315="","",J315*E316)</f>
        <v>0</v>
      </c>
      <c r="K317" s="1463">
        <f>IF(K315="","",K315*F316)</f>
        <v>0</v>
      </c>
      <c r="L317" s="1433"/>
      <c r="M317" s="1454" t="str">
        <f>IF(H317="","",SUM(H317)-SUM(C317))</f>
        <v/>
      </c>
      <c r="N317" s="1454" t="str">
        <f>IF(I317="","",SUM(I317)-SUM(D317))</f>
        <v/>
      </c>
      <c r="O317" s="1454">
        <f>IF(J317="","",SUM(J317)-SUM(E317))</f>
        <v>-99</v>
      </c>
      <c r="P317" s="1454">
        <f>IF(K317="","",SUM(K317)-SUM(F317))</f>
        <v>-99</v>
      </c>
      <c r="Q317" s="1464"/>
      <c r="R317" s="1402"/>
      <c r="S317" s="1403"/>
      <c r="T317" s="1403"/>
      <c r="U317" s="1394">
        <v>317</v>
      </c>
      <c r="V317" s="1421"/>
    </row>
    <row r="318" spans="1:22" ht="15.75" customHeight="1">
      <c r="A318" s="1428" t="s">
        <v>258</v>
      </c>
      <c r="B318" s="1461"/>
      <c r="C318" s="1444" t="str">
        <f>IF(Data!BV318="","",Data!BV318)</f>
        <v/>
      </c>
      <c r="D318" s="1444" t="str">
        <f>IF(Data!BW318="","",Data!BW318)</f>
        <v/>
      </c>
      <c r="E318" s="1444" t="str">
        <f>IF(Data!BX318="","",Data!BX318)</f>
        <v/>
      </c>
      <c r="F318" s="1444" t="str">
        <f>IF(Data!BY318="","",Data!BY318)</f>
        <v/>
      </c>
      <c r="G318" s="1433"/>
      <c r="H318" s="1492"/>
      <c r="I318" s="1492"/>
      <c r="J318" s="1492"/>
      <c r="K318" s="1492"/>
      <c r="L318" s="1433"/>
      <c r="M318" s="1427"/>
      <c r="N318" s="1427"/>
      <c r="O318" s="1427"/>
      <c r="P318" s="1427"/>
      <c r="Q318" s="1464"/>
      <c r="R318" s="1402"/>
      <c r="S318" s="1403"/>
      <c r="T318" s="1403"/>
      <c r="U318" s="1394">
        <v>318</v>
      </c>
      <c r="V318" s="1421"/>
    </row>
    <row r="319" spans="1:22" ht="15.75" customHeight="1">
      <c r="A319" s="1429" t="s">
        <v>252</v>
      </c>
      <c r="B319" s="1433"/>
      <c r="C319" s="1483" t="str">
        <f>IF(C313="","",(C313-SUM(C315)-SUM(C318))*C314/C$46/365/$P$1)</f>
        <v/>
      </c>
      <c r="D319" s="1483" t="str">
        <f>IF(D313="","",(D313-SUM(D315)-SUM(D318))*D314/D$46/365/$P$1)</f>
        <v/>
      </c>
      <c r="E319" s="1483">
        <f>IF(E313="","",(E313-SUM(E315)-SUM(E318))*E314/E$46/365/$P$1)</f>
        <v>2.2485149439601493E-3</v>
      </c>
      <c r="F319" s="1483">
        <f>IF(F313="","",(F313-SUM(F315)-SUM(F318))*F314/F$46/365/$P$1)</f>
        <v>1.9986799501867992E-3</v>
      </c>
      <c r="G319" s="1443"/>
      <c r="H319" s="1354" t="str">
        <f>IF(H315="","",(C313-H315-H318-SUM(C318)*(H318=""))*C314/H$46/365/$P$1)</f>
        <v/>
      </c>
      <c r="I319" s="1354" t="str">
        <f>IF(I315="","",(D313-I315-I318-SUM(D318)*(I318=""))*D314/I$46/365/$P$1)</f>
        <v/>
      </c>
      <c r="J319" s="1354">
        <f>IF(J315="","",(E313-J315-J318-SUM(E318)*(J318=""))*E314/J$46/365/$P$1)</f>
        <v>3.3727724159402241E-3</v>
      </c>
      <c r="K319" s="1354">
        <f>IF(K315="","",(F313-K315-K318-SUM(F318)*(K318=""))*F314/K$46/365/$P$1)</f>
        <v>2.998019925280199E-3</v>
      </c>
      <c r="L319" s="1443"/>
      <c r="M319" s="1484" t="str">
        <f>IF(H319="","",SUM(H319)-SUM(C319))</f>
        <v/>
      </c>
      <c r="N319" s="1484" t="str">
        <f>IF(I319="","",SUM(I319)-SUM(D319))</f>
        <v/>
      </c>
      <c r="O319" s="1484">
        <f>IF(J319="","",SUM(J319)-SUM(E319))</f>
        <v>1.1242574719800748E-3</v>
      </c>
      <c r="P319" s="1484">
        <f>IF(K319="","",SUM(K319)-SUM(F319))</f>
        <v>9.9933997509339982E-4</v>
      </c>
      <c r="Q319" s="1464"/>
      <c r="R319" s="1392"/>
      <c r="S319" s="1393"/>
      <c r="T319" s="1393"/>
      <c r="U319" s="1394">
        <v>319</v>
      </c>
      <c r="V319" s="1421"/>
    </row>
    <row r="320" spans="1:22" ht="15.75" customHeight="1">
      <c r="A320" s="1500" t="str">
        <f>IF(Data!A320="","",Data!A320)</f>
        <v>Pumpkin: no. local meas</v>
      </c>
      <c r="B320" s="1433"/>
      <c r="C320" s="1444" t="str">
        <f>IF(Data!BV320="","",Data!BV320)</f>
        <v/>
      </c>
      <c r="D320" s="1444">
        <f>IF(Data!BW320="","",Data!BW320)</f>
        <v>60</v>
      </c>
      <c r="E320" s="1444" t="str">
        <f>IF(Data!BX320="","",Data!BX320)</f>
        <v/>
      </c>
      <c r="F320" s="1444" t="str">
        <f>IF(Data!BY320="","",Data!BY320)</f>
        <v/>
      </c>
      <c r="G320" s="1493"/>
      <c r="H320" s="1427"/>
      <c r="I320" s="1427"/>
      <c r="J320" s="1427"/>
      <c r="K320" s="1427"/>
      <c r="L320" s="1493"/>
      <c r="M320" s="1477"/>
      <c r="N320" s="1477"/>
      <c r="O320" s="1477"/>
      <c r="P320" s="1477"/>
      <c r="Q320" s="1464"/>
      <c r="R320" s="1402"/>
      <c r="S320" s="1403"/>
      <c r="T320" s="1403"/>
      <c r="U320" s="1394">
        <v>320</v>
      </c>
      <c r="V320" s="1421"/>
    </row>
    <row r="321" spans="1:22" ht="15.75" customHeight="1">
      <c r="A321" s="1380" t="s">
        <v>265</v>
      </c>
      <c r="B321" s="1415"/>
      <c r="C321" s="1444" t="str">
        <f>IF(Data!BV321="","",Data!BV321)</f>
        <v>kg</v>
      </c>
      <c r="D321" s="1444" t="str">
        <f>IF(Data!BW321="","",Data!BW321)</f>
        <v>kg</v>
      </c>
      <c r="E321" s="1444" t="str">
        <f>IF(Data!BX321="","",Data!BX321)</f>
        <v>kg</v>
      </c>
      <c r="F321" s="1444" t="str">
        <f>IF(Data!BY321="","",Data!BY321)</f>
        <v>kg</v>
      </c>
      <c r="G321" s="1493"/>
      <c r="H321" s="1427"/>
      <c r="I321" s="1427"/>
      <c r="J321" s="1427"/>
      <c r="K321" s="1427"/>
      <c r="L321" s="1493"/>
      <c r="M321" s="1477"/>
      <c r="N321" s="1477"/>
      <c r="O321" s="1477"/>
      <c r="P321" s="1477"/>
      <c r="Q321" s="1464"/>
      <c r="R321" s="1378"/>
      <c r="S321" s="1378"/>
      <c r="T321" s="1378"/>
      <c r="U321" s="1394">
        <v>321</v>
      </c>
      <c r="V321" s="1421"/>
    </row>
    <row r="322" spans="1:22" ht="15.75" customHeight="1">
      <c r="A322" s="1380" t="s">
        <v>266</v>
      </c>
      <c r="B322" s="1433"/>
      <c r="C322" s="1444" t="str">
        <f>IF(Data!BV322="","",Data!BV322)</f>
        <v/>
      </c>
      <c r="D322" s="1444">
        <f>IF(Data!BW322="","",Data!BW322)</f>
        <v>3</v>
      </c>
      <c r="E322" s="1444" t="str">
        <f>IF(Data!BX322="","",Data!BX322)</f>
        <v/>
      </c>
      <c r="F322" s="1444" t="str">
        <f>IF(Data!BY322="","",Data!BY322)</f>
        <v/>
      </c>
      <c r="G322" s="1493"/>
      <c r="H322" s="1427"/>
      <c r="I322" s="1427"/>
      <c r="J322" s="1427"/>
      <c r="K322" s="1427"/>
      <c r="L322" s="1493"/>
      <c r="M322" s="1477"/>
      <c r="N322" s="1477"/>
      <c r="O322" s="1477"/>
      <c r="P322" s="1477"/>
      <c r="Q322" s="1464"/>
      <c r="R322" s="1402"/>
      <c r="S322" s="1403"/>
      <c r="T322" s="1403"/>
      <c r="U322" s="1394">
        <v>322</v>
      </c>
      <c r="V322" s="1421"/>
    </row>
    <row r="323" spans="1:22" ht="15.75" customHeight="1">
      <c r="A323" s="1380" t="s">
        <v>267</v>
      </c>
      <c r="B323" s="1433"/>
      <c r="C323" s="1479" t="str">
        <f>IF(C320="","",C320*C322)</f>
        <v/>
      </c>
      <c r="D323" s="1479">
        <f>IF(D320="","",D320*D322)</f>
        <v>180</v>
      </c>
      <c r="E323" s="1479" t="str">
        <f>IF(E320="","",E320*E322)</f>
        <v/>
      </c>
      <c r="F323" s="1479" t="str">
        <f>IF(F320="","",F320*F322)</f>
        <v/>
      </c>
      <c r="G323" s="1412"/>
      <c r="H323" s="1427"/>
      <c r="I323" s="1427"/>
      <c r="J323" s="1427"/>
      <c r="K323" s="1427"/>
      <c r="L323" s="1412"/>
      <c r="M323" s="1427"/>
      <c r="N323" s="1427"/>
      <c r="O323" s="1427"/>
      <c r="P323" s="1427"/>
      <c r="Q323" s="1464"/>
      <c r="R323" s="1402"/>
      <c r="S323" s="1403"/>
      <c r="T323" s="1403"/>
      <c r="U323" s="1394">
        <v>323</v>
      </c>
      <c r="V323" s="1421"/>
    </row>
    <row r="324" spans="1:22" ht="15.75" customHeight="1">
      <c r="A324" s="1380" t="s">
        <v>256</v>
      </c>
      <c r="B324" s="1415"/>
      <c r="C324" s="1444">
        <f>IF(Data!BV324="","",Data!BV324)</f>
        <v>3140.1</v>
      </c>
      <c r="D324" s="1444">
        <f>IF(Data!BW324="","",Data!BW324)</f>
        <v>3140.1</v>
      </c>
      <c r="E324" s="1444">
        <f>IF(Data!BX324="","",Data!BX324)</f>
        <v>3140.1</v>
      </c>
      <c r="F324" s="1444">
        <f>IF(Data!BY324="","",Data!BY324)</f>
        <v>3140.1</v>
      </c>
      <c r="G324" s="1412"/>
      <c r="H324" s="1427"/>
      <c r="I324" s="1427"/>
      <c r="J324" s="1427"/>
      <c r="K324" s="1427"/>
      <c r="L324" s="1412"/>
      <c r="M324" s="1427"/>
      <c r="N324" s="1427"/>
      <c r="O324" s="1427"/>
      <c r="P324" s="1427"/>
      <c r="Q324" s="1464"/>
      <c r="R324" s="1402"/>
      <c r="S324" s="1403"/>
      <c r="T324" s="1403"/>
      <c r="U324" s="1394">
        <v>324</v>
      </c>
      <c r="V324" s="1421"/>
    </row>
    <row r="325" spans="1:22" ht="15.75" customHeight="1">
      <c r="A325" s="1382" t="s">
        <v>257</v>
      </c>
      <c r="B325" s="1433"/>
      <c r="C325" s="1444" t="str">
        <f>IF(Data!BV325="","",Data!BV325)</f>
        <v/>
      </c>
      <c r="D325" s="1444" t="str">
        <f>IF(Data!BW325="","",Data!BW325)</f>
        <v/>
      </c>
      <c r="E325" s="1444" t="str">
        <f>IF(Data!BX325="","",Data!BX325)</f>
        <v/>
      </c>
      <c r="F325" s="1444" t="str">
        <f>IF(Data!BY325="","",Data!BY325)</f>
        <v/>
      </c>
      <c r="G325" s="1431"/>
      <c r="H325" s="1497" t="str">
        <f>IF(SUM(C325)&gt;0,(C323-H328-SUM(C328)*(H328=""))*'Exp factors'!C$23,"")</f>
        <v/>
      </c>
      <c r="I325" s="1497" t="str">
        <f>IF(SUM(D325)&gt;0,(D323-I328-SUM(D328)*(I328=""))*'Exp factors'!D$23,"")</f>
        <v/>
      </c>
      <c r="J325" s="1497" t="str">
        <f>IF(SUM(E325)&gt;0,(E323-J328-SUM(E328)*(J328=""))*'Exp factors'!E$23,"")</f>
        <v/>
      </c>
      <c r="K325" s="1497" t="str">
        <f>IF(SUM(F325)&gt;0,(F323-K328-SUM(F328)*(K328=""))*'Exp factors'!F$23,"")</f>
        <v/>
      </c>
      <c r="L325" s="1431"/>
      <c r="M325" s="1427"/>
      <c r="N325" s="1427"/>
      <c r="O325" s="1427"/>
      <c r="P325" s="1427"/>
      <c r="Q325" s="1464"/>
      <c r="R325" s="1402"/>
      <c r="S325" s="1403"/>
      <c r="T325" s="1403"/>
      <c r="U325" s="1394">
        <v>325</v>
      </c>
      <c r="V325" s="1421"/>
    </row>
    <row r="326" spans="1:22" ht="15.75" customHeight="1">
      <c r="A326" s="1428" t="s">
        <v>181</v>
      </c>
      <c r="B326" s="1433"/>
      <c r="C326" s="1444" t="str">
        <f>IF(Data!BV326="","",Data!BV326)</f>
        <v/>
      </c>
      <c r="D326" s="1444" t="str">
        <f>IF(Data!BW326="","",Data!BW326)</f>
        <v/>
      </c>
      <c r="E326" s="1444" t="str">
        <f>IF(Data!BX326="","",Data!BX326)</f>
        <v/>
      </c>
      <c r="F326" s="1444" t="str">
        <f>IF(Data!BY326="","",Data!BY326)</f>
        <v/>
      </c>
      <c r="G326" s="1433"/>
      <c r="H326" s="1427"/>
      <c r="I326" s="1427"/>
      <c r="J326" s="1427"/>
      <c r="K326" s="1427"/>
      <c r="L326" s="1433"/>
      <c r="M326" s="1427"/>
      <c r="N326" s="1427"/>
      <c r="O326" s="1427"/>
      <c r="P326" s="1427"/>
      <c r="Q326" s="1464"/>
      <c r="R326" s="1445"/>
      <c r="S326" s="1446"/>
      <c r="T326" s="1446"/>
      <c r="U326" s="1394">
        <v>326</v>
      </c>
      <c r="V326" s="1421"/>
    </row>
    <row r="327" spans="1:22" ht="15.75" customHeight="1">
      <c r="A327" s="1428" t="s">
        <v>183</v>
      </c>
      <c r="B327" s="1415"/>
      <c r="C327" s="1454" t="str">
        <f>IF(SUM(C325)=0,"",C325*C326)</f>
        <v/>
      </c>
      <c r="D327" s="1454" t="str">
        <f>IF(SUM(D325)=0,"",D325*D326)</f>
        <v/>
      </c>
      <c r="E327" s="1454" t="str">
        <f>IF(SUM(E325)=0,"",E325*E326)</f>
        <v/>
      </c>
      <c r="F327" s="1454" t="str">
        <f>IF(SUM(F325)=0,"",F325*F326)</f>
        <v/>
      </c>
      <c r="G327" s="1433"/>
      <c r="H327" s="1463" t="str">
        <f>IF(H325="","",H325*C326)</f>
        <v/>
      </c>
      <c r="I327" s="1463" t="str">
        <f>IF(I325="","",I325*D326)</f>
        <v/>
      </c>
      <c r="J327" s="1463" t="str">
        <f>IF(J325="","",J325*E326)</f>
        <v/>
      </c>
      <c r="K327" s="1463" t="str">
        <f>IF(K325="","",K325*F326)</f>
        <v/>
      </c>
      <c r="L327" s="1433"/>
      <c r="M327" s="1454" t="str">
        <f>IF(H327="","",SUM(H327)-SUM(C327))</f>
        <v/>
      </c>
      <c r="N327" s="1454" t="str">
        <f>IF(I327="","",SUM(I327)-SUM(D327))</f>
        <v/>
      </c>
      <c r="O327" s="1454" t="str">
        <f>IF(J327="","",SUM(J327)-SUM(E327))</f>
        <v/>
      </c>
      <c r="P327" s="1454" t="str">
        <f>IF(K327="","",SUM(K327)-SUM(F327))</f>
        <v/>
      </c>
      <c r="Q327" s="1464"/>
      <c r="R327" s="1402"/>
      <c r="S327" s="1403"/>
      <c r="T327" s="1403"/>
      <c r="U327" s="1394">
        <v>327</v>
      </c>
      <c r="V327" s="1421"/>
    </row>
    <row r="328" spans="1:22" ht="15.75" customHeight="1">
      <c r="A328" s="1428" t="s">
        <v>258</v>
      </c>
      <c r="B328" s="1433"/>
      <c r="C328" s="1444" t="str">
        <f>IF(Data!BV328="","",Data!BV328)</f>
        <v/>
      </c>
      <c r="D328" s="1444" t="str">
        <f>IF(Data!BW328="","",Data!BW328)</f>
        <v/>
      </c>
      <c r="E328" s="1444" t="str">
        <f>IF(Data!BX328="","",Data!BX328)</f>
        <v/>
      </c>
      <c r="F328" s="1444" t="str">
        <f>IF(Data!BY328="","",Data!BY328)</f>
        <v/>
      </c>
      <c r="G328" s="1433"/>
      <c r="H328" s="1492"/>
      <c r="I328" s="1492"/>
      <c r="J328" s="1492"/>
      <c r="K328" s="1492"/>
      <c r="L328" s="1433"/>
      <c r="M328" s="1427"/>
      <c r="N328" s="1427"/>
      <c r="O328" s="1427"/>
      <c r="P328" s="1427"/>
      <c r="Q328" s="1464"/>
      <c r="R328" s="1402"/>
      <c r="S328" s="1403"/>
      <c r="T328" s="1403"/>
      <c r="U328" s="1394">
        <v>328</v>
      </c>
      <c r="V328" s="1421"/>
    </row>
    <row r="329" spans="1:22" ht="15.75" customHeight="1">
      <c r="A329" s="1429" t="s">
        <v>252</v>
      </c>
      <c r="B329" s="1433"/>
      <c r="C329" s="1483" t="str">
        <f>IF(C323="","",(C323-SUM(C325)-SUM(C328))*C324/C$46/365/$P$1)</f>
        <v/>
      </c>
      <c r="D329" s="1483">
        <f>IF(D323="","",(D323-SUM(D325)-SUM(D328))*D324/D$46/365/$P$1)</f>
        <v>2.1996341843088418E-2</v>
      </c>
      <c r="E329" s="1483" t="str">
        <f>IF(E323="","",(E323-SUM(E325)-SUM(E328))*E324/E$46/365/$P$1)</f>
        <v/>
      </c>
      <c r="F329" s="1483" t="str">
        <f>IF(F323="","",(F323-SUM(F325)-SUM(F328))*F324/F$46/365/$P$1)</f>
        <v/>
      </c>
      <c r="G329" s="1443"/>
      <c r="H329" s="1354" t="str">
        <f>IF(H325="","",(C323-H325-H328-SUM(C328)*(H328=""))*C324/H$46/365/$P$1)</f>
        <v/>
      </c>
      <c r="I329" s="1354" t="str">
        <f>IF(I325="","",(D323-I325-I328-SUM(D328)*(I328=""))*D324/I$46/365/$P$1)</f>
        <v/>
      </c>
      <c r="J329" s="1354" t="str">
        <f>IF(J325="","",(E323-J325-J328-SUM(E328)*(J328=""))*E324/J$46/365/$P$1)</f>
        <v/>
      </c>
      <c r="K329" s="1354" t="str">
        <f>IF(K325="","",(F323-K325-K328-SUM(F328)*(K328=""))*F324/K$46/365/$P$1)</f>
        <v/>
      </c>
      <c r="L329" s="1443"/>
      <c r="M329" s="1484" t="str">
        <f>IF(H329="","",SUM(H329)-SUM(C329))</f>
        <v/>
      </c>
      <c r="N329" s="1484" t="str">
        <f>IF(I329="","",SUM(I329)-SUM(D329))</f>
        <v/>
      </c>
      <c r="O329" s="1484" t="str">
        <f>IF(J329="","",SUM(J329)-SUM(E329))</f>
        <v/>
      </c>
      <c r="P329" s="1484" t="str">
        <f>IF(K329="","",SUM(K329)-SUM(F329))</f>
        <v/>
      </c>
      <c r="Q329" s="1464"/>
      <c r="R329" s="1392"/>
      <c r="S329" s="1393"/>
      <c r="T329" s="1393"/>
      <c r="U329" s="1394">
        <v>329</v>
      </c>
      <c r="V329" s="1421"/>
    </row>
    <row r="330" spans="1:22" s="1510" customFormat="1" ht="15.75" customHeight="1">
      <c r="A330" s="1500" t="str">
        <f>IF(Data!A330="","",Data!A330)</f>
        <v>Sweet poatato: no. local meas</v>
      </c>
      <c r="B330" s="1415"/>
      <c r="C330" s="1444">
        <f>IF(Data!BV330="","",Data!BV330)</f>
        <v>4</v>
      </c>
      <c r="D330" s="1444">
        <f>IF(Data!BW330="","",Data!BW330)</f>
        <v>4</v>
      </c>
      <c r="E330" s="1444">
        <f>IF(Data!BX330="","",Data!BX330)</f>
        <v>10</v>
      </c>
      <c r="F330" s="1444">
        <f>IF(Data!BY330="","",Data!BY330)</f>
        <v>10</v>
      </c>
      <c r="G330" s="1493"/>
      <c r="H330" s="1427"/>
      <c r="I330" s="1427"/>
      <c r="J330" s="1427"/>
      <c r="K330" s="1427"/>
      <c r="L330" s="1493"/>
      <c r="M330" s="1477"/>
      <c r="N330" s="1477"/>
      <c r="O330" s="1477"/>
      <c r="P330" s="1477"/>
      <c r="Q330" s="1478"/>
      <c r="R330" s="1402"/>
      <c r="S330" s="1403"/>
      <c r="T330" s="1403"/>
      <c r="U330" s="1394">
        <v>330</v>
      </c>
      <c r="V330" s="1509"/>
    </row>
    <row r="331" spans="1:22" ht="15.75" customHeight="1">
      <c r="A331" s="1380" t="s">
        <v>265</v>
      </c>
      <c r="B331" s="1433"/>
      <c r="C331" s="1444" t="str">
        <f>IF(Data!BV331="","",Data!BV331)</f>
        <v>kg</v>
      </c>
      <c r="D331" s="1444" t="str">
        <f>IF(Data!BW331="","",Data!BW331)</f>
        <v>kg</v>
      </c>
      <c r="E331" s="1444" t="str">
        <f>IF(Data!BX331="","",Data!BX331)</f>
        <v>kg</v>
      </c>
      <c r="F331" s="1444" t="str">
        <f>IF(Data!BY331="","",Data!BY331)</f>
        <v>kg</v>
      </c>
      <c r="G331" s="1465"/>
      <c r="H331" s="1427"/>
      <c r="I331" s="1427"/>
      <c r="J331" s="1427"/>
      <c r="K331" s="1427"/>
      <c r="L331" s="1465"/>
      <c r="M331" s="1477"/>
      <c r="N331" s="1477"/>
      <c r="O331" s="1477"/>
      <c r="P331" s="1477"/>
      <c r="Q331" s="1464"/>
      <c r="R331" s="1378"/>
      <c r="S331" s="1378"/>
      <c r="T331" s="1378"/>
      <c r="U331" s="1394">
        <v>331</v>
      </c>
      <c r="V331" s="1421"/>
    </row>
    <row r="332" spans="1:22" s="1510" customFormat="1" ht="15.75" customHeight="1">
      <c r="A332" s="1514" t="s">
        <v>266</v>
      </c>
      <c r="B332" s="1433"/>
      <c r="C332" s="1444">
        <f>IF(Data!BV332="","",Data!BV332)</f>
        <v>40</v>
      </c>
      <c r="D332" s="1444">
        <f>IF(Data!BW332="","",Data!BW332)</f>
        <v>40</v>
      </c>
      <c r="E332" s="1444">
        <f>IF(Data!BX332="","",Data!BX332)</f>
        <v>40</v>
      </c>
      <c r="F332" s="1444">
        <f>IF(Data!BY332="","",Data!BY332)</f>
        <v>40</v>
      </c>
      <c r="G332" s="1493"/>
      <c r="H332" s="1427"/>
      <c r="I332" s="1427"/>
      <c r="J332" s="1427"/>
      <c r="K332" s="1427"/>
      <c r="L332" s="1493"/>
      <c r="M332" s="1477"/>
      <c r="N332" s="1477"/>
      <c r="O332" s="1477"/>
      <c r="P332" s="1477"/>
      <c r="Q332" s="1478"/>
      <c r="R332" s="1402"/>
      <c r="S332" s="1403"/>
      <c r="T332" s="1403"/>
      <c r="U332" s="1394">
        <v>332</v>
      </c>
      <c r="V332" s="1509"/>
    </row>
    <row r="333" spans="1:22" ht="15.75" customHeight="1">
      <c r="A333" s="1380" t="s">
        <v>267</v>
      </c>
      <c r="B333" s="1415"/>
      <c r="C333" s="1479">
        <f>IF(C330="","",C330*C332)</f>
        <v>160</v>
      </c>
      <c r="D333" s="1479">
        <f>IF(D330="","",D330*D332)</f>
        <v>160</v>
      </c>
      <c r="E333" s="1479">
        <f>IF(E330="","",E330*E332)</f>
        <v>400</v>
      </c>
      <c r="F333" s="1479">
        <f>IF(F330="","",F330*F332)</f>
        <v>400</v>
      </c>
      <c r="G333" s="1503"/>
      <c r="H333" s="1427"/>
      <c r="I333" s="1427"/>
      <c r="J333" s="1427"/>
      <c r="K333" s="1427"/>
      <c r="L333" s="1503"/>
      <c r="M333" s="1427"/>
      <c r="N333" s="1427"/>
      <c r="O333" s="1427"/>
      <c r="P333" s="1427"/>
      <c r="Q333" s="1464"/>
      <c r="R333" s="1402"/>
      <c r="S333" s="1403"/>
      <c r="T333" s="1403"/>
      <c r="U333" s="1394">
        <v>333</v>
      </c>
      <c r="V333" s="1421"/>
    </row>
    <row r="334" spans="1:22" ht="15.75" customHeight="1">
      <c r="A334" s="1380" t="s">
        <v>256</v>
      </c>
      <c r="B334" s="1433"/>
      <c r="C334" s="1444">
        <f>IF(Data!BV334="","",Data!BV334)</f>
        <v>4770</v>
      </c>
      <c r="D334" s="1444">
        <f>IF(Data!BW334="","",Data!BW334)</f>
        <v>4770</v>
      </c>
      <c r="E334" s="1444">
        <f>IF(Data!BX334="","",Data!BX334)</f>
        <v>4770</v>
      </c>
      <c r="F334" s="1444">
        <f>IF(Data!BY334="","",Data!BY334)</f>
        <v>4770</v>
      </c>
      <c r="G334" s="1503"/>
      <c r="H334" s="1427"/>
      <c r="I334" s="1427"/>
      <c r="J334" s="1427"/>
      <c r="K334" s="1427"/>
      <c r="L334" s="1503"/>
      <c r="M334" s="1427"/>
      <c r="N334" s="1427"/>
      <c r="O334" s="1427"/>
      <c r="P334" s="1427"/>
      <c r="Q334" s="1464"/>
      <c r="R334" s="1402"/>
      <c r="S334" s="1403"/>
      <c r="T334" s="1403"/>
      <c r="U334" s="1394">
        <v>334</v>
      </c>
      <c r="V334" s="1421"/>
    </row>
    <row r="335" spans="1:22" ht="15.75" customHeight="1">
      <c r="A335" s="1382" t="s">
        <v>257</v>
      </c>
      <c r="B335" s="1431"/>
      <c r="C335" s="1444">
        <f>IF(Data!BV335="","",Data!BV335)</f>
        <v>0</v>
      </c>
      <c r="D335" s="1444">
        <f>IF(Data!BW335="","",Data!BW335)</f>
        <v>0</v>
      </c>
      <c r="E335" s="1444">
        <f>IF(Data!BX335="","",Data!BX335)</f>
        <v>50</v>
      </c>
      <c r="F335" s="1444">
        <f>IF(Data!BY335="","",Data!BY335)</f>
        <v>150</v>
      </c>
      <c r="G335" s="1415"/>
      <c r="H335" s="1497" t="str">
        <f>IF(SUM(C335)&gt;0,(C333-H338-SUM(C338)*(H338=""))*'Exp factors'!C$23,"")</f>
        <v/>
      </c>
      <c r="I335" s="1497" t="str">
        <f>IF(SUM(D335)&gt;0,(D333-I338-SUM(D338)*(I338=""))*'Exp factors'!D$23,"")</f>
        <v/>
      </c>
      <c r="J335" s="1497">
        <f>IF(SUM(E335)&gt;0,(E333-J338-SUM(E338)*(J338=""))*'Exp factors'!E$23,"")</f>
        <v>0</v>
      </c>
      <c r="K335" s="1497">
        <f>IF(SUM(F335)&gt;0,(F333-K338-SUM(F338)*(K338=""))*'Exp factors'!F$23,"")</f>
        <v>0</v>
      </c>
      <c r="L335" s="1415"/>
      <c r="M335" s="1427"/>
      <c r="N335" s="1427"/>
      <c r="O335" s="1427"/>
      <c r="P335" s="1427"/>
      <c r="Q335" s="1464"/>
      <c r="R335" s="1402"/>
      <c r="S335" s="1403"/>
      <c r="T335" s="1403"/>
      <c r="U335" s="1394">
        <v>335</v>
      </c>
      <c r="V335" s="1421"/>
    </row>
    <row r="336" spans="1:22" ht="15.75" customHeight="1">
      <c r="A336" s="1428" t="s">
        <v>181</v>
      </c>
      <c r="B336" s="1515"/>
      <c r="C336" s="1444" t="str">
        <f>IF(Data!BV336="","",Data!BV336)</f>
        <v/>
      </c>
      <c r="D336" s="1444" t="str">
        <f>IF(Data!BW336="","",Data!BW336)</f>
        <v/>
      </c>
      <c r="E336" s="1444">
        <f>IF(Data!BX336="","",Data!BX336)</f>
        <v>5</v>
      </c>
      <c r="F336" s="1444">
        <f>IF(Data!BY336="","",Data!BY336)</f>
        <v>5</v>
      </c>
      <c r="G336" s="1507"/>
      <c r="H336" s="1427"/>
      <c r="I336" s="1427"/>
      <c r="J336" s="1427"/>
      <c r="K336" s="1427"/>
      <c r="L336" s="1507"/>
      <c r="M336" s="1427"/>
      <c r="N336" s="1427"/>
      <c r="O336" s="1427"/>
      <c r="P336" s="1427"/>
      <c r="Q336" s="1464"/>
      <c r="R336" s="1445"/>
      <c r="S336" s="1446"/>
      <c r="T336" s="1446"/>
      <c r="U336" s="1394">
        <v>336</v>
      </c>
      <c r="V336" s="1421"/>
    </row>
    <row r="337" spans="1:22" ht="15.75" customHeight="1">
      <c r="A337" s="1428" t="s">
        <v>183</v>
      </c>
      <c r="B337" s="1516"/>
      <c r="C337" s="1454" t="str">
        <f>IF(SUM(C335)=0,"",C335*C336)</f>
        <v/>
      </c>
      <c r="D337" s="1454" t="str">
        <f>IF(SUM(D335)=0,"",D335*D336)</f>
        <v/>
      </c>
      <c r="E337" s="1454">
        <f>IF(SUM(E335)=0,"",E335*E336)</f>
        <v>250</v>
      </c>
      <c r="F337" s="1454">
        <f>IF(SUM(F335)=0,"",F335*F336)</f>
        <v>750</v>
      </c>
      <c r="G337" s="1507"/>
      <c r="H337" s="1463" t="str">
        <f>IF(H335="","",H335*C336)</f>
        <v/>
      </c>
      <c r="I337" s="1463" t="str">
        <f>IF(I335="","",I335*D336)</f>
        <v/>
      </c>
      <c r="J337" s="1463">
        <f>IF(J335="","",J335*E336)</f>
        <v>0</v>
      </c>
      <c r="K337" s="1463">
        <f>IF(K335="","",K335*F336)</f>
        <v>0</v>
      </c>
      <c r="L337" s="1507"/>
      <c r="M337" s="1454" t="str">
        <f>IF(H337="","",SUM(H337)-SUM(C337))</f>
        <v/>
      </c>
      <c r="N337" s="1454" t="str">
        <f>IF(I337="","",SUM(I337)-SUM(D337))</f>
        <v/>
      </c>
      <c r="O337" s="1454">
        <f>IF(J337="","",SUM(J337)-SUM(E337))</f>
        <v>-250</v>
      </c>
      <c r="P337" s="1454">
        <f>IF(K337="","",SUM(K337)-SUM(F337))</f>
        <v>-750</v>
      </c>
      <c r="Q337" s="1464"/>
      <c r="R337" s="1402"/>
      <c r="S337" s="1403"/>
      <c r="T337" s="1403"/>
      <c r="U337" s="1394">
        <v>337</v>
      </c>
      <c r="V337" s="1421"/>
    </row>
    <row r="338" spans="1:22" ht="15.75" customHeight="1">
      <c r="A338" s="1428" t="s">
        <v>258</v>
      </c>
      <c r="B338" s="1517"/>
      <c r="C338" s="1444">
        <f>IF(Data!BV338="","",Data!BV338)</f>
        <v>20</v>
      </c>
      <c r="D338" s="1444">
        <f>IF(Data!BW338="","",Data!BW338)</f>
        <v>20</v>
      </c>
      <c r="E338" s="1444">
        <f>IF(Data!BX338="","",Data!BX338)</f>
        <v>20</v>
      </c>
      <c r="F338" s="1444">
        <f>IF(Data!BY338="","",Data!BY338)</f>
        <v>20</v>
      </c>
      <c r="G338" s="1507"/>
      <c r="H338" s="1492"/>
      <c r="I338" s="1492"/>
      <c r="J338" s="1492"/>
      <c r="K338" s="1492"/>
      <c r="L338" s="1507"/>
      <c r="M338" s="1427"/>
      <c r="N338" s="1427"/>
      <c r="O338" s="1427"/>
      <c r="P338" s="1427"/>
      <c r="Q338" s="1464"/>
      <c r="R338" s="1402"/>
      <c r="S338" s="1403"/>
      <c r="T338" s="1403"/>
      <c r="U338" s="1394">
        <v>338</v>
      </c>
      <c r="V338" s="1421"/>
    </row>
    <row r="339" spans="1:22" ht="15.75" customHeight="1">
      <c r="A339" s="1429" t="s">
        <v>252</v>
      </c>
      <c r="B339" s="1517"/>
      <c r="C339" s="1483">
        <f>IF(C333="","",(C333-SUM(C335)-SUM(C338))*C334/C$46/365/$P$1)</f>
        <v>2.5988480697384807E-2</v>
      </c>
      <c r="D339" s="1483">
        <f>IF(D333="","",(D333-SUM(D335)-SUM(D338))*D334/D$46/365/$P$1)</f>
        <v>2.5988480697384807E-2</v>
      </c>
      <c r="E339" s="1483">
        <f>IF(E333="","",(E333-SUM(E335)-SUM(E338))*E334/E$46/365/$P$1)</f>
        <v>6.125856164383562E-2</v>
      </c>
      <c r="F339" s="1483">
        <f>IF(F333="","",(F333-SUM(F335)-SUM(F338))*F334/F$46/365/$P$1)</f>
        <v>3.7951432129514323E-2</v>
      </c>
      <c r="G339" s="1455"/>
      <c r="H339" s="1354" t="str">
        <f>IF(H335="","",(C333-H335-H338-SUM(C338)*(H338=""))*C334/H$46/365/$P$1)</f>
        <v/>
      </c>
      <c r="I339" s="1354" t="str">
        <f>IF(I335="","",(D333-I335-I338-SUM(D338)*(I338=""))*D334/I$46/365/$P$1)</f>
        <v/>
      </c>
      <c r="J339" s="1354">
        <f>IF(J335="","",(E333-J335-J338-SUM(E338)*(J338=""))*E334/J$46/365/$P$1)</f>
        <v>7.0540161892901618E-2</v>
      </c>
      <c r="K339" s="1354">
        <f>IF(K335="","",(F333-K335-K338-SUM(F338)*(K338=""))*F334/K$46/365/$P$1)</f>
        <v>6.2702366127023665E-2</v>
      </c>
      <c r="L339" s="1455"/>
      <c r="M339" s="1484" t="str">
        <f>IF(H339="","",SUM(H339)-SUM(C339))</f>
        <v/>
      </c>
      <c r="N339" s="1484" t="str">
        <f>IF(I339="","",SUM(I339)-SUM(D339))</f>
        <v/>
      </c>
      <c r="O339" s="1484">
        <f>IF(J339="","",SUM(J339)-SUM(E339))</f>
        <v>9.281600249065998E-3</v>
      </c>
      <c r="P339" s="1484">
        <f>IF(K339="","",SUM(K339)-SUM(F339))</f>
        <v>2.4750933997509342E-2</v>
      </c>
      <c r="Q339" s="1464"/>
      <c r="R339" s="1392"/>
      <c r="S339" s="1393"/>
      <c r="T339" s="1393"/>
      <c r="U339" s="1394">
        <v>339</v>
      </c>
      <c r="V339" s="1421"/>
    </row>
    <row r="340" spans="1:22" s="1506" customFormat="1" ht="15.75" customHeight="1">
      <c r="A340" s="1500" t="str">
        <f>IF(Data!A340="","",Data!A340)</f>
        <v>Groundnuts (dry): no. local meas</v>
      </c>
      <c r="B340" s="1507"/>
      <c r="C340" s="1444">
        <f>IF(Data!BV340="","",Data!BV340)</f>
        <v>1</v>
      </c>
      <c r="D340" s="1444">
        <f>IF(Data!BW340="","",Data!BW340)</f>
        <v>3</v>
      </c>
      <c r="E340" s="1444">
        <f>IF(Data!BX340="","",Data!BX340)</f>
        <v>3</v>
      </c>
      <c r="F340" s="1444">
        <f>IF(Data!BY340="","",Data!BY340)</f>
        <v>4</v>
      </c>
      <c r="G340" s="1493"/>
      <c r="H340" s="1427"/>
      <c r="I340" s="1427"/>
      <c r="J340" s="1427"/>
      <c r="K340" s="1427"/>
      <c r="L340" s="1493"/>
      <c r="M340" s="1477"/>
      <c r="N340" s="1477"/>
      <c r="O340" s="1477"/>
      <c r="P340" s="1477"/>
      <c r="Q340" s="1504"/>
      <c r="R340" s="1402"/>
      <c r="S340" s="1403"/>
      <c r="T340" s="1403"/>
      <c r="U340" s="1394">
        <v>340</v>
      </c>
      <c r="V340" s="1505"/>
    </row>
    <row r="341" spans="1:22" ht="15.75" customHeight="1">
      <c r="A341" s="1380" t="s">
        <v>265</v>
      </c>
      <c r="B341" s="1516"/>
      <c r="C341" s="1444" t="str">
        <f>IF(Data!BV341="","",Data!BV341)</f>
        <v>kg</v>
      </c>
      <c r="D341" s="1444" t="str">
        <f>IF(Data!BW341="","",Data!BW341)</f>
        <v>kg</v>
      </c>
      <c r="E341" s="1444" t="str">
        <f>IF(Data!BX341="","",Data!BX341)</f>
        <v>kg</v>
      </c>
      <c r="F341" s="1444" t="str">
        <f>IF(Data!BY341="","",Data!BY341)</f>
        <v>kg</v>
      </c>
      <c r="G341" s="1493"/>
      <c r="H341" s="1427"/>
      <c r="I341" s="1427"/>
      <c r="J341" s="1427"/>
      <c r="K341" s="1427"/>
      <c r="L341" s="1493"/>
      <c r="M341" s="1477"/>
      <c r="N341" s="1477"/>
      <c r="O341" s="1477"/>
      <c r="P341" s="1477"/>
      <c r="Q341" s="1464"/>
      <c r="R341" s="1378"/>
      <c r="S341" s="1378"/>
      <c r="T341" s="1378"/>
      <c r="U341" s="1394">
        <v>341</v>
      </c>
      <c r="V341" s="1421"/>
    </row>
    <row r="342" spans="1:22" s="1510" customFormat="1" ht="15.75" customHeight="1">
      <c r="A342" s="1380" t="s">
        <v>266</v>
      </c>
      <c r="B342" s="1517"/>
      <c r="C342" s="1444">
        <f>IF(Data!BV342="","",Data!BV342)</f>
        <v>50</v>
      </c>
      <c r="D342" s="1444">
        <f>IF(Data!BW342="","",Data!BW342)</f>
        <v>50</v>
      </c>
      <c r="E342" s="1444">
        <f>IF(Data!BX342="","",Data!BX342)</f>
        <v>50</v>
      </c>
      <c r="F342" s="1444">
        <f>IF(Data!BY342="","",Data!BY342)</f>
        <v>50</v>
      </c>
      <c r="G342" s="1493"/>
      <c r="H342" s="1427"/>
      <c r="I342" s="1427"/>
      <c r="J342" s="1427"/>
      <c r="K342" s="1427"/>
      <c r="L342" s="1493"/>
      <c r="M342" s="1477"/>
      <c r="N342" s="1477"/>
      <c r="O342" s="1477"/>
      <c r="P342" s="1477"/>
      <c r="Q342" s="1478"/>
      <c r="R342" s="1402"/>
      <c r="S342" s="1403"/>
      <c r="T342" s="1403"/>
      <c r="U342" s="1394">
        <v>342</v>
      </c>
      <c r="V342" s="1509"/>
    </row>
    <row r="343" spans="1:22" ht="15.75" customHeight="1">
      <c r="A343" s="1380" t="s">
        <v>267</v>
      </c>
      <c r="B343" s="1517"/>
      <c r="C343" s="1479">
        <f>IF(C340="","",C340*C342)</f>
        <v>50</v>
      </c>
      <c r="D343" s="1479">
        <f>IF(D340="","",D340*D342)</f>
        <v>150</v>
      </c>
      <c r="E343" s="1479">
        <f>IF(E340="","",E340*E342)</f>
        <v>150</v>
      </c>
      <c r="F343" s="1479">
        <f>IF(F340="","",F340*F342)</f>
        <v>200</v>
      </c>
      <c r="G343" s="1412"/>
      <c r="H343" s="1427"/>
      <c r="I343" s="1427"/>
      <c r="J343" s="1427"/>
      <c r="K343" s="1427"/>
      <c r="L343" s="1412"/>
      <c r="M343" s="1427"/>
      <c r="N343" s="1427"/>
      <c r="O343" s="1427"/>
      <c r="P343" s="1427"/>
      <c r="Q343" s="1464"/>
      <c r="R343" s="1402"/>
      <c r="S343" s="1403"/>
      <c r="T343" s="1403"/>
      <c r="U343" s="1394">
        <v>343</v>
      </c>
      <c r="V343" s="1421"/>
    </row>
    <row r="344" spans="1:22" ht="15.75" customHeight="1">
      <c r="A344" s="1380" t="s">
        <v>256</v>
      </c>
      <c r="B344" s="1507"/>
      <c r="C344" s="1444">
        <f>IF(Data!BV344="","",Data!BV344)</f>
        <v>24241.572</v>
      </c>
      <c r="D344" s="1444">
        <f>IF(Data!BW344="","",Data!BW344)</f>
        <v>24241.572</v>
      </c>
      <c r="E344" s="1444">
        <f>IF(Data!BX344="","",Data!BX344)</f>
        <v>24241.572</v>
      </c>
      <c r="F344" s="1444">
        <f>IF(Data!BY344="","",Data!BY344)</f>
        <v>24241.572</v>
      </c>
      <c r="G344" s="1412"/>
      <c r="H344" s="1427"/>
      <c r="I344" s="1427"/>
      <c r="J344" s="1427"/>
      <c r="K344" s="1427"/>
      <c r="L344" s="1412"/>
      <c r="M344" s="1427"/>
      <c r="N344" s="1427"/>
      <c r="O344" s="1427"/>
      <c r="P344" s="1427"/>
      <c r="Q344" s="1464"/>
      <c r="R344" s="1402"/>
      <c r="S344" s="1403"/>
      <c r="T344" s="1403"/>
      <c r="U344" s="1394">
        <v>344</v>
      </c>
      <c r="V344" s="1421"/>
    </row>
    <row r="345" spans="1:22" ht="15.75" customHeight="1">
      <c r="A345" s="1382" t="s">
        <v>257</v>
      </c>
      <c r="B345" s="1516"/>
      <c r="C345" s="1444">
        <f>IF(Data!BV345="","",Data!BV345)</f>
        <v>0</v>
      </c>
      <c r="D345" s="1444">
        <f>IF(Data!BW345="","",Data!BW345)</f>
        <v>50</v>
      </c>
      <c r="E345" s="1444">
        <f>IF(Data!BX345="","",Data!BX345)</f>
        <v>50</v>
      </c>
      <c r="F345" s="1444">
        <f>IF(Data!BY345="","",Data!BY345)</f>
        <v>60</v>
      </c>
      <c r="G345" s="1431"/>
      <c r="H345" s="1497" t="str">
        <f>IF(SUM(C345)&gt;0,(C343-H348-SUM(C348)*(H348=""))*'Exp factors'!C$23,"")</f>
        <v/>
      </c>
      <c r="I345" s="1497">
        <f>IF(SUM(D345)&gt;0,(D343-I348-SUM(D348)*(I348=""))*'Exp factors'!D$23,"")</f>
        <v>0</v>
      </c>
      <c r="J345" s="1497">
        <f>IF(SUM(E345)&gt;0,(E343-J348-SUM(E348)*(J348=""))*'Exp factors'!E$23,"")</f>
        <v>0</v>
      </c>
      <c r="K345" s="1497">
        <f>IF(SUM(F345)&gt;0,(F343-K348-SUM(F348)*(K348=""))*'Exp factors'!F$23,"")</f>
        <v>0</v>
      </c>
      <c r="L345" s="1431"/>
      <c r="M345" s="1427"/>
      <c r="N345" s="1427"/>
      <c r="O345" s="1427"/>
      <c r="P345" s="1427"/>
      <c r="Q345" s="1464"/>
      <c r="R345" s="1402"/>
      <c r="S345" s="1403"/>
      <c r="T345" s="1403"/>
      <c r="U345" s="1394">
        <v>345</v>
      </c>
      <c r="V345" s="1421"/>
    </row>
    <row r="346" spans="1:22" ht="15.75" customHeight="1">
      <c r="A346" s="1428" t="s">
        <v>181</v>
      </c>
      <c r="B346" s="1433"/>
      <c r="C346" s="1444">
        <f>IF(Data!BV346="","",Data!BV346)</f>
        <v>11</v>
      </c>
      <c r="D346" s="1444">
        <f>IF(Data!BW346="","",Data!BW346)</f>
        <v>13</v>
      </c>
      <c r="E346" s="1444">
        <f>IF(Data!BX346="","",Data!BX346)</f>
        <v>5</v>
      </c>
      <c r="F346" s="1444">
        <f>IF(Data!BY346="","",Data!BY346)</f>
        <v>19</v>
      </c>
      <c r="G346" s="1433"/>
      <c r="H346" s="1427"/>
      <c r="I346" s="1427"/>
      <c r="J346" s="1427"/>
      <c r="K346" s="1427"/>
      <c r="L346" s="1433"/>
      <c r="M346" s="1427"/>
      <c r="N346" s="1427"/>
      <c r="O346" s="1427"/>
      <c r="P346" s="1427"/>
      <c r="Q346" s="1464"/>
      <c r="R346" s="1445"/>
      <c r="S346" s="1446"/>
      <c r="T346" s="1446"/>
      <c r="U346" s="1394">
        <v>346</v>
      </c>
      <c r="V346" s="1421"/>
    </row>
    <row r="347" spans="1:22" ht="15.75" customHeight="1">
      <c r="A347" s="1428" t="s">
        <v>183</v>
      </c>
      <c r="B347" s="1433"/>
      <c r="C347" s="1454" t="str">
        <f>IF(SUM(C345)=0,"",C345*C346)</f>
        <v/>
      </c>
      <c r="D347" s="1454">
        <f>IF(SUM(D345)=0,"",D345*D346)</f>
        <v>650</v>
      </c>
      <c r="E347" s="1454">
        <f>IF(SUM(E345)=0,"",E345*E346)</f>
        <v>250</v>
      </c>
      <c r="F347" s="1454">
        <f>IF(SUM(F345)=0,"",F345*F346)</f>
        <v>1140</v>
      </c>
      <c r="G347" s="1433"/>
      <c r="H347" s="1463" t="str">
        <f>IF(H345="","",H345*C346)</f>
        <v/>
      </c>
      <c r="I347" s="1463">
        <f>IF(I345="","",I345*D346)</f>
        <v>0</v>
      </c>
      <c r="J347" s="1463">
        <f>IF(J345="","",J345*E346)</f>
        <v>0</v>
      </c>
      <c r="K347" s="1463">
        <f>IF(K345="","",K345*F346)</f>
        <v>0</v>
      </c>
      <c r="L347" s="1433"/>
      <c r="M347" s="1454" t="str">
        <f>IF(H347="","",SUM(H347)-SUM(C347))</f>
        <v/>
      </c>
      <c r="N347" s="1454">
        <f>IF(I347="","",SUM(I347)-SUM(D347))</f>
        <v>-650</v>
      </c>
      <c r="O347" s="1454">
        <f>IF(J347="","",SUM(J347)-SUM(E347))</f>
        <v>-250</v>
      </c>
      <c r="P347" s="1454">
        <f>IF(K347="","",SUM(K347)-SUM(F347))</f>
        <v>-1140</v>
      </c>
      <c r="Q347" s="1464"/>
      <c r="R347" s="1402"/>
      <c r="S347" s="1403"/>
      <c r="T347" s="1403"/>
      <c r="U347" s="1394">
        <v>347</v>
      </c>
      <c r="V347" s="1421"/>
    </row>
    <row r="348" spans="1:22" ht="15.75" customHeight="1">
      <c r="A348" s="1428" t="s">
        <v>258</v>
      </c>
      <c r="B348" s="1431"/>
      <c r="C348" s="1444">
        <f>IF(Data!BV348="","",Data!BV348)</f>
        <v>15</v>
      </c>
      <c r="D348" s="1444">
        <f>IF(Data!BW348="","",Data!BW348)</f>
        <v>38</v>
      </c>
      <c r="E348" s="1444" t="str">
        <f>IF(Data!BX348="","",Data!BX348)</f>
        <v/>
      </c>
      <c r="F348" s="1444">
        <f>IF(Data!BY348="","",Data!BY348)</f>
        <v>15</v>
      </c>
      <c r="G348" s="1433"/>
      <c r="H348" s="1492"/>
      <c r="I348" s="1492"/>
      <c r="J348" s="1492"/>
      <c r="K348" s="1492"/>
      <c r="L348" s="1433"/>
      <c r="M348" s="1427"/>
      <c r="N348" s="1427"/>
      <c r="O348" s="1427"/>
      <c r="P348" s="1427"/>
      <c r="Q348" s="1464"/>
      <c r="R348" s="1402"/>
      <c r="S348" s="1403"/>
      <c r="T348" s="1403"/>
      <c r="U348" s="1394">
        <v>348</v>
      </c>
      <c r="V348" s="1421"/>
    </row>
    <row r="349" spans="1:22" ht="15.75" customHeight="1">
      <c r="A349" s="1429" t="s">
        <v>252</v>
      </c>
      <c r="B349" s="1431"/>
      <c r="C349" s="1483">
        <f>IF(C343="","",(C343-SUM(C345)-SUM(C348))*C344/C$46/365/$P$1)</f>
        <v>3.3018953144458282E-2</v>
      </c>
      <c r="D349" s="1483">
        <f>IF(D343="","",(D343-SUM(D345)-SUM(D348))*D344/D$46/365/$P$1)</f>
        <v>5.849071699875466E-2</v>
      </c>
      <c r="E349" s="1483">
        <f>IF(E343="","",(E343-SUM(E345)-SUM(E348))*E344/E$46/365/$P$1)</f>
        <v>9.4339866127023678E-2</v>
      </c>
      <c r="F349" s="1483">
        <f>IF(F343="","",(F343-SUM(F345)-SUM(F348))*F344/F$46/365/$P$1)</f>
        <v>0.10482207347447074</v>
      </c>
      <c r="G349" s="1443"/>
      <c r="H349" s="1354" t="str">
        <f>IF(H345="","",(C343-H345-H348-SUM(C348)*(H348=""))*C344/H$46/365/$P$1)</f>
        <v/>
      </c>
      <c r="I349" s="1354">
        <f>IF(I345="","",(D343-I345-I348-SUM(D348)*(I348=""))*D344/I$46/365/$P$1)</f>
        <v>0.10566065006226651</v>
      </c>
      <c r="J349" s="1354">
        <f>IF(J345="","",(E343-J345-J348-SUM(E348)*(J348=""))*E344/J$46/365/$P$1)</f>
        <v>0.1415097991905355</v>
      </c>
      <c r="K349" s="1354">
        <f>IF(K345="","",(F343-K345-K348-SUM(F348)*(K348=""))*F344/K$46/365/$P$1)</f>
        <v>0.15513666874221671</v>
      </c>
      <c r="L349" s="1443"/>
      <c r="M349" s="1484" t="str">
        <f>IF(H349="","",SUM(H349)-SUM(C349))</f>
        <v/>
      </c>
      <c r="N349" s="1484">
        <f>IF(I349="","",SUM(I349)-SUM(D349))</f>
        <v>4.7169933063511846E-2</v>
      </c>
      <c r="O349" s="1484">
        <f>IF(J349="","",SUM(J349)-SUM(E349))</f>
        <v>4.7169933063511818E-2</v>
      </c>
      <c r="P349" s="1484">
        <f>IF(K349="","",SUM(K349)-SUM(F349))</f>
        <v>5.0314595267745968E-2</v>
      </c>
      <c r="Q349" s="1464"/>
      <c r="R349" s="1392"/>
      <c r="S349" s="1393"/>
      <c r="T349" s="1393"/>
      <c r="U349" s="1394">
        <v>349</v>
      </c>
      <c r="V349" s="1421"/>
    </row>
    <row r="350" spans="1:22" s="1506" customFormat="1" ht="15.75" customHeight="1">
      <c r="A350" s="1500" t="str">
        <f>IF(Data!A350="","",Data!A350)</f>
        <v>Roundnuts (bambara): no. local meas</v>
      </c>
      <c r="B350" s="1431"/>
      <c r="C350" s="1444" t="str">
        <f>IF(Data!BV350="","",Data!BV350)</f>
        <v/>
      </c>
      <c r="D350" s="1444" t="str">
        <f>IF(Data!BW350="","",Data!BW350)</f>
        <v/>
      </c>
      <c r="E350" s="1444" t="str">
        <f>IF(Data!BX350="","",Data!BX350)</f>
        <v/>
      </c>
      <c r="F350" s="1444" t="str">
        <f>IF(Data!BY350="","",Data!BY350)</f>
        <v/>
      </c>
      <c r="G350" s="1493"/>
      <c r="H350" s="1427"/>
      <c r="I350" s="1427"/>
      <c r="J350" s="1427"/>
      <c r="K350" s="1427"/>
      <c r="L350" s="1493"/>
      <c r="M350" s="1477"/>
      <c r="N350" s="1477"/>
      <c r="O350" s="1477"/>
      <c r="P350" s="1477"/>
      <c r="Q350" s="1504"/>
      <c r="R350" s="1402"/>
      <c r="S350" s="1403"/>
      <c r="T350" s="1403"/>
      <c r="U350" s="1394">
        <v>350</v>
      </c>
      <c r="V350" s="1505"/>
    </row>
    <row r="351" spans="1:22" ht="15.75" customHeight="1">
      <c r="A351" s="1380" t="s">
        <v>265</v>
      </c>
      <c r="B351" s="1455"/>
      <c r="C351" s="1444" t="str">
        <f>IF(Data!BV351="","",Data!BV351)</f>
        <v/>
      </c>
      <c r="D351" s="1444" t="str">
        <f>IF(Data!BW351="","",Data!BW351)</f>
        <v/>
      </c>
      <c r="E351" s="1444" t="str">
        <f>IF(Data!BX351="","",Data!BX351)</f>
        <v/>
      </c>
      <c r="F351" s="1444" t="str">
        <f>IF(Data!BY351="","",Data!BY351)</f>
        <v/>
      </c>
      <c r="G351" s="1493"/>
      <c r="H351" s="1427"/>
      <c r="I351" s="1427"/>
      <c r="J351" s="1427"/>
      <c r="K351" s="1427"/>
      <c r="L351" s="1493"/>
      <c r="M351" s="1477"/>
      <c r="N351" s="1477"/>
      <c r="O351" s="1477"/>
      <c r="P351" s="1477"/>
      <c r="Q351" s="1464"/>
      <c r="R351" s="1378"/>
      <c r="S351" s="1378"/>
      <c r="T351" s="1378"/>
      <c r="U351" s="1394">
        <v>351</v>
      </c>
      <c r="V351" s="1421"/>
    </row>
    <row r="352" spans="1:22" s="1510" customFormat="1" ht="15.75" customHeight="1">
      <c r="A352" s="1380" t="s">
        <v>266</v>
      </c>
      <c r="B352" s="1433"/>
      <c r="C352" s="1444" t="str">
        <f>IF(Data!BV352="","",Data!BV352)</f>
        <v/>
      </c>
      <c r="D352" s="1444" t="str">
        <f>IF(Data!BW352="","",Data!BW352)</f>
        <v/>
      </c>
      <c r="E352" s="1444" t="str">
        <f>IF(Data!BX352="","",Data!BX352)</f>
        <v/>
      </c>
      <c r="F352" s="1444" t="str">
        <f>IF(Data!BY352="","",Data!BY352)</f>
        <v/>
      </c>
      <c r="G352" s="1493"/>
      <c r="H352" s="1427"/>
      <c r="I352" s="1427"/>
      <c r="J352" s="1427"/>
      <c r="K352" s="1427"/>
      <c r="L352" s="1493"/>
      <c r="M352" s="1477"/>
      <c r="N352" s="1477"/>
      <c r="O352" s="1477"/>
      <c r="P352" s="1477"/>
      <c r="Q352" s="1478"/>
      <c r="R352" s="1402"/>
      <c r="S352" s="1403"/>
      <c r="T352" s="1403"/>
      <c r="U352" s="1394">
        <v>352</v>
      </c>
      <c r="V352" s="1509"/>
    </row>
    <row r="353" spans="1:22" ht="15.75" customHeight="1">
      <c r="A353" s="1380" t="s">
        <v>267</v>
      </c>
      <c r="B353" s="1433"/>
      <c r="C353" s="1479" t="str">
        <f>IF(C350="","",C350*C352)</f>
        <v/>
      </c>
      <c r="D353" s="1479" t="str">
        <f>IF(D350="","",D350*D352)</f>
        <v/>
      </c>
      <c r="E353" s="1479" t="str">
        <f>IF(E350="","",E350*E352)</f>
        <v/>
      </c>
      <c r="F353" s="1479" t="str">
        <f>IF(F350="","",F350*F352)</f>
        <v/>
      </c>
      <c r="G353" s="1412"/>
      <c r="H353" s="1427"/>
      <c r="I353" s="1427"/>
      <c r="J353" s="1427"/>
      <c r="K353" s="1427"/>
      <c r="L353" s="1412"/>
      <c r="M353" s="1427"/>
      <c r="N353" s="1427"/>
      <c r="O353" s="1427"/>
      <c r="P353" s="1427"/>
      <c r="Q353" s="1464"/>
      <c r="R353" s="1402"/>
      <c r="S353" s="1403"/>
      <c r="T353" s="1403"/>
      <c r="U353" s="1394">
        <v>353</v>
      </c>
      <c r="V353" s="1421"/>
    </row>
    <row r="354" spans="1:22" ht="15.75" customHeight="1">
      <c r="A354" s="1380" t="s">
        <v>256</v>
      </c>
      <c r="B354" s="1431"/>
      <c r="C354" s="1444">
        <f>IF(Data!BV354="","",Data!BV354)</f>
        <v>15365.555999999999</v>
      </c>
      <c r="D354" s="1444">
        <f>IF(Data!BW354="","",Data!BW354)</f>
        <v>15365.555999999999</v>
      </c>
      <c r="E354" s="1444">
        <f>IF(Data!BX354="","",Data!BX354)</f>
        <v>15365.555999999999</v>
      </c>
      <c r="F354" s="1444">
        <f>IF(Data!BY354="","",Data!BY354)</f>
        <v>15365.555999999999</v>
      </c>
      <c r="G354" s="1412"/>
      <c r="H354" s="1427"/>
      <c r="I354" s="1427"/>
      <c r="J354" s="1427"/>
      <c r="K354" s="1427"/>
      <c r="L354" s="1412"/>
      <c r="M354" s="1427"/>
      <c r="N354" s="1427"/>
      <c r="O354" s="1427"/>
      <c r="P354" s="1427"/>
      <c r="Q354" s="1464"/>
      <c r="R354" s="1402"/>
      <c r="S354" s="1403"/>
      <c r="T354" s="1403"/>
      <c r="U354" s="1394">
        <v>354</v>
      </c>
      <c r="V354" s="1421"/>
    </row>
    <row r="355" spans="1:22" ht="15.75" customHeight="1">
      <c r="A355" s="1382" t="s">
        <v>257</v>
      </c>
      <c r="B355" s="1431"/>
      <c r="C355" s="1444" t="str">
        <f>IF(Data!BV355="","",Data!BV355)</f>
        <v/>
      </c>
      <c r="D355" s="1444" t="str">
        <f>IF(Data!BW355="","",Data!BW355)</f>
        <v/>
      </c>
      <c r="E355" s="1444" t="str">
        <f>IF(Data!BX355="","",Data!BX355)</f>
        <v/>
      </c>
      <c r="F355" s="1444" t="str">
        <f>IF(Data!BY355="","",Data!BY355)</f>
        <v/>
      </c>
      <c r="G355" s="1431"/>
      <c r="H355" s="1497" t="str">
        <f>IF(SUM(C355)&gt;0,(C353-H358-SUM(C358)*(H358=""))*'Exp factors'!C$23,"")</f>
        <v/>
      </c>
      <c r="I355" s="1497" t="str">
        <f>IF(SUM(D355)&gt;0,(D353-I358-SUM(D358)*(I358=""))*'Exp factors'!D$23,"")</f>
        <v/>
      </c>
      <c r="J355" s="1497" t="str">
        <f>IF(SUM(E355)&gt;0,(E353-J358-SUM(E358)*(J358=""))*'Exp factors'!E$23,"")</f>
        <v/>
      </c>
      <c r="K355" s="1497" t="str">
        <f>IF(SUM(F355)&gt;0,(F353-K358-SUM(F358)*(K358=""))*'Exp factors'!F$23,"")</f>
        <v/>
      </c>
      <c r="L355" s="1431"/>
      <c r="M355" s="1427"/>
      <c r="N355" s="1427"/>
      <c r="O355" s="1427"/>
      <c r="P355" s="1427"/>
      <c r="Q355" s="1464"/>
      <c r="R355" s="1402"/>
      <c r="S355" s="1403"/>
      <c r="T355" s="1403"/>
      <c r="U355" s="1394">
        <v>355</v>
      </c>
      <c r="V355" s="1421"/>
    </row>
    <row r="356" spans="1:22" ht="15.75" customHeight="1">
      <c r="A356" s="1428" t="s">
        <v>181</v>
      </c>
      <c r="B356" s="1431"/>
      <c r="C356" s="1444" t="str">
        <f>IF(Data!BV356="","",Data!BV356)</f>
        <v/>
      </c>
      <c r="D356" s="1444" t="str">
        <f>IF(Data!BW356="","",Data!BW356)</f>
        <v/>
      </c>
      <c r="E356" s="1444" t="str">
        <f>IF(Data!BX356="","",Data!BX356)</f>
        <v/>
      </c>
      <c r="F356" s="1444" t="str">
        <f>IF(Data!BY356="","",Data!BY356)</f>
        <v/>
      </c>
      <c r="G356" s="1433"/>
      <c r="H356" s="1427"/>
      <c r="I356" s="1427"/>
      <c r="J356" s="1427"/>
      <c r="K356" s="1427"/>
      <c r="L356" s="1433"/>
      <c r="M356" s="1427"/>
      <c r="N356" s="1427"/>
      <c r="O356" s="1427"/>
      <c r="P356" s="1427"/>
      <c r="Q356" s="1464"/>
      <c r="R356" s="1445"/>
      <c r="S356" s="1446"/>
      <c r="T356" s="1446"/>
      <c r="U356" s="1394">
        <v>356</v>
      </c>
      <c r="V356" s="1421"/>
    </row>
    <row r="357" spans="1:22" ht="15.75" customHeight="1">
      <c r="A357" s="1428" t="s">
        <v>183</v>
      </c>
      <c r="B357" s="1455"/>
      <c r="C357" s="1454" t="str">
        <f>IF(SUM(C355)=0,"",C355*C356)</f>
        <v/>
      </c>
      <c r="D357" s="1454" t="str">
        <f>IF(SUM(D355)=0,"",D355*D356)</f>
        <v/>
      </c>
      <c r="E357" s="1454" t="str">
        <f>IF(SUM(E355)=0,"",E355*E356)</f>
        <v/>
      </c>
      <c r="F357" s="1454" t="str">
        <f>IF(SUM(F355)=0,"",F355*F356)</f>
        <v/>
      </c>
      <c r="G357" s="1433"/>
      <c r="H357" s="1463" t="str">
        <f>IF(H355="","",H355*C356)</f>
        <v/>
      </c>
      <c r="I357" s="1463" t="str">
        <f>IF(I355="","",I355*D356)</f>
        <v/>
      </c>
      <c r="J357" s="1463" t="str">
        <f>IF(J355="","",J355*E356)</f>
        <v/>
      </c>
      <c r="K357" s="1463" t="str">
        <f>IF(K355="","",K355*F356)</f>
        <v/>
      </c>
      <c r="L357" s="1433"/>
      <c r="M357" s="1454" t="str">
        <f>IF(H357="","",SUM(H357)-SUM(C357))</f>
        <v/>
      </c>
      <c r="N357" s="1454" t="str">
        <f>IF(I357="","",SUM(I357)-SUM(D357))</f>
        <v/>
      </c>
      <c r="O357" s="1454" t="str">
        <f>IF(J357="","",SUM(J357)-SUM(E357))</f>
        <v/>
      </c>
      <c r="P357" s="1454" t="str">
        <f>IF(K357="","",SUM(K357)-SUM(F357))</f>
        <v/>
      </c>
      <c r="Q357" s="1464"/>
      <c r="R357" s="1402"/>
      <c r="S357" s="1403"/>
      <c r="T357" s="1403"/>
      <c r="U357" s="1394">
        <v>357</v>
      </c>
      <c r="V357" s="1421"/>
    </row>
    <row r="358" spans="1:22" ht="15.75" customHeight="1">
      <c r="A358" s="1428" t="s">
        <v>258</v>
      </c>
      <c r="B358" s="1431"/>
      <c r="C358" s="1444" t="str">
        <f>IF(Data!BV358="","",Data!BV358)</f>
        <v/>
      </c>
      <c r="D358" s="1444" t="str">
        <f>IF(Data!BW358="","",Data!BW358)</f>
        <v/>
      </c>
      <c r="E358" s="1444" t="str">
        <f>IF(Data!BX358="","",Data!BX358)</f>
        <v/>
      </c>
      <c r="F358" s="1444" t="str">
        <f>IF(Data!BY358="","",Data!BY358)</f>
        <v/>
      </c>
      <c r="G358" s="1433"/>
      <c r="H358" s="1492"/>
      <c r="I358" s="1492"/>
      <c r="J358" s="1492"/>
      <c r="K358" s="1492"/>
      <c r="L358" s="1433"/>
      <c r="M358" s="1427"/>
      <c r="N358" s="1427"/>
      <c r="O358" s="1427"/>
      <c r="P358" s="1427"/>
      <c r="Q358" s="1464"/>
      <c r="R358" s="1402"/>
      <c r="S358" s="1403"/>
      <c r="T358" s="1403"/>
      <c r="U358" s="1394">
        <v>358</v>
      </c>
      <c r="V358" s="1421"/>
    </row>
    <row r="359" spans="1:22" ht="15.75" customHeight="1">
      <c r="A359" s="1429" t="s">
        <v>252</v>
      </c>
      <c r="B359" s="1431"/>
      <c r="C359" s="1483" t="str">
        <f>IF(C353="","",(C353-SUM(C355)-SUM(C358))*C354/C$46/365/$P$1)</f>
        <v/>
      </c>
      <c r="D359" s="1483" t="str">
        <f>IF(D353="","",(D353-SUM(D355)-SUM(D358))*D354/D$46/365/$P$1)</f>
        <v/>
      </c>
      <c r="E359" s="1483" t="str">
        <f>IF(E353="","",(E353-SUM(E355)-SUM(E358))*E354/E$46/365/$P$1)</f>
        <v/>
      </c>
      <c r="F359" s="1483" t="str">
        <f>IF(F353="","",(F353-SUM(F355)-SUM(F358))*F354/F$46/365/$P$1)</f>
        <v/>
      </c>
      <c r="G359" s="1443"/>
      <c r="H359" s="1354" t="str">
        <f>IF(H355="","",(C353-H355-H358-SUM(C358)*(H358=""))*C354/H$46/365/$P$1)</f>
        <v/>
      </c>
      <c r="I359" s="1354" t="str">
        <f>IF(I355="","",(D353-I355-I358-SUM(D358)*(I358=""))*D354/I$46/365/$P$1)</f>
        <v/>
      </c>
      <c r="J359" s="1354" t="str">
        <f>IF(J355="","",(E353-J355-J358-SUM(E358)*(J358=""))*E354/J$46/365/$P$1)</f>
        <v/>
      </c>
      <c r="K359" s="1354" t="str">
        <f>IF(K355="","",(F353-K355-K358-SUM(F358)*(K358=""))*F354/K$46/365/$P$1)</f>
        <v/>
      </c>
      <c r="L359" s="1443"/>
      <c r="M359" s="1484" t="str">
        <f>IF(H359="","",SUM(H359)-SUM(C359))</f>
        <v/>
      </c>
      <c r="N359" s="1484" t="str">
        <f>IF(I359="","",SUM(I359)-SUM(D359))</f>
        <v/>
      </c>
      <c r="O359" s="1484" t="str">
        <f>IF(J359="","",SUM(J359)-SUM(E359))</f>
        <v/>
      </c>
      <c r="P359" s="1484" t="str">
        <f>IF(K359="","",SUM(K359)-SUM(F359))</f>
        <v/>
      </c>
      <c r="Q359" s="1464"/>
      <c r="R359" s="1392"/>
      <c r="S359" s="1393"/>
      <c r="T359" s="1393"/>
      <c r="U359" s="1394">
        <v>359</v>
      </c>
      <c r="V359" s="1421"/>
    </row>
    <row r="360" spans="1:22" s="1510" customFormat="1" ht="15.75" customHeight="1">
      <c r="A360" s="1500" t="str">
        <f>IF(Data!A360="","",Data!A360)</f>
        <v>Irish potato: type</v>
      </c>
      <c r="B360" s="1431"/>
      <c r="C360" s="1444" t="str">
        <f>IF(Data!BV360="","",Data!BV360)</f>
        <v/>
      </c>
      <c r="D360" s="1444" t="str">
        <f>IF(Data!BW360="","",Data!BW360)</f>
        <v/>
      </c>
      <c r="E360" s="1444" t="str">
        <f>IF(Data!BX360="","",Data!BX360)</f>
        <v/>
      </c>
      <c r="F360" s="1444" t="str">
        <f>IF(Data!BY360="","",Data!BY360)</f>
        <v/>
      </c>
      <c r="G360" s="1431"/>
      <c r="H360" s="1427"/>
      <c r="I360" s="1427"/>
      <c r="J360" s="1427"/>
      <c r="K360" s="1427"/>
      <c r="L360" s="1431"/>
      <c r="M360" s="1427"/>
      <c r="N360" s="1427"/>
      <c r="O360" s="1427"/>
      <c r="P360" s="1427"/>
      <c r="Q360" s="1464"/>
      <c r="R360" s="1378"/>
      <c r="S360" s="1378"/>
      <c r="T360" s="1378"/>
      <c r="U360" s="1394">
        <v>360</v>
      </c>
      <c r="V360" s="1509"/>
    </row>
    <row r="361" spans="1:22" s="1510" customFormat="1" ht="15.75" customHeight="1">
      <c r="A361" s="1518" t="s">
        <v>270</v>
      </c>
      <c r="B361" s="1431"/>
      <c r="C361" s="1444">
        <f>IF(Data!BV361="","",Data!BV361)</f>
        <v>1</v>
      </c>
      <c r="D361" s="1444">
        <f>IF(Data!BW361="","",Data!BW361)</f>
        <v>2</v>
      </c>
      <c r="E361" s="1444">
        <f>IF(Data!BX361="","",Data!BX361)</f>
        <v>8</v>
      </c>
      <c r="F361" s="1444">
        <f>IF(Data!BY361="","",Data!BY361)</f>
        <v>3</v>
      </c>
      <c r="G361" s="1493"/>
      <c r="H361" s="1427"/>
      <c r="I361" s="1427"/>
      <c r="J361" s="1427"/>
      <c r="K361" s="1427"/>
      <c r="L361" s="1493"/>
      <c r="M361" s="1477"/>
      <c r="N361" s="1477"/>
      <c r="O361" s="1477"/>
      <c r="P361" s="1477"/>
      <c r="Q361" s="1464"/>
      <c r="R361" s="1402"/>
      <c r="S361" s="1403"/>
      <c r="T361" s="1403"/>
      <c r="U361" s="1394">
        <v>361</v>
      </c>
      <c r="V361" s="1509"/>
    </row>
    <row r="362" spans="1:22" ht="15.75" customHeight="1">
      <c r="A362" s="1382" t="s">
        <v>265</v>
      </c>
      <c r="B362" s="1431"/>
      <c r="C362" s="1444" t="str">
        <f>IF(Data!BV362="","",Data!BV362)</f>
        <v>kg</v>
      </c>
      <c r="D362" s="1444" t="str">
        <f>IF(Data!BW362="","",Data!BW362)</f>
        <v>kg</v>
      </c>
      <c r="E362" s="1444" t="str">
        <f>IF(Data!BX362="","",Data!BX362)</f>
        <v>kg</v>
      </c>
      <c r="F362" s="1444" t="str">
        <f>IF(Data!BY362="","",Data!BY362)</f>
        <v>kg</v>
      </c>
      <c r="G362" s="1493"/>
      <c r="H362" s="1427"/>
      <c r="I362" s="1427"/>
      <c r="J362" s="1427"/>
      <c r="K362" s="1427"/>
      <c r="L362" s="1493"/>
      <c r="M362" s="1477"/>
      <c r="N362" s="1477"/>
      <c r="O362" s="1477"/>
      <c r="P362" s="1477"/>
      <c r="Q362" s="1464"/>
      <c r="R362" s="1378"/>
      <c r="S362" s="1378"/>
      <c r="T362" s="1378"/>
      <c r="U362" s="1394">
        <v>362</v>
      </c>
      <c r="V362" s="1421"/>
    </row>
    <row r="363" spans="1:22" ht="15.75" customHeight="1">
      <c r="A363" s="1380" t="s">
        <v>266</v>
      </c>
      <c r="B363" s="1455"/>
      <c r="C363" s="1444">
        <f>IF(Data!BV363="","",Data!BV363)</f>
        <v>50</v>
      </c>
      <c r="D363" s="1444">
        <f>IF(Data!BW363="","",Data!BW363)</f>
        <v>50</v>
      </c>
      <c r="E363" s="1444">
        <f>IF(Data!BX363="","",Data!BX363)</f>
        <v>50</v>
      </c>
      <c r="F363" s="1444">
        <f>IF(Data!BY363="","",Data!BY363)</f>
        <v>50</v>
      </c>
      <c r="G363" s="1493"/>
      <c r="H363" s="1427"/>
      <c r="I363" s="1427"/>
      <c r="J363" s="1427"/>
      <c r="K363" s="1427"/>
      <c r="L363" s="1493"/>
      <c r="M363" s="1477"/>
      <c r="N363" s="1477"/>
      <c r="O363" s="1477"/>
      <c r="P363" s="1477"/>
      <c r="Q363" s="1464"/>
      <c r="R363" s="1402"/>
      <c r="S363" s="1403"/>
      <c r="T363" s="1403"/>
      <c r="U363" s="1394">
        <v>363</v>
      </c>
      <c r="V363" s="1421"/>
    </row>
    <row r="364" spans="1:22" ht="15.75" customHeight="1">
      <c r="A364" s="1380" t="s">
        <v>267</v>
      </c>
      <c r="B364" s="1433"/>
      <c r="C364" s="1479">
        <f>IF(C361="","",C361*C363)</f>
        <v>50</v>
      </c>
      <c r="D364" s="1479">
        <f>IF(D361="","",D361*D363)</f>
        <v>100</v>
      </c>
      <c r="E364" s="1479">
        <f>IF(E361="","",E361*E363)</f>
        <v>400</v>
      </c>
      <c r="F364" s="1479">
        <f>IF(F361="","",F361*F363)</f>
        <v>150</v>
      </c>
      <c r="G364" s="1412"/>
      <c r="H364" s="1427"/>
      <c r="I364" s="1427"/>
      <c r="J364" s="1427"/>
      <c r="K364" s="1427"/>
      <c r="L364" s="1412"/>
      <c r="M364" s="1427"/>
      <c r="N364" s="1427"/>
      <c r="O364" s="1427"/>
      <c r="P364" s="1427"/>
      <c r="Q364" s="1464"/>
      <c r="R364" s="1402"/>
      <c r="S364" s="1403"/>
      <c r="T364" s="1403"/>
      <c r="U364" s="1394">
        <v>364</v>
      </c>
      <c r="V364" s="1421"/>
    </row>
    <row r="365" spans="1:22" ht="15.75" customHeight="1">
      <c r="A365" s="1380" t="s">
        <v>256</v>
      </c>
      <c r="B365" s="1431"/>
      <c r="C365" s="1444">
        <f>IF(Data!BV365="","",Data!BV365)</f>
        <v>3140</v>
      </c>
      <c r="D365" s="1444">
        <f>IF(Data!BW365="","",Data!BW365)</f>
        <v>3140</v>
      </c>
      <c r="E365" s="1444">
        <f>IF(Data!BX365="","",Data!BX365)</f>
        <v>3140</v>
      </c>
      <c r="F365" s="1444">
        <f>IF(Data!BY365="","",Data!BY365)</f>
        <v>3140</v>
      </c>
      <c r="G365" s="1412"/>
      <c r="H365" s="1427"/>
      <c r="I365" s="1427"/>
      <c r="J365" s="1427"/>
      <c r="K365" s="1427"/>
      <c r="L365" s="1412"/>
      <c r="M365" s="1427"/>
      <c r="N365" s="1427"/>
      <c r="O365" s="1427"/>
      <c r="P365" s="1427"/>
      <c r="Q365" s="1464"/>
      <c r="R365" s="1402"/>
      <c r="S365" s="1403"/>
      <c r="T365" s="1403"/>
      <c r="U365" s="1394">
        <v>365</v>
      </c>
      <c r="V365" s="1421"/>
    </row>
    <row r="366" spans="1:22" ht="15.75" customHeight="1">
      <c r="A366" s="1382" t="s">
        <v>257</v>
      </c>
      <c r="B366" s="1516"/>
      <c r="C366" s="1444">
        <f>IF(Data!BV366="","",Data!BV366)</f>
        <v>0</v>
      </c>
      <c r="D366" s="1444">
        <f>IF(Data!BW366="","",Data!BW366)</f>
        <v>18</v>
      </c>
      <c r="E366" s="1444">
        <f>IF(Data!BX366="","",Data!BX366)</f>
        <v>193</v>
      </c>
      <c r="F366" s="1444">
        <f>IF(Data!BY366="","",Data!BY366)</f>
        <v>70</v>
      </c>
      <c r="G366" s="1431"/>
      <c r="H366" s="1497" t="str">
        <f>IF(SUM(C366)&gt;0,(C364-H369-SUM(C369)*(H369=""))*'Exp factors'!C$23,"")</f>
        <v/>
      </c>
      <c r="I366" s="1497">
        <f>IF(SUM(D366)&gt;0,(D364-I369-SUM(D369)*(I369=""))*'Exp factors'!D$23,"")</f>
        <v>0</v>
      </c>
      <c r="J366" s="1497">
        <f>IF(SUM(E366)&gt;0,(E364-J369-SUM(E369)*(J369=""))*'Exp factors'!E$23,"")</f>
        <v>0</v>
      </c>
      <c r="K366" s="1497">
        <f>IF(SUM(F366)&gt;0,(F364-K369-SUM(F369)*(K369=""))*'Exp factors'!F$23,"")</f>
        <v>0</v>
      </c>
      <c r="L366" s="1431"/>
      <c r="M366" s="1427"/>
      <c r="N366" s="1427"/>
      <c r="O366" s="1427"/>
      <c r="P366" s="1427"/>
      <c r="Q366" s="1464"/>
      <c r="R366" s="1402"/>
      <c r="S366" s="1403"/>
      <c r="T366" s="1403"/>
      <c r="U366" s="1394">
        <v>366</v>
      </c>
      <c r="V366" s="1421"/>
    </row>
    <row r="367" spans="1:22" ht="15.75" customHeight="1">
      <c r="A367" s="1428" t="s">
        <v>181</v>
      </c>
      <c r="B367" s="1433"/>
      <c r="C367" s="1444" t="str">
        <f>IF(Data!BV367="","",Data!BV367)</f>
        <v/>
      </c>
      <c r="D367" s="1444">
        <f>IF(Data!BW367="","",Data!BW367)</f>
        <v>2</v>
      </c>
      <c r="E367" s="1444">
        <f>IF(Data!BX367="","",Data!BX367)</f>
        <v>4</v>
      </c>
      <c r="F367" s="1444">
        <f>IF(Data!BY367="","",Data!BY367)</f>
        <v>4</v>
      </c>
      <c r="G367" s="1433"/>
      <c r="H367" s="1427"/>
      <c r="I367" s="1427"/>
      <c r="J367" s="1427"/>
      <c r="K367" s="1427"/>
      <c r="L367" s="1433"/>
      <c r="M367" s="1427"/>
      <c r="N367" s="1427"/>
      <c r="O367" s="1427"/>
      <c r="P367" s="1427"/>
      <c r="Q367" s="1464"/>
      <c r="R367" s="1445"/>
      <c r="S367" s="1446"/>
      <c r="T367" s="1446"/>
      <c r="U367" s="1394">
        <v>367</v>
      </c>
      <c r="V367" s="1421"/>
    </row>
    <row r="368" spans="1:22" ht="15.75" customHeight="1">
      <c r="A368" s="1428" t="s">
        <v>183</v>
      </c>
      <c r="B368" s="1433"/>
      <c r="C368" s="1454" t="str">
        <f>IF(SUM(C366)=0,"",C366*C367)</f>
        <v/>
      </c>
      <c r="D368" s="1454">
        <f>IF(SUM(D366)=0,"",D366*D367)</f>
        <v>36</v>
      </c>
      <c r="E368" s="1454">
        <f>IF(SUM(E366)=0,"",E366*E367)</f>
        <v>772</v>
      </c>
      <c r="F368" s="1454">
        <f>IF(SUM(F366)=0,"",F366*F367)</f>
        <v>280</v>
      </c>
      <c r="G368" s="1433"/>
      <c r="H368" s="1463" t="str">
        <f>IF(H366="","",H366*C367)</f>
        <v/>
      </c>
      <c r="I368" s="1463">
        <f>IF(I366="","",I366*D367)</f>
        <v>0</v>
      </c>
      <c r="J368" s="1463">
        <f>IF(J366="","",J366*E367)</f>
        <v>0</v>
      </c>
      <c r="K368" s="1463">
        <f>IF(K366="","",K366*F367)</f>
        <v>0</v>
      </c>
      <c r="L368" s="1433"/>
      <c r="M368" s="1454" t="str">
        <f>IF(H368="","",SUM(H368)-SUM(C368))</f>
        <v/>
      </c>
      <c r="N368" s="1454">
        <f>IF(I368="","",SUM(I368)-SUM(D368))</f>
        <v>-36</v>
      </c>
      <c r="O368" s="1454">
        <f>IF(J368="","",SUM(J368)-SUM(E368))</f>
        <v>-772</v>
      </c>
      <c r="P368" s="1454">
        <f>IF(K368="","",SUM(K368)-SUM(F368))</f>
        <v>-280</v>
      </c>
      <c r="Q368" s="1464"/>
      <c r="R368" s="1402"/>
      <c r="S368" s="1403"/>
      <c r="T368" s="1403"/>
      <c r="U368" s="1394">
        <v>368</v>
      </c>
      <c r="V368" s="1421"/>
    </row>
    <row r="369" spans="1:22" s="1510" customFormat="1" ht="15.75" customHeight="1">
      <c r="A369" s="1428" t="s">
        <v>258</v>
      </c>
      <c r="B369" s="1433"/>
      <c r="C369" s="1444" t="str">
        <f>IF(Data!BV369="","",Data!BV369)</f>
        <v/>
      </c>
      <c r="D369" s="1444">
        <f>IF(Data!BW369="","",Data!BW369)</f>
        <v>14</v>
      </c>
      <c r="E369" s="1444">
        <f>IF(Data!BX369="","",Data!BX369)</f>
        <v>6</v>
      </c>
      <c r="F369" s="1444">
        <f>IF(Data!BY369="","",Data!BY369)</f>
        <v>15</v>
      </c>
      <c r="G369" s="1433"/>
      <c r="H369" s="1492"/>
      <c r="I369" s="1492"/>
      <c r="J369" s="1492"/>
      <c r="K369" s="1492"/>
      <c r="L369" s="1433"/>
      <c r="M369" s="1427"/>
      <c r="N369" s="1427"/>
      <c r="O369" s="1427"/>
      <c r="P369" s="1427"/>
      <c r="Q369" s="1464"/>
      <c r="R369" s="1402"/>
      <c r="S369" s="1403"/>
      <c r="T369" s="1403"/>
      <c r="U369" s="1394">
        <v>369</v>
      </c>
      <c r="V369" s="1509"/>
    </row>
    <row r="370" spans="1:22" s="1510" customFormat="1" ht="15.75" customHeight="1">
      <c r="A370" s="1429" t="s">
        <v>252</v>
      </c>
      <c r="B370" s="1433"/>
      <c r="C370" s="1483">
        <f>IF(C364="","",(C364-SUM(C366)-SUM(C369))*C365/C$46/365/$P$1)</f>
        <v>6.1099003735990039E-3</v>
      </c>
      <c r="D370" s="1483">
        <f>IF(D364="","",(D364-SUM(D366)-SUM(D369))*D365/D$46/365/$P$1)</f>
        <v>8.3094645080946453E-3</v>
      </c>
      <c r="E370" s="1483">
        <f>IF(E364="","",(E364-SUM(E366)-SUM(E369))*E365/E$46/365/$P$1)</f>
        <v>2.4561799501867997E-2</v>
      </c>
      <c r="F370" s="1483">
        <f>IF(F364="","",(F364-SUM(F366)-SUM(F369))*F365/F$46/365/$P$1)</f>
        <v>7.0603293206032928E-3</v>
      </c>
      <c r="G370" s="1443"/>
      <c r="H370" s="1354" t="str">
        <f>IF(H366="","",(C364-H366-H369-SUM(C369)*(H369=""))*C365/H$46/365/$P$1)</f>
        <v/>
      </c>
      <c r="I370" s="1354">
        <f>IF(I366="","",(D364-I366-I369-SUM(D369)*(I369=""))*D365/I$46/365/$P$1)</f>
        <v>1.0509028642590287E-2</v>
      </c>
      <c r="J370" s="1354">
        <f>IF(J366="","",(E364-J366-J369-SUM(E369)*(J369=""))*E365/J$46/365/$P$1)</f>
        <v>4.8146014943960147E-2</v>
      </c>
      <c r="K370" s="1354">
        <f>IF(K366="","",(F364-K366-K369-SUM(F369)*(K369=""))*F365/K$46/365/$P$1)</f>
        <v>1.4663760896637609E-2</v>
      </c>
      <c r="L370" s="1443"/>
      <c r="M370" s="1484" t="str">
        <f>IF(H370="","",SUM(H370)-SUM(C370))</f>
        <v/>
      </c>
      <c r="N370" s="1484">
        <f>IF(I370="","",SUM(I370)-SUM(D370))</f>
        <v>2.1995641344956414E-3</v>
      </c>
      <c r="O370" s="1484">
        <f>IF(J370="","",SUM(J370)-SUM(E370))</f>
        <v>2.358421544209215E-2</v>
      </c>
      <c r="P370" s="1484">
        <f>IF(K370="","",SUM(K370)-SUM(F370))</f>
        <v>7.6034315760343165E-3</v>
      </c>
      <c r="Q370" s="1464"/>
      <c r="R370" s="1392"/>
      <c r="S370" s="1393"/>
      <c r="T370" s="1393"/>
      <c r="U370" s="1394">
        <v>370</v>
      </c>
      <c r="V370" s="1509"/>
    </row>
    <row r="371" spans="1:22" s="1510" customFormat="1" ht="15.75" customHeight="1">
      <c r="A371" s="1500" t="str">
        <f>IF(Data!A371="","",Data!A371)</f>
        <v>Jugo beans:</v>
      </c>
      <c r="B371" s="1431"/>
      <c r="C371" s="1444" t="str">
        <f>IF(Data!BV371="","",Data!BV371)</f>
        <v/>
      </c>
      <c r="D371" s="1444" t="str">
        <f>IF(Data!BW371="","",Data!BW371)</f>
        <v/>
      </c>
      <c r="E371" s="1444" t="str">
        <f>IF(Data!BX371="","",Data!BX371)</f>
        <v/>
      </c>
      <c r="F371" s="1444" t="str">
        <f>IF(Data!BY371="","",Data!BY371)</f>
        <v/>
      </c>
      <c r="G371" s="1431"/>
      <c r="H371" s="1427"/>
      <c r="I371" s="1427"/>
      <c r="J371" s="1427"/>
      <c r="K371" s="1427"/>
      <c r="L371" s="1431"/>
      <c r="M371" s="1427"/>
      <c r="N371" s="1427"/>
      <c r="O371" s="1427"/>
      <c r="P371" s="1427"/>
      <c r="Q371" s="1464"/>
      <c r="R371" s="1378"/>
      <c r="S371" s="1378"/>
      <c r="T371" s="1378"/>
      <c r="U371" s="1394">
        <v>371</v>
      </c>
      <c r="V371" s="1509"/>
    </row>
    <row r="372" spans="1:22" s="1510" customFormat="1" ht="15.75" customHeight="1">
      <c r="A372" s="1518" t="s">
        <v>270</v>
      </c>
      <c r="B372" s="1461"/>
      <c r="C372" s="1444">
        <f>IF(Data!BV372="","",Data!BV372)</f>
        <v>0</v>
      </c>
      <c r="D372" s="1444" t="str">
        <f>IF(Data!BW372="","",Data!BW372)</f>
        <v/>
      </c>
      <c r="E372" s="1444">
        <f>IF(Data!BX372="","",Data!BX372)</f>
        <v>0</v>
      </c>
      <c r="F372" s="1444">
        <f>IF(Data!BY372="","",Data!BY372)</f>
        <v>0</v>
      </c>
      <c r="G372" s="1493"/>
      <c r="H372" s="1427"/>
      <c r="I372" s="1427"/>
      <c r="J372" s="1427"/>
      <c r="K372" s="1427"/>
      <c r="L372" s="1493"/>
      <c r="M372" s="1477"/>
      <c r="N372" s="1477"/>
      <c r="O372" s="1477"/>
      <c r="P372" s="1477"/>
      <c r="Q372" s="1464"/>
      <c r="R372" s="1402"/>
      <c r="S372" s="1403"/>
      <c r="T372" s="1403"/>
      <c r="U372" s="1394">
        <v>372</v>
      </c>
      <c r="V372" s="1509"/>
    </row>
    <row r="373" spans="1:22" ht="15.75" customHeight="1">
      <c r="A373" s="1382" t="s">
        <v>265</v>
      </c>
      <c r="B373" s="1461"/>
      <c r="C373" s="1444" t="str">
        <f>IF(Data!BV373="","",Data!BV373)</f>
        <v>kg</v>
      </c>
      <c r="D373" s="1444" t="str">
        <f>IF(Data!BW373="","",Data!BW373)</f>
        <v>kg</v>
      </c>
      <c r="E373" s="1444" t="str">
        <f>IF(Data!BX373="","",Data!BX373)</f>
        <v>kg</v>
      </c>
      <c r="F373" s="1444" t="str">
        <f>IF(Data!BY373="","",Data!BY373)</f>
        <v>kg</v>
      </c>
      <c r="G373" s="1493"/>
      <c r="H373" s="1427"/>
      <c r="I373" s="1427"/>
      <c r="J373" s="1427"/>
      <c r="K373" s="1427"/>
      <c r="L373" s="1493"/>
      <c r="M373" s="1477"/>
      <c r="N373" s="1477"/>
      <c r="O373" s="1477"/>
      <c r="P373" s="1477"/>
      <c r="Q373" s="1464"/>
      <c r="R373" s="1378"/>
      <c r="S373" s="1378"/>
      <c r="T373" s="1378"/>
      <c r="U373" s="1394">
        <v>373</v>
      </c>
      <c r="V373" s="1421"/>
    </row>
    <row r="374" spans="1:22" ht="15.75" customHeight="1">
      <c r="A374" s="1380" t="s">
        <v>266</v>
      </c>
      <c r="B374" s="1443"/>
      <c r="C374" s="1444">
        <f>IF(Data!BV374="","",Data!BV374)</f>
        <v>50</v>
      </c>
      <c r="D374" s="1444">
        <f>IF(Data!BW374="","",Data!BW374)</f>
        <v>50</v>
      </c>
      <c r="E374" s="1444">
        <f>IF(Data!BX374="","",Data!BX374)</f>
        <v>50</v>
      </c>
      <c r="F374" s="1444">
        <f>IF(Data!BY374="","",Data!BY374)</f>
        <v>50</v>
      </c>
      <c r="G374" s="1493"/>
      <c r="H374" s="1427"/>
      <c r="I374" s="1427"/>
      <c r="J374" s="1427"/>
      <c r="K374" s="1427"/>
      <c r="L374" s="1493"/>
      <c r="M374" s="1477"/>
      <c r="N374" s="1477"/>
      <c r="O374" s="1477"/>
      <c r="P374" s="1477"/>
      <c r="Q374" s="1464"/>
      <c r="R374" s="1402"/>
      <c r="S374" s="1403"/>
      <c r="T374" s="1403"/>
      <c r="U374" s="1394">
        <v>374</v>
      </c>
      <c r="V374" s="1421"/>
    </row>
    <row r="375" spans="1:22" ht="15.75" customHeight="1">
      <c r="A375" s="1380" t="s">
        <v>267</v>
      </c>
      <c r="B375" s="1459"/>
      <c r="C375" s="1479">
        <f>IF(C372="","",C372*C374)</f>
        <v>0</v>
      </c>
      <c r="D375" s="1479" t="str">
        <f>IF(D372="","",D372*D374)</f>
        <v/>
      </c>
      <c r="E375" s="1479">
        <f>IF(E372="","",E372*E374)</f>
        <v>0</v>
      </c>
      <c r="F375" s="1479">
        <f>IF(F372="","",F372*F374)</f>
        <v>0</v>
      </c>
      <c r="G375" s="1412"/>
      <c r="H375" s="1427"/>
      <c r="I375" s="1427"/>
      <c r="J375" s="1427"/>
      <c r="K375" s="1427"/>
      <c r="L375" s="1412"/>
      <c r="M375" s="1427"/>
      <c r="N375" s="1427"/>
      <c r="O375" s="1427"/>
      <c r="P375" s="1427"/>
      <c r="Q375" s="1464"/>
      <c r="R375" s="1402"/>
      <c r="S375" s="1403"/>
      <c r="T375" s="1403"/>
      <c r="U375" s="1394">
        <v>375</v>
      </c>
      <c r="V375" s="1421"/>
    </row>
    <row r="376" spans="1:22" ht="15.75" customHeight="1">
      <c r="A376" s="1380" t="s">
        <v>256</v>
      </c>
      <c r="B376" s="1461"/>
      <c r="C376" s="1444">
        <f>IF(Data!BV376="","",Data!BV376)</f>
        <v>14190</v>
      </c>
      <c r="D376" s="1444">
        <f>IF(Data!BW376="","",Data!BW376)</f>
        <v>14190</v>
      </c>
      <c r="E376" s="1444">
        <f>IF(Data!BX376="","",Data!BX376)</f>
        <v>14190</v>
      </c>
      <c r="F376" s="1444">
        <f>IF(Data!BY376="","",Data!BY376)</f>
        <v>14190</v>
      </c>
      <c r="G376" s="1412"/>
      <c r="H376" s="1427"/>
      <c r="I376" s="1427"/>
      <c r="J376" s="1427"/>
      <c r="K376" s="1427"/>
      <c r="L376" s="1412"/>
      <c r="M376" s="1427"/>
      <c r="N376" s="1427"/>
      <c r="O376" s="1427"/>
      <c r="P376" s="1427"/>
      <c r="Q376" s="1464"/>
      <c r="R376" s="1402"/>
      <c r="S376" s="1403"/>
      <c r="T376" s="1403"/>
      <c r="U376" s="1394">
        <v>376</v>
      </c>
      <c r="V376" s="1421"/>
    </row>
    <row r="377" spans="1:22" ht="15.75" customHeight="1">
      <c r="A377" s="1382" t="s">
        <v>257</v>
      </c>
      <c r="B377" s="1461"/>
      <c r="C377" s="1444" t="str">
        <f>IF(Data!BV377="","",Data!BV377)</f>
        <v/>
      </c>
      <c r="D377" s="1444" t="str">
        <f>IF(Data!BW377="","",Data!BW377)</f>
        <v/>
      </c>
      <c r="E377" s="1444">
        <f>IF(Data!BX377="","",Data!BX377)</f>
        <v>0</v>
      </c>
      <c r="F377" s="1444" t="str">
        <f>IF(Data!BY377="","",Data!BY377)</f>
        <v/>
      </c>
      <c r="G377" s="1431"/>
      <c r="H377" s="1497" t="str">
        <f>IF(SUM(C377)&gt;0,(C375-H380-SUM(C380)*(H380=""))*'Exp factors'!C$23,"")</f>
        <v/>
      </c>
      <c r="I377" s="1497" t="str">
        <f>IF(SUM(D377)&gt;0,(D375-I380-SUM(D380)*(I380=""))*'Exp factors'!D$23,"")</f>
        <v/>
      </c>
      <c r="J377" s="1497" t="str">
        <f>IF(SUM(E377)&gt;0,(E375-J380-SUM(E380)*(J380=""))*'Exp factors'!E$23,"")</f>
        <v/>
      </c>
      <c r="K377" s="1497" t="str">
        <f>IF(SUM(F377)&gt;0,(F375-K380-SUM(F380)*(K380=""))*'Exp factors'!F$23,"")</f>
        <v/>
      </c>
      <c r="L377" s="1431"/>
      <c r="M377" s="1427"/>
      <c r="N377" s="1427"/>
      <c r="O377" s="1427"/>
      <c r="P377" s="1427"/>
      <c r="Q377" s="1464"/>
      <c r="R377" s="1402"/>
      <c r="S377" s="1403"/>
      <c r="T377" s="1403"/>
      <c r="U377" s="1394">
        <v>377</v>
      </c>
      <c r="V377" s="1421"/>
    </row>
    <row r="378" spans="1:22" ht="15.75" customHeight="1">
      <c r="A378" s="1428" t="s">
        <v>181</v>
      </c>
      <c r="B378" s="1461"/>
      <c r="C378" s="1444" t="str">
        <f>IF(Data!BV378="","",Data!BV378)</f>
        <v/>
      </c>
      <c r="D378" s="1444" t="str">
        <f>IF(Data!BW378="","",Data!BW378)</f>
        <v/>
      </c>
      <c r="E378" s="1444" t="str">
        <f>IF(Data!BX378="","",Data!BX378)</f>
        <v/>
      </c>
      <c r="F378" s="1444" t="str">
        <f>IF(Data!BY378="","",Data!BY378)</f>
        <v/>
      </c>
      <c r="G378" s="1433"/>
      <c r="H378" s="1427"/>
      <c r="I378" s="1427"/>
      <c r="J378" s="1427"/>
      <c r="K378" s="1427"/>
      <c r="L378" s="1433"/>
      <c r="M378" s="1427"/>
      <c r="N378" s="1427"/>
      <c r="O378" s="1427"/>
      <c r="P378" s="1427"/>
      <c r="Q378" s="1464"/>
      <c r="R378" s="1445"/>
      <c r="S378" s="1446"/>
      <c r="T378" s="1446"/>
      <c r="U378" s="1394">
        <v>378</v>
      </c>
      <c r="V378" s="1421"/>
    </row>
    <row r="379" spans="1:22" ht="15.75" customHeight="1">
      <c r="A379" s="1428" t="s">
        <v>183</v>
      </c>
      <c r="B379" s="1461"/>
      <c r="C379" s="1454" t="str">
        <f>IF(SUM(C377)=0,"",C377*C378)</f>
        <v/>
      </c>
      <c r="D379" s="1454" t="str">
        <f>IF(SUM(D377)=0,"",D377*D378)</f>
        <v/>
      </c>
      <c r="E379" s="1454" t="str">
        <f>IF(SUM(E377)=0,"",E377*E378)</f>
        <v/>
      </c>
      <c r="F379" s="1454" t="str">
        <f>IF(SUM(F377)=0,"",F377*F378)</f>
        <v/>
      </c>
      <c r="G379" s="1433"/>
      <c r="H379" s="1463" t="str">
        <f>IF(H377="","",H377*C378)</f>
        <v/>
      </c>
      <c r="I379" s="1463" t="str">
        <f>IF(I377="","",I377*D378)</f>
        <v/>
      </c>
      <c r="J379" s="1463" t="str">
        <f>IF(J377="","",J377*E378)</f>
        <v/>
      </c>
      <c r="K379" s="1463" t="str">
        <f>IF(K377="","",K377*F378)</f>
        <v/>
      </c>
      <c r="L379" s="1433"/>
      <c r="M379" s="1454" t="str">
        <f>IF(H379="","",SUM(H379)-SUM(C379))</f>
        <v/>
      </c>
      <c r="N379" s="1454" t="str">
        <f>IF(I379="","",SUM(I379)-SUM(D379))</f>
        <v/>
      </c>
      <c r="O379" s="1454" t="str">
        <f>IF(J379="","",SUM(J379)-SUM(E379))</f>
        <v/>
      </c>
      <c r="P379" s="1454" t="str">
        <f>IF(K379="","",SUM(K379)-SUM(F379))</f>
        <v/>
      </c>
      <c r="Q379" s="1464"/>
      <c r="R379" s="1402"/>
      <c r="S379" s="1403"/>
      <c r="T379" s="1403"/>
      <c r="U379" s="1394">
        <v>379</v>
      </c>
      <c r="V379" s="1421"/>
    </row>
    <row r="380" spans="1:22" s="1510" customFormat="1" ht="15.75" customHeight="1">
      <c r="A380" s="1428" t="s">
        <v>258</v>
      </c>
      <c r="B380" s="1461"/>
      <c r="C380" s="1444" t="str">
        <f>IF(Data!BV380="","",Data!BV380)</f>
        <v/>
      </c>
      <c r="D380" s="1444" t="str">
        <f>IF(Data!BW380="","",Data!BW380)</f>
        <v/>
      </c>
      <c r="E380" s="1444" t="str">
        <f>IF(Data!BX380="","",Data!BX380)</f>
        <v/>
      </c>
      <c r="F380" s="1444" t="str">
        <f>IF(Data!BY380="","",Data!BY380)</f>
        <v/>
      </c>
      <c r="G380" s="1433"/>
      <c r="H380" s="1492"/>
      <c r="I380" s="1492"/>
      <c r="J380" s="1492"/>
      <c r="K380" s="1492"/>
      <c r="L380" s="1433"/>
      <c r="M380" s="1427"/>
      <c r="N380" s="1427"/>
      <c r="O380" s="1427"/>
      <c r="P380" s="1427"/>
      <c r="Q380" s="1464"/>
      <c r="R380" s="1402"/>
      <c r="S380" s="1403"/>
      <c r="T380" s="1403"/>
      <c r="U380" s="1394">
        <v>380</v>
      </c>
      <c r="V380" s="1509"/>
    </row>
    <row r="381" spans="1:22" s="1510" customFormat="1" ht="15.75" customHeight="1">
      <c r="A381" s="1429" t="s">
        <v>252</v>
      </c>
      <c r="B381" s="1431"/>
      <c r="C381" s="1483">
        <f>IF(C375="","",(C375-SUM(C377)-SUM(C380))*SUM(C376)/C$46/365/$P$1)</f>
        <v>0</v>
      </c>
      <c r="D381" s="1483" t="str">
        <f>IF(D375="","",(D375-SUM(D377)-SUM(D380))*D376/D$46/365/$P$1)</f>
        <v/>
      </c>
      <c r="E381" s="1483">
        <f>IF(E375="","",(E375-SUM(E377)-SUM(E380))*E376/E$46/365/$P$1)</f>
        <v>0</v>
      </c>
      <c r="F381" s="1483">
        <f>IF(F375="","",(F375-SUM(F377)-SUM(F380))*F376/F$46/365/$P$1)</f>
        <v>0</v>
      </c>
      <c r="G381" s="1443"/>
      <c r="H381" s="1354" t="str">
        <f>IF(H377="","",(C375-H377-H380-SUM(C380)*(H380=""))*C376/H$46/365/$P$1)</f>
        <v/>
      </c>
      <c r="I381" s="1354" t="str">
        <f>IF(I377="","",(D375-I377-I380-SUM(D380)*(I380=""))*D376/I$46/365/$P$1)</f>
        <v/>
      </c>
      <c r="J381" s="1354" t="str">
        <f>IF(J377="","",(E375-J377-J380-SUM(E380)*(J380=""))*E376/J$46/365/$P$1)</f>
        <v/>
      </c>
      <c r="K381" s="1354" t="str">
        <f>IF(K377="","",(F375-K377-K380-SUM(F380)*(K380=""))*F376/K$46/365/$P$1)</f>
        <v/>
      </c>
      <c r="L381" s="1443"/>
      <c r="M381" s="1484" t="str">
        <f>IF(H381="","",SUM(H381)-SUM(C381))</f>
        <v/>
      </c>
      <c r="N381" s="1484" t="str">
        <f>IF(I381="","",SUM(I381)-SUM(D381))</f>
        <v/>
      </c>
      <c r="O381" s="1484" t="str">
        <f>IF(J381="","",SUM(J381)-SUM(E381))</f>
        <v/>
      </c>
      <c r="P381" s="1484" t="str">
        <f>IF(K381="","",SUM(K381)-SUM(F381))</f>
        <v/>
      </c>
      <c r="Q381" s="1464"/>
      <c r="R381" s="1392"/>
      <c r="S381" s="1393"/>
      <c r="T381" s="1393"/>
      <c r="U381" s="1394">
        <v>381</v>
      </c>
      <c r="V381" s="1509"/>
    </row>
    <row r="382" spans="1:22" s="1510" customFormat="1" ht="15.75" customHeight="1">
      <c r="A382" s="1500" t="str">
        <f>IF(Data!A382="","",Data!A382)</f>
        <v>Yam: type</v>
      </c>
      <c r="B382" s="1431"/>
      <c r="C382" s="1444">
        <f>IF(Data!BV382="","",Data!BV382)</f>
        <v>3</v>
      </c>
      <c r="D382" s="1444">
        <f>IF(Data!BW382="","",Data!BW382)</f>
        <v>3</v>
      </c>
      <c r="E382" s="1444">
        <f>IF(Data!BX382="","",Data!BX382)</f>
        <v>5</v>
      </c>
      <c r="F382" s="1444">
        <f>IF(Data!BY382="","",Data!BY382)</f>
        <v>5</v>
      </c>
      <c r="G382" s="1493"/>
      <c r="H382" s="1427"/>
      <c r="I382" s="1427"/>
      <c r="J382" s="1427"/>
      <c r="K382" s="1427"/>
      <c r="L382" s="1493"/>
      <c r="M382" s="1477"/>
      <c r="N382" s="1477"/>
      <c r="O382" s="1477"/>
      <c r="P382" s="1477"/>
      <c r="Q382" s="1464"/>
      <c r="R382" s="1402"/>
      <c r="S382" s="1403"/>
      <c r="T382" s="1403"/>
      <c r="U382" s="1394">
        <v>382</v>
      </c>
      <c r="V382" s="1509"/>
    </row>
    <row r="383" spans="1:22" ht="15.75" customHeight="1">
      <c r="A383" s="1382" t="s">
        <v>265</v>
      </c>
      <c r="B383" s="1455"/>
      <c r="C383" s="1444" t="str">
        <f>IF(Data!BV383="","",Data!BV383)</f>
        <v/>
      </c>
      <c r="D383" s="1444" t="str">
        <f>IF(Data!BW383="","",Data!BW383)</f>
        <v/>
      </c>
      <c r="E383" s="1444" t="str">
        <f>IF(Data!BX383="","",Data!BX383)</f>
        <v/>
      </c>
      <c r="F383" s="1444" t="str">
        <f>IF(Data!BY383="","",Data!BY383)</f>
        <v/>
      </c>
      <c r="G383" s="1493"/>
      <c r="H383" s="1427"/>
      <c r="I383" s="1427"/>
      <c r="J383" s="1427"/>
      <c r="K383" s="1427"/>
      <c r="L383" s="1493"/>
      <c r="M383" s="1477"/>
      <c r="N383" s="1477"/>
      <c r="O383" s="1477"/>
      <c r="P383" s="1477"/>
      <c r="Q383" s="1464"/>
      <c r="R383" s="1378"/>
      <c r="S383" s="1378"/>
      <c r="T383" s="1378"/>
      <c r="U383" s="1394">
        <v>383</v>
      </c>
      <c r="V383" s="1421"/>
    </row>
    <row r="384" spans="1:22" ht="15.75" customHeight="1">
      <c r="A384" s="1380" t="s">
        <v>266</v>
      </c>
      <c r="B384" s="1431"/>
      <c r="C384" s="1444">
        <f>IF(Data!BV384="","",Data!BV384)</f>
        <v>50</v>
      </c>
      <c r="D384" s="1444">
        <f>IF(Data!BW384="","",Data!BW384)</f>
        <v>50</v>
      </c>
      <c r="E384" s="1444">
        <f>IF(Data!BX384="","",Data!BX384)</f>
        <v>50</v>
      </c>
      <c r="F384" s="1444">
        <f>IF(Data!BY384="","",Data!BY384)</f>
        <v>50</v>
      </c>
      <c r="G384" s="1493"/>
      <c r="H384" s="1427"/>
      <c r="I384" s="1427"/>
      <c r="J384" s="1427"/>
      <c r="K384" s="1427"/>
      <c r="L384" s="1493"/>
      <c r="M384" s="1477"/>
      <c r="N384" s="1477"/>
      <c r="O384" s="1477"/>
      <c r="P384" s="1477"/>
      <c r="Q384" s="1464"/>
      <c r="R384" s="1402"/>
      <c r="S384" s="1403"/>
      <c r="T384" s="1403"/>
      <c r="U384" s="1394">
        <v>384</v>
      </c>
      <c r="V384" s="1421"/>
    </row>
    <row r="385" spans="1:22" ht="15.75" customHeight="1">
      <c r="A385" s="1380" t="s">
        <v>271</v>
      </c>
      <c r="B385" s="1415"/>
      <c r="C385" s="1479">
        <f>IF(C382="","",C382*C384)</f>
        <v>150</v>
      </c>
      <c r="D385" s="1479">
        <f>IF(D382="","",D382*D384)</f>
        <v>150</v>
      </c>
      <c r="E385" s="1479">
        <f>IF(E382="","",E382*E384)</f>
        <v>250</v>
      </c>
      <c r="F385" s="1479">
        <f>IF(F382="","",F382*F384)</f>
        <v>250</v>
      </c>
      <c r="G385" s="1443"/>
      <c r="H385" s="1427"/>
      <c r="I385" s="1427"/>
      <c r="J385" s="1427"/>
      <c r="K385" s="1427"/>
      <c r="L385" s="1443"/>
      <c r="M385" s="1427"/>
      <c r="N385" s="1427"/>
      <c r="O385" s="1427"/>
      <c r="P385" s="1427"/>
      <c r="Q385" s="1464"/>
      <c r="R385" s="1402"/>
      <c r="S385" s="1403"/>
      <c r="T385" s="1403"/>
      <c r="U385" s="1394">
        <v>385</v>
      </c>
      <c r="V385" s="1421"/>
    </row>
    <row r="386" spans="1:22" ht="15.75" customHeight="1">
      <c r="A386" s="1380" t="s">
        <v>256</v>
      </c>
      <c r="B386" s="1461"/>
      <c r="C386" s="1444">
        <f>IF(Data!BV386="","",Data!BV386)</f>
        <v>4350</v>
      </c>
      <c r="D386" s="1444">
        <f>IF(Data!BW386="","",Data!BW386)</f>
        <v>4350</v>
      </c>
      <c r="E386" s="1444">
        <f>IF(Data!BX386="","",Data!BX386)</f>
        <v>4350</v>
      </c>
      <c r="F386" s="1444">
        <f>IF(Data!BY386="","",Data!BY386)</f>
        <v>4350</v>
      </c>
      <c r="G386" s="1443"/>
      <c r="H386" s="1427"/>
      <c r="I386" s="1427"/>
      <c r="J386" s="1427"/>
      <c r="K386" s="1427"/>
      <c r="L386" s="1443"/>
      <c r="M386" s="1427"/>
      <c r="N386" s="1427"/>
      <c r="O386" s="1427"/>
      <c r="P386" s="1427"/>
      <c r="Q386" s="1464"/>
      <c r="R386" s="1402"/>
      <c r="S386" s="1403"/>
      <c r="T386" s="1403"/>
      <c r="U386" s="1394">
        <v>386</v>
      </c>
      <c r="V386" s="1421"/>
    </row>
    <row r="387" spans="1:22" ht="15.75" customHeight="1">
      <c r="A387" s="1382" t="s">
        <v>257</v>
      </c>
      <c r="B387" s="1461"/>
      <c r="C387" s="1444">
        <f>IF(Data!BV387="","",Data!BV387)</f>
        <v>0</v>
      </c>
      <c r="D387" s="1444">
        <f>IF(Data!BW387="","",Data!BW387)</f>
        <v>0</v>
      </c>
      <c r="E387" s="1444">
        <f>IF(Data!BX387="","",Data!BX387)</f>
        <v>100</v>
      </c>
      <c r="F387" s="1444">
        <f>IF(Data!BY387="","",Data!BY387)</f>
        <v>100</v>
      </c>
      <c r="G387" s="1443"/>
      <c r="H387" s="1492"/>
      <c r="I387" s="1492"/>
      <c r="J387" s="1492"/>
      <c r="K387" s="1492"/>
      <c r="L387" s="1443"/>
      <c r="M387" s="1427"/>
      <c r="N387" s="1427"/>
      <c r="O387" s="1427"/>
      <c r="P387" s="1427"/>
      <c r="Q387" s="1464"/>
      <c r="R387" s="1402"/>
      <c r="S387" s="1403"/>
      <c r="T387" s="1403"/>
      <c r="U387" s="1394">
        <v>387</v>
      </c>
      <c r="V387" s="1421"/>
    </row>
    <row r="388" spans="1:22" ht="15.75" customHeight="1">
      <c r="A388" s="1428" t="s">
        <v>181</v>
      </c>
      <c r="B388" s="1461"/>
      <c r="C388" s="1444">
        <f>IF(Data!BV388="","",Data!BV388)</f>
        <v>4</v>
      </c>
      <c r="D388" s="1444">
        <f>IF(Data!BW388="","",Data!BW388)</f>
        <v>4</v>
      </c>
      <c r="E388" s="1444">
        <f>IF(Data!BX388="","",Data!BX388)</f>
        <v>4</v>
      </c>
      <c r="F388" s="1444">
        <f>IF(Data!BY388="","",Data!BY388)</f>
        <v>5</v>
      </c>
      <c r="G388" s="1443"/>
      <c r="H388" s="1427"/>
      <c r="I388" s="1427"/>
      <c r="J388" s="1427"/>
      <c r="K388" s="1427"/>
      <c r="L388" s="1443"/>
      <c r="M388" s="1427"/>
      <c r="N388" s="1427"/>
      <c r="O388" s="1427"/>
      <c r="P388" s="1427"/>
      <c r="Q388" s="1464"/>
      <c r="R388" s="1445"/>
      <c r="S388" s="1446"/>
      <c r="T388" s="1446"/>
      <c r="U388" s="1394">
        <v>388</v>
      </c>
      <c r="V388" s="1421"/>
    </row>
    <row r="389" spans="1:22" ht="15.75" customHeight="1">
      <c r="A389" s="1428" t="s">
        <v>183</v>
      </c>
      <c r="B389" s="1461"/>
      <c r="C389" s="1454" t="str">
        <f>IF(SUM(C387)=0,"",C387*C388)</f>
        <v/>
      </c>
      <c r="D389" s="1454" t="str">
        <f>IF(SUM(D387)=0,"",D387*D388)</f>
        <v/>
      </c>
      <c r="E389" s="1454">
        <f>IF(SUM(E387)=0,"",E387*E388)</f>
        <v>400</v>
      </c>
      <c r="F389" s="1454">
        <f>IF(SUM(F387)=0,"",F387*F388)</f>
        <v>500</v>
      </c>
      <c r="G389" s="1507"/>
      <c r="H389" s="1463" t="str">
        <f>IF(H387="","",H387*C388)</f>
        <v/>
      </c>
      <c r="I389" s="1463" t="str">
        <f>IF(I387="","",I387*D388)</f>
        <v/>
      </c>
      <c r="J389" s="1463" t="str">
        <f>IF(J387="","",J387*E388)</f>
        <v/>
      </c>
      <c r="K389" s="1463" t="str">
        <f>IF(K387="","",K387*F388)</f>
        <v/>
      </c>
      <c r="L389" s="1507"/>
      <c r="M389" s="1454" t="str">
        <f>IF(H389="","",SUM(H389)-SUM(C389))</f>
        <v/>
      </c>
      <c r="N389" s="1454" t="str">
        <f>IF(I389="","",SUM(I389)-SUM(D389))</f>
        <v/>
      </c>
      <c r="O389" s="1454" t="str">
        <f>IF(J389="","",SUM(J389)-SUM(E389))</f>
        <v/>
      </c>
      <c r="P389" s="1454" t="str">
        <f>IF(K389="","",SUM(K389)-SUM(F389))</f>
        <v/>
      </c>
      <c r="Q389" s="1464"/>
      <c r="R389" s="1402"/>
      <c r="S389" s="1403"/>
      <c r="T389" s="1403"/>
      <c r="U389" s="1394">
        <v>389</v>
      </c>
      <c r="V389" s="1421"/>
    </row>
    <row r="390" spans="1:22" ht="15.75" customHeight="1">
      <c r="A390" s="1428" t="s">
        <v>258</v>
      </c>
      <c r="B390" s="1431"/>
      <c r="C390" s="1444" t="str">
        <f>IF(Data!BV390="","",Data!BV390)</f>
        <v/>
      </c>
      <c r="D390" s="1444">
        <f>IF(Data!BW390="","",Data!BW390)</f>
        <v>27</v>
      </c>
      <c r="E390" s="1444">
        <f>IF(Data!BX390="","",Data!BX390)</f>
        <v>26</v>
      </c>
      <c r="F390" s="1444" t="str">
        <f>IF(Data!BY390="","",Data!BY390)</f>
        <v/>
      </c>
      <c r="G390" s="1507"/>
      <c r="H390" s="1492"/>
      <c r="I390" s="1492"/>
      <c r="J390" s="1492"/>
      <c r="K390" s="1492"/>
      <c r="L390" s="1507"/>
      <c r="M390" s="1427"/>
      <c r="N390" s="1427"/>
      <c r="O390" s="1427"/>
      <c r="P390" s="1427"/>
      <c r="Q390" s="1464"/>
      <c r="R390" s="1402"/>
      <c r="S390" s="1403"/>
      <c r="T390" s="1403"/>
      <c r="U390" s="1394">
        <v>390</v>
      </c>
      <c r="V390" s="1421"/>
    </row>
    <row r="391" spans="1:22" ht="15.75" customHeight="1">
      <c r="A391" s="1429" t="s">
        <v>252</v>
      </c>
      <c r="B391" s="1431"/>
      <c r="C391" s="1483">
        <f>IF(C385="","",(C385-SUM(C387)-SUM(C390))*C386/C$46/365/$P$1)</f>
        <v>2.5393057285180574E-2</v>
      </c>
      <c r="D391" s="1483">
        <f>IF(D385="","",(D385-SUM(D387)-SUM(D390))*D386/D$46/365/$P$1)</f>
        <v>2.082230697384807E-2</v>
      </c>
      <c r="E391" s="1483">
        <f>IF(E385="","",(E385-SUM(E387)-SUM(E390))*E386/E$46/365/$P$1)</f>
        <v>2.0991594022415939E-2</v>
      </c>
      <c r="F391" s="1483">
        <f>IF(F385="","",(F385-SUM(F387)-SUM(F390))*F386/F$46/365/$P$1)</f>
        <v>2.2571606475716065E-2</v>
      </c>
      <c r="G391" s="1455"/>
      <c r="H391" s="1354" t="str">
        <f>IF(H387="","",(C385-H387-H390-SUM(C390)*(H390=""))*C386/H$46/365/$P$1)</f>
        <v/>
      </c>
      <c r="I391" s="1354" t="str">
        <f>IF(I387="","",(D385-I387-I390-SUM(D390)*(I390=""))*D386/I$46/365/$P$1)</f>
        <v/>
      </c>
      <c r="J391" s="1354" t="str">
        <f>IF(J387="","",(E385-J387-J390-SUM(E390)*(J390=""))*E386/J$46/365/$P$1)</f>
        <v/>
      </c>
      <c r="K391" s="1354" t="str">
        <f>IF(K387="","",(F385-K387-K390-SUM(F390)*(K390=""))*F386/K$46/365/$P$1)</f>
        <v/>
      </c>
      <c r="L391" s="1455"/>
      <c r="M391" s="1484" t="str">
        <f>IF(H391="","",SUM(H391)-SUM(C391))</f>
        <v/>
      </c>
      <c r="N391" s="1484" t="str">
        <f>IF(I391="","",SUM(I391)-SUM(D391))</f>
        <v/>
      </c>
      <c r="O391" s="1484" t="str">
        <f>IF(J391="","",SUM(J391)-SUM(E391))</f>
        <v/>
      </c>
      <c r="P391" s="1484" t="str">
        <f>IF(K391="","",SUM(K391)-SUM(F391))</f>
        <v/>
      </c>
      <c r="Q391" s="1464"/>
      <c r="R391" s="1392"/>
      <c r="S391" s="1393"/>
      <c r="T391" s="1393"/>
      <c r="U391" s="1394">
        <v>391</v>
      </c>
      <c r="V391" s="1421"/>
    </row>
    <row r="392" spans="1:22" s="1510" customFormat="1" ht="15.75" customHeight="1">
      <c r="A392" s="1500" t="str">
        <f>IF(Data!A392="","",Data!A392)</f>
        <v>Main cashcrop kg sold</v>
      </c>
      <c r="B392" s="1461"/>
      <c r="C392" s="1444" t="str">
        <f>IF(Data!BV392="","",Data!BV392)</f>
        <v/>
      </c>
      <c r="D392" s="1444" t="str">
        <f>IF(Data!BW392="","",Data!BW392)</f>
        <v/>
      </c>
      <c r="E392" s="1444" t="str">
        <f>IF(Data!BX392="","",Data!BX392)</f>
        <v/>
      </c>
      <c r="F392" s="1444" t="str">
        <f>IF(Data!BY392="","",Data!BY392)</f>
        <v/>
      </c>
      <c r="G392" s="1460"/>
      <c r="H392" s="1427"/>
      <c r="I392" s="1427"/>
      <c r="J392" s="1427"/>
      <c r="K392" s="1427"/>
      <c r="L392" s="1460"/>
      <c r="M392" s="1477"/>
      <c r="N392" s="1477"/>
      <c r="O392" s="1477"/>
      <c r="P392" s="1477"/>
      <c r="Q392" s="1478"/>
      <c r="R392" s="1402"/>
      <c r="S392" s="1403"/>
      <c r="T392" s="1403"/>
      <c r="U392" s="1394">
        <v>392</v>
      </c>
      <c r="V392" s="1509"/>
    </row>
    <row r="393" spans="1:22" s="1510" customFormat="1" ht="15.75" customHeight="1">
      <c r="A393" s="1519" t="s">
        <v>181</v>
      </c>
      <c r="B393" s="1431"/>
      <c r="C393" s="1444" t="str">
        <f>IF(Data!BV393="","",Data!BV393)</f>
        <v/>
      </c>
      <c r="D393" s="1444" t="str">
        <f>IF(Data!BW393="","",Data!BW393)</f>
        <v/>
      </c>
      <c r="E393" s="1444" t="str">
        <f>IF(Data!BX393="","",Data!BX393)</f>
        <v/>
      </c>
      <c r="F393" s="1444" t="str">
        <f>IF(Data!BY393="","",Data!BY393)</f>
        <v/>
      </c>
      <c r="G393" s="1460"/>
      <c r="H393" s="1427"/>
      <c r="I393" s="1427"/>
      <c r="J393" s="1427"/>
      <c r="K393" s="1427"/>
      <c r="L393" s="1460"/>
      <c r="M393" s="1477"/>
      <c r="N393" s="1477"/>
      <c r="O393" s="1477"/>
      <c r="P393" s="1477"/>
      <c r="Q393" s="1478"/>
      <c r="R393" s="1445"/>
      <c r="S393" s="1446"/>
      <c r="T393" s="1446"/>
      <c r="U393" s="1394">
        <v>393</v>
      </c>
      <c r="V393" s="1509"/>
    </row>
    <row r="394" spans="1:22" ht="15.75" customHeight="1">
      <c r="A394" s="1382" t="s">
        <v>183</v>
      </c>
      <c r="B394" s="1431"/>
      <c r="C394" s="1454" t="str">
        <f>IF(SUM(C392)=0,"",C392*C393)</f>
        <v/>
      </c>
      <c r="D394" s="1454" t="str">
        <f>IF(SUM(D392)=0,"",D392*D393)</f>
        <v/>
      </c>
      <c r="E394" s="1454" t="str">
        <f>IF(SUM(E392)=0,"",E392*E393)</f>
        <v/>
      </c>
      <c r="F394" s="1454" t="str">
        <f>IF(SUM(F392)=0,"",F392*F393)</f>
        <v/>
      </c>
      <c r="G394" s="1513"/>
      <c r="H394" s="1427"/>
      <c r="I394" s="1427"/>
      <c r="J394" s="1427"/>
      <c r="K394" s="1427"/>
      <c r="L394" s="1513"/>
      <c r="M394" s="1477"/>
      <c r="N394" s="1477"/>
      <c r="O394" s="1477"/>
      <c r="P394" s="1477"/>
      <c r="Q394" s="1464"/>
      <c r="R394" s="1402"/>
      <c r="S394" s="1403"/>
      <c r="T394" s="1403"/>
      <c r="U394" s="1394">
        <v>394</v>
      </c>
      <c r="V394" s="1421"/>
    </row>
    <row r="395" spans="1:22" ht="15.75" customHeight="1">
      <c r="A395" s="1500" t="str">
        <f>IF(Data!A395="","",Data!A395)</f>
        <v>Spinach (cash): kg produced</v>
      </c>
      <c r="B395" s="1431"/>
      <c r="C395" s="1444" t="str">
        <f>IF(Data!BV395="","",Data!BV395)</f>
        <v/>
      </c>
      <c r="D395" s="1444">
        <f>IF(Data!BW395="","",Data!BW395)</f>
        <v>30</v>
      </c>
      <c r="E395" s="1444">
        <f>IF(Data!BX395="","",Data!BX395)</f>
        <v>20</v>
      </c>
      <c r="F395" s="1444">
        <f>IF(Data!BY395="","",Data!BY395)</f>
        <v>60</v>
      </c>
      <c r="G395" s="1431"/>
      <c r="H395" s="1427"/>
      <c r="I395" s="1427"/>
      <c r="J395" s="1427"/>
      <c r="K395" s="1427"/>
      <c r="L395" s="1431"/>
      <c r="M395" s="1477"/>
      <c r="N395" s="1477"/>
      <c r="O395" s="1477"/>
      <c r="P395" s="1477"/>
      <c r="Q395" s="1464"/>
      <c r="R395" s="1402"/>
      <c r="S395" s="1403"/>
      <c r="T395" s="1403"/>
      <c r="U395" s="1394">
        <v>395</v>
      </c>
      <c r="V395" s="1421"/>
    </row>
    <row r="396" spans="1:22" ht="15.75" customHeight="1">
      <c r="A396" s="1428" t="s">
        <v>181</v>
      </c>
      <c r="B396" s="1431"/>
      <c r="C396" s="1444" t="str">
        <f>IF(Data!BV396="","",Data!BV396)</f>
        <v/>
      </c>
      <c r="D396" s="1444">
        <f>IF(Data!BW396="","",Data!BW396)</f>
        <v>5</v>
      </c>
      <c r="E396" s="1444">
        <f>IF(Data!BX396="","",Data!BX396)</f>
        <v>5</v>
      </c>
      <c r="F396" s="1444">
        <f>IF(Data!BY396="","",Data!BY396)</f>
        <v>5</v>
      </c>
      <c r="G396" s="1433"/>
      <c r="H396" s="1427"/>
      <c r="I396" s="1427"/>
      <c r="J396" s="1427"/>
      <c r="K396" s="1427"/>
      <c r="L396" s="1433"/>
      <c r="M396" s="1477"/>
      <c r="N396" s="1477"/>
      <c r="O396" s="1477"/>
      <c r="P396" s="1477"/>
      <c r="Q396" s="1464"/>
      <c r="R396" s="1445"/>
      <c r="S396" s="1446"/>
      <c r="T396" s="1446"/>
      <c r="U396" s="1394">
        <v>396</v>
      </c>
      <c r="V396" s="1421"/>
    </row>
    <row r="397" spans="1:22" ht="15.75" customHeight="1">
      <c r="A397" s="1520" t="s">
        <v>183</v>
      </c>
      <c r="B397" s="1461"/>
      <c r="C397" s="1454" t="str">
        <f>IF(SUM(C395)=0,"",C395*C396)</f>
        <v/>
      </c>
      <c r="D397" s="1454">
        <f>IF(SUM(D395)=0,"",D395*D396)</f>
        <v>150</v>
      </c>
      <c r="E397" s="1454">
        <f>IF(SUM(E395)=0,"",E395*E396)</f>
        <v>100</v>
      </c>
      <c r="F397" s="1454">
        <f>IF(SUM(F395)=0,"",F395*F396)</f>
        <v>300</v>
      </c>
      <c r="G397" s="1461"/>
      <c r="H397" s="1427"/>
      <c r="I397" s="1427"/>
      <c r="J397" s="1427"/>
      <c r="K397" s="1427"/>
      <c r="L397" s="1461"/>
      <c r="M397" s="1477"/>
      <c r="N397" s="1477"/>
      <c r="O397" s="1477"/>
      <c r="P397" s="1477"/>
      <c r="Q397" s="1464"/>
      <c r="R397" s="1402"/>
      <c r="S397" s="1403"/>
      <c r="T397" s="1403"/>
      <c r="U397" s="1394">
        <v>397</v>
      </c>
      <c r="V397" s="1421"/>
    </row>
    <row r="398" spans="1:22" s="1510" customFormat="1" ht="15.75" customHeight="1">
      <c r="A398" s="1500" t="str">
        <f>IF(Data!A398="","",Data!A398)</f>
        <v>Lettuce (cash): kg produced (Lettuce)</v>
      </c>
      <c r="B398" s="1461"/>
      <c r="C398" s="1444" t="str">
        <f>IF(Data!BV398="","",Data!BV398)</f>
        <v/>
      </c>
      <c r="D398" s="1444" t="str">
        <f>IF(Data!BW398="","",Data!BW398)</f>
        <v/>
      </c>
      <c r="E398" s="1444" t="str">
        <f>IF(Data!BX398="","",Data!BX398)</f>
        <v/>
      </c>
      <c r="F398" s="1444" t="str">
        <f>IF(Data!BY398="","",Data!BY398)</f>
        <v/>
      </c>
      <c r="G398" s="1460"/>
      <c r="H398" s="1427"/>
      <c r="I398" s="1427"/>
      <c r="J398" s="1427"/>
      <c r="K398" s="1427"/>
      <c r="L398" s="1460"/>
      <c r="M398" s="1477"/>
      <c r="N398" s="1477"/>
      <c r="O398" s="1477"/>
      <c r="P398" s="1477"/>
      <c r="Q398" s="1478"/>
      <c r="R398" s="1402"/>
      <c r="S398" s="1403"/>
      <c r="T398" s="1403"/>
      <c r="U398" s="1394">
        <v>398</v>
      </c>
      <c r="V398" s="1509"/>
    </row>
    <row r="399" spans="1:22" ht="15.75" customHeight="1">
      <c r="A399" s="1521" t="s">
        <v>181</v>
      </c>
      <c r="B399" s="1443"/>
      <c r="C399" s="1444" t="str">
        <f>IF(Data!BV399="","",Data!BV399)</f>
        <v/>
      </c>
      <c r="D399" s="1444" t="str">
        <f>IF(Data!BW399="","",Data!BW399)</f>
        <v/>
      </c>
      <c r="E399" s="1444" t="str">
        <f>IF(Data!BX399="","",Data!BX399)</f>
        <v/>
      </c>
      <c r="F399" s="1444" t="str">
        <f>IF(Data!BY399="","",Data!BY399)</f>
        <v/>
      </c>
      <c r="G399" s="1460"/>
      <c r="H399" s="1427"/>
      <c r="I399" s="1427"/>
      <c r="J399" s="1427"/>
      <c r="K399" s="1427"/>
      <c r="L399" s="1460"/>
      <c r="M399" s="1477"/>
      <c r="N399" s="1477"/>
      <c r="O399" s="1477"/>
      <c r="P399" s="1477"/>
      <c r="Q399" s="1464"/>
      <c r="R399" s="1445"/>
      <c r="S399" s="1446"/>
      <c r="T399" s="1446"/>
      <c r="U399" s="1394">
        <v>399</v>
      </c>
      <c r="V399" s="1421"/>
    </row>
    <row r="400" spans="1:22" s="1506" customFormat="1" ht="15.75" customHeight="1">
      <c r="A400" s="1382" t="s">
        <v>183</v>
      </c>
      <c r="B400" s="1459"/>
      <c r="C400" s="1454" t="str">
        <f>IF(SUM(C398)=0,"",C398*C399)</f>
        <v/>
      </c>
      <c r="D400" s="1454" t="str">
        <f>IF(SUM(D398)=0,"",D398*D399)</f>
        <v/>
      </c>
      <c r="E400" s="1454" t="str">
        <f>IF(SUM(E398)=0,"",E398*E399)</f>
        <v/>
      </c>
      <c r="F400" s="1454" t="str">
        <f>IF(SUM(F398)=0,"",F398*F399)</f>
        <v/>
      </c>
      <c r="G400" s="1461"/>
      <c r="H400" s="1427"/>
      <c r="I400" s="1427"/>
      <c r="J400" s="1427"/>
      <c r="K400" s="1427"/>
      <c r="L400" s="1461"/>
      <c r="M400" s="1477"/>
      <c r="N400" s="1477"/>
      <c r="O400" s="1477"/>
      <c r="P400" s="1477"/>
      <c r="Q400" s="1504"/>
      <c r="R400" s="1402"/>
      <c r="S400" s="1403"/>
      <c r="T400" s="1403"/>
      <c r="U400" s="1394">
        <v>400</v>
      </c>
      <c r="V400" s="1505"/>
    </row>
    <row r="401" spans="1:22" ht="15.75" customHeight="1">
      <c r="A401" s="1500" t="str">
        <f>IF(Data!A401="","",Data!A401)</f>
        <v>Other cashcrop: kg produced</v>
      </c>
      <c r="B401" s="1461"/>
      <c r="C401" s="1444" t="str">
        <f>IF(Data!BV401="","",Data!BV401)</f>
        <v/>
      </c>
      <c r="D401" s="1444" t="str">
        <f>IF(Data!BW401="","",Data!BW401)</f>
        <v/>
      </c>
      <c r="E401" s="1444" t="str">
        <f>IF(Data!BX401="","",Data!BX401)</f>
        <v/>
      </c>
      <c r="F401" s="1444" t="str">
        <f>IF(Data!BY401="","",Data!BY401)</f>
        <v/>
      </c>
      <c r="G401" s="1433"/>
      <c r="H401" s="1427"/>
      <c r="I401" s="1427"/>
      <c r="J401" s="1427"/>
      <c r="K401" s="1427"/>
      <c r="L401" s="1433"/>
      <c r="M401" s="1477"/>
      <c r="N401" s="1477"/>
      <c r="O401" s="1477"/>
      <c r="P401" s="1477"/>
      <c r="Q401" s="1464"/>
      <c r="R401" s="1402"/>
      <c r="S401" s="1403"/>
      <c r="T401" s="1403"/>
      <c r="U401" s="1394">
        <v>401</v>
      </c>
      <c r="V401" s="1421"/>
    </row>
    <row r="402" spans="1:22" s="1482" customFormat="1" ht="15.75" customHeight="1">
      <c r="A402" s="1428" t="s">
        <v>181</v>
      </c>
      <c r="B402" s="1431"/>
      <c r="C402" s="1444" t="str">
        <f>IF(Data!BV402="","",Data!BV402)</f>
        <v/>
      </c>
      <c r="D402" s="1444" t="str">
        <f>IF(Data!BW402="","",Data!BW402)</f>
        <v/>
      </c>
      <c r="E402" s="1444" t="str">
        <f>IF(Data!BX402="","",Data!BX402)</f>
        <v/>
      </c>
      <c r="F402" s="1444" t="str">
        <f>IF(Data!BY402="","",Data!BY402)</f>
        <v/>
      </c>
      <c r="G402" s="1433"/>
      <c r="H402" s="1427"/>
      <c r="I402" s="1427"/>
      <c r="J402" s="1427"/>
      <c r="K402" s="1427"/>
      <c r="L402" s="1433"/>
      <c r="M402" s="1477"/>
      <c r="N402" s="1477"/>
      <c r="O402" s="1477"/>
      <c r="P402" s="1477"/>
      <c r="Q402" s="1480"/>
      <c r="R402" s="1445"/>
      <c r="S402" s="1446"/>
      <c r="T402" s="1446"/>
      <c r="U402" s="1394">
        <v>402</v>
      </c>
      <c r="V402" s="1481"/>
    </row>
    <row r="403" spans="1:22" ht="15.75" customHeight="1">
      <c r="A403" s="1382" t="s">
        <v>183</v>
      </c>
      <c r="B403" s="1431"/>
      <c r="C403" s="1454" t="str">
        <f>IF(SUM(C401)=0,"",C401*C402)</f>
        <v/>
      </c>
      <c r="D403" s="1454" t="str">
        <f>IF(SUM(D401)=0,"",D401*D402)</f>
        <v/>
      </c>
      <c r="E403" s="1454" t="str">
        <f>IF(SUM(E401)=0,"",E401*E402)</f>
        <v/>
      </c>
      <c r="F403" s="1454" t="str">
        <f>IF(SUM(F401)=0,"",F401*F402)</f>
        <v/>
      </c>
      <c r="G403" s="1415"/>
      <c r="H403" s="1427"/>
      <c r="I403" s="1427"/>
      <c r="J403" s="1427"/>
      <c r="K403" s="1427"/>
      <c r="L403" s="1415"/>
      <c r="M403" s="1477"/>
      <c r="N403" s="1477"/>
      <c r="O403" s="1477"/>
      <c r="P403" s="1477"/>
      <c r="Q403" s="1464"/>
      <c r="R403" s="1402"/>
      <c r="S403" s="1403"/>
      <c r="T403" s="1403"/>
      <c r="U403" s="1394">
        <v>403</v>
      </c>
      <c r="V403" s="1421"/>
    </row>
    <row r="404" spans="1:22" ht="15.75" customHeight="1">
      <c r="A404" s="1500" t="str">
        <f>IF(Data!A404="","",Data!A404)</f>
        <v>Tomatoes (cash): kg produced</v>
      </c>
      <c r="B404" s="1431"/>
      <c r="C404" s="1444" t="str">
        <f>IF(Data!BV404="","",Data!BV404)</f>
        <v/>
      </c>
      <c r="D404" s="1444" t="str">
        <f>IF(Data!BW404="","",Data!BW404)</f>
        <v/>
      </c>
      <c r="E404" s="1444" t="str">
        <f>IF(Data!BX404="","",Data!BX404)</f>
        <v/>
      </c>
      <c r="F404" s="1444">
        <f>IF(Data!BY404="","",Data!BY404)</f>
        <v>100</v>
      </c>
      <c r="G404" s="1433"/>
      <c r="H404" s="1427"/>
      <c r="I404" s="1427"/>
      <c r="J404" s="1427"/>
      <c r="K404" s="1427"/>
      <c r="L404" s="1433"/>
      <c r="M404" s="1477"/>
      <c r="N404" s="1477"/>
      <c r="O404" s="1477"/>
      <c r="P404" s="1477"/>
      <c r="Q404" s="1464"/>
      <c r="R404" s="1402"/>
      <c r="S404" s="1403"/>
      <c r="T404" s="1403"/>
      <c r="U404" s="1394">
        <v>404</v>
      </c>
      <c r="V404" s="1421"/>
    </row>
    <row r="405" spans="1:22" ht="15.75" customHeight="1">
      <c r="A405" s="1428" t="s">
        <v>181</v>
      </c>
      <c r="B405" s="1443"/>
      <c r="C405" s="1444" t="str">
        <f>IF(Data!BV405="","",Data!BV405)</f>
        <v/>
      </c>
      <c r="D405" s="1444" t="str">
        <f>IF(Data!BW405="","",Data!BW405)</f>
        <v/>
      </c>
      <c r="E405" s="1444" t="str">
        <f>IF(Data!BX405="","",Data!BX405)</f>
        <v/>
      </c>
      <c r="F405" s="1444">
        <f>IF(Data!BY405="","",Data!BY405)</f>
        <v>5</v>
      </c>
      <c r="G405" s="1433"/>
      <c r="H405" s="1427"/>
      <c r="I405" s="1427"/>
      <c r="J405" s="1427"/>
      <c r="K405" s="1427"/>
      <c r="L405" s="1433"/>
      <c r="M405" s="1477"/>
      <c r="N405" s="1477"/>
      <c r="O405" s="1477"/>
      <c r="P405" s="1477"/>
      <c r="Q405" s="1464"/>
      <c r="R405" s="1445"/>
      <c r="S405" s="1446"/>
      <c r="T405" s="1446"/>
      <c r="U405" s="1394">
        <v>405</v>
      </c>
      <c r="V405" s="1421"/>
    </row>
    <row r="406" spans="1:22" ht="15.75" customHeight="1">
      <c r="A406" s="1382" t="s">
        <v>183</v>
      </c>
      <c r="B406" s="1431"/>
      <c r="C406" s="1454" t="str">
        <f>IF(SUM(C404)=0,"",C404*C405)</f>
        <v/>
      </c>
      <c r="D406" s="1454" t="str">
        <f>IF(SUM(D404)=0,"",D404*D405)</f>
        <v/>
      </c>
      <c r="E406" s="1454" t="str">
        <f>IF(SUM(E404)=0,"",E404*E405)</f>
        <v/>
      </c>
      <c r="F406" s="1454">
        <f>IF(SUM(F404)=0,"",F404*F405)</f>
        <v>500</v>
      </c>
      <c r="G406" s="1415"/>
      <c r="H406" s="1427"/>
      <c r="I406" s="1427"/>
      <c r="J406" s="1427"/>
      <c r="K406" s="1427"/>
      <c r="L406" s="1415"/>
      <c r="M406" s="1477"/>
      <c r="N406" s="1477"/>
      <c r="O406" s="1477"/>
      <c r="P406" s="1477"/>
      <c r="Q406" s="1464"/>
      <c r="R406" s="1402"/>
      <c r="S406" s="1403"/>
      <c r="T406" s="1403"/>
      <c r="U406" s="1394">
        <v>406</v>
      </c>
      <c r="V406" s="1421"/>
    </row>
    <row r="407" spans="1:22" ht="15.75" customHeight="1">
      <c r="A407" s="1500" t="str">
        <f>IF(Data!A407="","",Data!A407)</f>
        <v>Cabbage (cash): kg produced</v>
      </c>
      <c r="B407" s="1431"/>
      <c r="C407" s="1444" t="str">
        <f>IF(Data!BV407="","",Data!BV407)</f>
        <v/>
      </c>
      <c r="D407" s="1444" t="str">
        <f>IF(Data!BW407="","",Data!BW407)</f>
        <v/>
      </c>
      <c r="E407" s="1444" t="str">
        <f>IF(Data!BX407="","",Data!BX407)</f>
        <v/>
      </c>
      <c r="F407" s="1444">
        <f>IF(Data!BY407="","",Data!BY407)</f>
        <v>60</v>
      </c>
      <c r="G407" s="1433"/>
      <c r="H407" s="1427"/>
      <c r="I407" s="1427"/>
      <c r="J407" s="1427"/>
      <c r="K407" s="1427"/>
      <c r="L407" s="1433"/>
      <c r="M407" s="1477"/>
      <c r="N407" s="1477"/>
      <c r="O407" s="1477"/>
      <c r="P407" s="1477"/>
      <c r="Q407" s="1464"/>
      <c r="R407" s="1402"/>
      <c r="S407" s="1403"/>
      <c r="T407" s="1403"/>
      <c r="U407" s="1394">
        <v>407</v>
      </c>
      <c r="V407" s="1421"/>
    </row>
    <row r="408" spans="1:22" ht="15.75" customHeight="1">
      <c r="A408" s="1428" t="s">
        <v>181</v>
      </c>
      <c r="B408" s="1431"/>
      <c r="C408" s="1444" t="str">
        <f>IF(Data!BV408="","",Data!BV408)</f>
        <v/>
      </c>
      <c r="D408" s="1444" t="str">
        <f>IF(Data!BW408="","",Data!BW408)</f>
        <v/>
      </c>
      <c r="E408" s="1444" t="str">
        <f>IF(Data!BX408="","",Data!BX408)</f>
        <v/>
      </c>
      <c r="F408" s="1444">
        <f>IF(Data!BY408="","",Data!BY408)</f>
        <v>5</v>
      </c>
      <c r="G408" s="1433"/>
      <c r="H408" s="1427"/>
      <c r="I408" s="1427"/>
      <c r="J408" s="1427"/>
      <c r="K408" s="1427"/>
      <c r="L408" s="1433"/>
      <c r="M408" s="1477"/>
      <c r="N408" s="1477"/>
      <c r="O408" s="1477"/>
      <c r="P408" s="1477"/>
      <c r="Q408" s="1464"/>
      <c r="R408" s="1445"/>
      <c r="S408" s="1446"/>
      <c r="T408" s="1446"/>
      <c r="U408" s="1394">
        <v>408</v>
      </c>
      <c r="V408" s="1421"/>
    </row>
    <row r="409" spans="1:22" s="1506" customFormat="1" ht="15.75" customHeight="1">
      <c r="A409" s="1382" t="s">
        <v>183</v>
      </c>
      <c r="B409" s="1431"/>
      <c r="C409" s="1454" t="str">
        <f>IF(SUM(C407)=0,"",C407*C408)</f>
        <v/>
      </c>
      <c r="D409" s="1454" t="str">
        <f>IF(SUM(D407)=0,"",D407*D408)</f>
        <v/>
      </c>
      <c r="E409" s="1454" t="str">
        <f>IF(SUM(E407)=0,"",E407*E408)</f>
        <v/>
      </c>
      <c r="F409" s="1454">
        <f>IF(SUM(F407)=0,"",F407*F408)</f>
        <v>300</v>
      </c>
      <c r="G409" s="1415"/>
      <c r="H409" s="1427"/>
      <c r="I409" s="1427"/>
      <c r="J409" s="1427"/>
      <c r="K409" s="1427"/>
      <c r="L409" s="1415"/>
      <c r="M409" s="1477"/>
      <c r="N409" s="1477"/>
      <c r="O409" s="1477"/>
      <c r="P409" s="1477"/>
      <c r="Q409" s="1504"/>
      <c r="R409" s="1402"/>
      <c r="S409" s="1403"/>
      <c r="T409" s="1403"/>
      <c r="U409" s="1394">
        <v>409</v>
      </c>
      <c r="V409" s="1505"/>
    </row>
    <row r="410" spans="1:22" ht="15.75" customHeight="1">
      <c r="A410" s="1500" t="str">
        <f>IF(Data!A410="","",Data!A410)</f>
        <v>Carrots (cash): kg produced</v>
      </c>
      <c r="B410" s="1431"/>
      <c r="C410" s="1444" t="str">
        <f>IF(Data!BV410="","",Data!BV410)</f>
        <v/>
      </c>
      <c r="D410" s="1444" t="str">
        <f>IF(Data!BW410="","",Data!BW410)</f>
        <v/>
      </c>
      <c r="E410" s="1444" t="str">
        <f>IF(Data!BX410="","",Data!BX410)</f>
        <v/>
      </c>
      <c r="F410" s="1444" t="str">
        <f>IF(Data!BY410="","",Data!BY410)</f>
        <v/>
      </c>
      <c r="G410" s="1433"/>
      <c r="H410" s="1427"/>
      <c r="I410" s="1427"/>
      <c r="J410" s="1427"/>
      <c r="K410" s="1427"/>
      <c r="L410" s="1433"/>
      <c r="M410" s="1477"/>
      <c r="N410" s="1477"/>
      <c r="O410" s="1477"/>
      <c r="P410" s="1477"/>
      <c r="Q410" s="1464"/>
      <c r="R410" s="1402"/>
      <c r="S410" s="1403"/>
      <c r="T410" s="1403"/>
      <c r="U410" s="1394">
        <v>410</v>
      </c>
      <c r="V410" s="1421"/>
    </row>
    <row r="411" spans="1:22" ht="15.75" customHeight="1">
      <c r="A411" s="1428" t="s">
        <v>181</v>
      </c>
      <c r="B411" s="1443"/>
      <c r="C411" s="1444" t="str">
        <f>IF(Data!BV411="","",Data!BV411)</f>
        <v/>
      </c>
      <c r="D411" s="1444" t="str">
        <f>IF(Data!BW411="","",Data!BW411)</f>
        <v/>
      </c>
      <c r="E411" s="1444" t="str">
        <f>IF(Data!BX411="","",Data!BX411)</f>
        <v/>
      </c>
      <c r="F411" s="1444" t="str">
        <f>IF(Data!BY411="","",Data!BY411)</f>
        <v/>
      </c>
      <c r="G411" s="1433"/>
      <c r="H411" s="1427"/>
      <c r="I411" s="1427"/>
      <c r="J411" s="1427"/>
      <c r="K411" s="1427"/>
      <c r="L411" s="1433"/>
      <c r="M411" s="1477"/>
      <c r="N411" s="1477"/>
      <c r="O411" s="1477"/>
      <c r="P411" s="1477"/>
      <c r="Q411" s="1464"/>
      <c r="R411" s="1445"/>
      <c r="S411" s="1446"/>
      <c r="T411" s="1446"/>
      <c r="U411" s="1394">
        <v>411</v>
      </c>
      <c r="V411" s="1421"/>
    </row>
    <row r="412" spans="1:22" s="1506" customFormat="1" ht="15.75" customHeight="1">
      <c r="A412" s="1382" t="s">
        <v>183</v>
      </c>
      <c r="B412" s="1431"/>
      <c r="C412" s="1454" t="str">
        <f>IF(SUM(C410)=0,"",C410*C411)</f>
        <v/>
      </c>
      <c r="D412" s="1454" t="str">
        <f>IF(SUM(D410)=0,"",D410*D411)</f>
        <v/>
      </c>
      <c r="E412" s="1454" t="str">
        <f>IF(SUM(E410)=0,"",E410*E411)</f>
        <v/>
      </c>
      <c r="F412" s="1454" t="str">
        <f>IF(SUM(F410)=0,"",F410*F411)</f>
        <v/>
      </c>
      <c r="G412" s="1415"/>
      <c r="H412" s="1427"/>
      <c r="I412" s="1427"/>
      <c r="J412" s="1427"/>
      <c r="K412" s="1427"/>
      <c r="L412" s="1415"/>
      <c r="M412" s="1477"/>
      <c r="N412" s="1477"/>
      <c r="O412" s="1477"/>
      <c r="P412" s="1477"/>
      <c r="Q412" s="1504"/>
      <c r="R412" s="1402"/>
      <c r="S412" s="1403"/>
      <c r="T412" s="1403"/>
      <c r="U412" s="1394">
        <v>412</v>
      </c>
      <c r="V412" s="1505"/>
    </row>
    <row r="413" spans="1:22" ht="15.75" customHeight="1">
      <c r="A413" s="1500" t="str">
        <f>IF(Data!A413="","",Data!A413)</f>
        <v>Straw: quantity sold</v>
      </c>
      <c r="B413" s="1431"/>
      <c r="C413" s="1444" t="str">
        <f>IF(Data!BV413="","",Data!BV413)</f>
        <v/>
      </c>
      <c r="D413" s="1444" t="str">
        <f>IF(Data!BW413="","",Data!BW413)</f>
        <v/>
      </c>
      <c r="E413" s="1444" t="str">
        <f>IF(Data!BX413="","",Data!BX413)</f>
        <v/>
      </c>
      <c r="F413" s="1444" t="str">
        <f>IF(Data!BY413="","",Data!BY413)</f>
        <v/>
      </c>
      <c r="G413" s="1433"/>
      <c r="H413" s="1492"/>
      <c r="I413" s="1492"/>
      <c r="J413" s="1492"/>
      <c r="K413" s="1492"/>
      <c r="L413" s="1433"/>
      <c r="M413" s="1427"/>
      <c r="N413" s="1427"/>
      <c r="O413" s="1427"/>
      <c r="P413" s="1427"/>
      <c r="Q413" s="1464"/>
      <c r="R413" s="1402"/>
      <c r="S413" s="1403"/>
      <c r="T413" s="1403"/>
      <c r="U413" s="1394">
        <v>413</v>
      </c>
      <c r="V413" s="1421"/>
    </row>
    <row r="414" spans="1:22" ht="15.75" customHeight="1">
      <c r="A414" s="1428" t="s">
        <v>181</v>
      </c>
      <c r="B414" s="1431"/>
      <c r="C414" s="1444" t="str">
        <f>IF(Data!BV414="","",Data!BV414)</f>
        <v/>
      </c>
      <c r="D414" s="1444" t="str">
        <f>IF(Data!BW414="","",Data!BW414)</f>
        <v/>
      </c>
      <c r="E414" s="1444" t="str">
        <f>IF(Data!BX414="","",Data!BX414)</f>
        <v/>
      </c>
      <c r="F414" s="1444" t="str">
        <f>IF(Data!BY414="","",Data!BY414)</f>
        <v/>
      </c>
      <c r="G414" s="1433"/>
      <c r="H414" s="1427"/>
      <c r="I414" s="1427"/>
      <c r="J414" s="1427"/>
      <c r="K414" s="1427"/>
      <c r="L414" s="1433"/>
      <c r="M414" s="1427"/>
      <c r="N414" s="1427"/>
      <c r="O414" s="1427"/>
      <c r="P414" s="1427"/>
      <c r="Q414" s="1464"/>
      <c r="R414" s="1445"/>
      <c r="S414" s="1446"/>
      <c r="T414" s="1446"/>
      <c r="U414" s="1394">
        <v>414</v>
      </c>
      <c r="V414" s="1421"/>
    </row>
    <row r="415" spans="1:22" s="1506" customFormat="1" ht="15.75" customHeight="1">
      <c r="A415" s="1382" t="s">
        <v>183</v>
      </c>
      <c r="B415" s="1431"/>
      <c r="C415" s="1454" t="str">
        <f>IF(SUM(C413)=0,"",C413*C414)</f>
        <v/>
      </c>
      <c r="D415" s="1454" t="str">
        <f>IF(SUM(D413)=0,"",D413*D414)</f>
        <v/>
      </c>
      <c r="E415" s="1454" t="str">
        <f>IF(SUM(E413)=0,"",E413*E414)</f>
        <v/>
      </c>
      <c r="F415" s="1454" t="str">
        <f>IF(SUM(F413)=0,"",F413*F414)</f>
        <v/>
      </c>
      <c r="G415" s="1415"/>
      <c r="H415" s="1463" t="str">
        <f>IF(H413="","",H413*C414)</f>
        <v/>
      </c>
      <c r="I415" s="1463" t="str">
        <f>IF(I413="","",I413*D414)</f>
        <v/>
      </c>
      <c r="J415" s="1463" t="str">
        <f>IF(J413="","",J413*E414)</f>
        <v/>
      </c>
      <c r="K415" s="1463" t="str">
        <f>IF(K413="","",K413*F414)</f>
        <v/>
      </c>
      <c r="L415" s="1415"/>
      <c r="M415" s="1454" t="str">
        <f>IF(H415="","",SUM(H415)-SUM(C415))</f>
        <v/>
      </c>
      <c r="N415" s="1454" t="str">
        <f>IF(I415="","",SUM(I415)-SUM(D415))</f>
        <v/>
      </c>
      <c r="O415" s="1454" t="str">
        <f>IF(J415="","",SUM(J415)-SUM(E415))</f>
        <v/>
      </c>
      <c r="P415" s="1454" t="str">
        <f>IF(K415="","",SUM(K415)-SUM(F415))</f>
        <v/>
      </c>
      <c r="Q415" s="1504"/>
      <c r="R415" s="1402"/>
      <c r="S415" s="1403"/>
      <c r="T415" s="1403"/>
      <c r="U415" s="1394">
        <v>415</v>
      </c>
      <c r="V415" s="1505"/>
    </row>
    <row r="416" spans="1:22" ht="15.75" customHeight="1">
      <c r="A416" s="1500" t="str">
        <f>IF(Data!A416="","",Data!A416)</f>
        <v>Trees: quantity sold</v>
      </c>
      <c r="B416" s="1431"/>
      <c r="C416" s="1444" t="str">
        <f>IF(Data!BV416="","",Data!BV416)</f>
        <v/>
      </c>
      <c r="D416" s="1444" t="str">
        <f>IF(Data!BW416="","",Data!BW416)</f>
        <v/>
      </c>
      <c r="E416" s="1444" t="str">
        <f>IF(Data!BX416="","",Data!BX416)</f>
        <v/>
      </c>
      <c r="F416" s="1444" t="str">
        <f>IF(Data!BY416="","",Data!BY416)</f>
        <v/>
      </c>
      <c r="G416" s="1433"/>
      <c r="H416" s="1492"/>
      <c r="I416" s="1492"/>
      <c r="J416" s="1492"/>
      <c r="K416" s="1492"/>
      <c r="L416" s="1433"/>
      <c r="M416" s="1427"/>
      <c r="N416" s="1427"/>
      <c r="O416" s="1427"/>
      <c r="P416" s="1427"/>
      <c r="Q416" s="1464"/>
      <c r="R416" s="1402"/>
      <c r="S416" s="1403"/>
      <c r="T416" s="1403"/>
      <c r="U416" s="1394">
        <v>416</v>
      </c>
      <c r="V416" s="1421"/>
    </row>
    <row r="417" spans="1:22" ht="15.75" customHeight="1">
      <c r="A417" s="1428" t="s">
        <v>181</v>
      </c>
      <c r="B417" s="1443"/>
      <c r="C417" s="1444" t="str">
        <f>IF(Data!BV417="","",Data!BV417)</f>
        <v/>
      </c>
      <c r="D417" s="1444" t="str">
        <f>IF(Data!BW417="","",Data!BW417)</f>
        <v/>
      </c>
      <c r="E417" s="1444" t="str">
        <f>IF(Data!BX417="","",Data!BX417)</f>
        <v/>
      </c>
      <c r="F417" s="1444" t="str">
        <f>IF(Data!BY417="","",Data!BY417)</f>
        <v/>
      </c>
      <c r="G417" s="1431"/>
      <c r="H417" s="1427"/>
      <c r="I417" s="1427"/>
      <c r="J417" s="1427"/>
      <c r="K417" s="1427"/>
      <c r="L417" s="1431"/>
      <c r="M417" s="1427"/>
      <c r="N417" s="1427"/>
      <c r="O417" s="1427"/>
      <c r="P417" s="1427"/>
      <c r="Q417" s="1464"/>
      <c r="R417" s="1445"/>
      <c r="S417" s="1446"/>
      <c r="T417" s="1446"/>
      <c r="U417" s="1394">
        <v>417</v>
      </c>
      <c r="V417" s="1421"/>
    </row>
    <row r="418" spans="1:22" ht="15.75" customHeight="1">
      <c r="A418" s="1382" t="s">
        <v>183</v>
      </c>
      <c r="B418" s="1431"/>
      <c r="C418" s="1454" t="str">
        <f>IF(SUM(C416)=0,"",C416*C417)</f>
        <v/>
      </c>
      <c r="D418" s="1454" t="str">
        <f>IF(SUM(D416)=0,"",D416*D417)</f>
        <v/>
      </c>
      <c r="E418" s="1454" t="str">
        <f>IF(SUM(E416)=0,"",E416*E417)</f>
        <v/>
      </c>
      <c r="F418" s="1454" t="str">
        <f>IF(SUM(F416)=0,"",F416*F417)</f>
        <v/>
      </c>
      <c r="G418" s="1515"/>
      <c r="H418" s="1463" t="str">
        <f>IF(H416="","",H416*C417)</f>
        <v/>
      </c>
      <c r="I418" s="1463" t="str">
        <f>IF(I416="","",I416*D417)</f>
        <v/>
      </c>
      <c r="J418" s="1463" t="str">
        <f>IF(J416="","",J416*E417)</f>
        <v/>
      </c>
      <c r="K418" s="1463" t="str">
        <f>IF(K416="","",K416*F417)</f>
        <v/>
      </c>
      <c r="L418" s="1515"/>
      <c r="M418" s="1454" t="str">
        <f>IF(H418="","",SUM(H418)-SUM(C418))</f>
        <v/>
      </c>
      <c r="N418" s="1454" t="str">
        <f>IF(I418="","",SUM(I418)-SUM(D418))</f>
        <v/>
      </c>
      <c r="O418" s="1454" t="str">
        <f>IF(J418="","",SUM(J418)-SUM(E418))</f>
        <v/>
      </c>
      <c r="P418" s="1454" t="str">
        <f>IF(K418="","",SUM(K418)-SUM(F418))</f>
        <v/>
      </c>
      <c r="Q418" s="1464"/>
      <c r="R418" s="1402"/>
      <c r="S418" s="1403"/>
      <c r="T418" s="1403"/>
      <c r="U418" s="1394">
        <v>418</v>
      </c>
      <c r="V418" s="1421"/>
    </row>
    <row r="419" spans="1:22" ht="15.75" customHeight="1">
      <c r="A419" s="1500" t="str">
        <f>IF(Data!A419="","",Data!A419)</f>
        <v>Beetroot (cash): type</v>
      </c>
      <c r="B419" s="1431"/>
      <c r="C419" s="1444" t="str">
        <f>IF(Data!BV419="","",Data!BV419)</f>
        <v/>
      </c>
      <c r="D419" s="1444" t="str">
        <f>IF(Data!BW419="","",Data!BW419)</f>
        <v/>
      </c>
      <c r="E419" s="1444" t="str">
        <f>IF(Data!BX419="","",Data!BX419)</f>
        <v/>
      </c>
      <c r="F419" s="1444" t="str">
        <f>IF(Data!BY419="","",Data!BY419)</f>
        <v/>
      </c>
      <c r="G419" s="1516"/>
      <c r="H419" s="1427"/>
      <c r="I419" s="1427"/>
      <c r="J419" s="1427"/>
      <c r="K419" s="1427"/>
      <c r="L419" s="1516"/>
      <c r="M419" s="1502"/>
      <c r="N419" s="1502"/>
      <c r="O419" s="1502"/>
      <c r="P419" s="1502"/>
      <c r="Q419" s="1464"/>
      <c r="R419" s="1378"/>
      <c r="S419" s="1378"/>
      <c r="T419" s="1378"/>
      <c r="U419" s="1394">
        <v>419</v>
      </c>
      <c r="V419" s="1421"/>
    </row>
    <row r="420" spans="1:22" s="1510" customFormat="1" ht="15.75" customHeight="1">
      <c r="A420" s="1521" t="s">
        <v>276</v>
      </c>
      <c r="B420" s="1431"/>
      <c r="C420" s="1444" t="str">
        <f>IF(Data!BV420="","",Data!BV420)</f>
        <v/>
      </c>
      <c r="D420" s="1444" t="str">
        <f>IF(Data!BW420="","",Data!BW420)</f>
        <v/>
      </c>
      <c r="E420" s="1444" t="str">
        <f>IF(Data!BX420="","",Data!BX420)</f>
        <v/>
      </c>
      <c r="F420" s="1444" t="str">
        <f>IF(Data!BY420="","",Data!BY420)</f>
        <v/>
      </c>
      <c r="G420" s="1517"/>
      <c r="H420" s="1492"/>
      <c r="I420" s="1492"/>
      <c r="J420" s="1492"/>
      <c r="K420" s="1492"/>
      <c r="L420" s="1517"/>
      <c r="M420" s="1477"/>
      <c r="N420" s="1477"/>
      <c r="O420" s="1477"/>
      <c r="P420" s="1477"/>
      <c r="Q420" s="1478"/>
      <c r="R420" s="1402"/>
      <c r="S420" s="1403"/>
      <c r="T420" s="1403"/>
      <c r="U420" s="1394">
        <v>420</v>
      </c>
      <c r="V420" s="1509"/>
    </row>
    <row r="421" spans="1:22" s="1510" customFormat="1" ht="15.75" customHeight="1">
      <c r="A421" s="1519" t="s">
        <v>181</v>
      </c>
      <c r="B421" s="1431"/>
      <c r="C421" s="1444" t="str">
        <f>IF(Data!BV421="","",Data!BV421)</f>
        <v/>
      </c>
      <c r="D421" s="1444" t="str">
        <f>IF(Data!BW421="","",Data!BW421)</f>
        <v/>
      </c>
      <c r="E421" s="1444" t="str">
        <f>IF(Data!BX421="","",Data!BX421)</f>
        <v/>
      </c>
      <c r="F421" s="1444" t="str">
        <f>IF(Data!BY421="","",Data!BY421)</f>
        <v/>
      </c>
      <c r="G421" s="1517"/>
      <c r="H421" s="1427"/>
      <c r="I421" s="1427"/>
      <c r="J421" s="1427"/>
      <c r="K421" s="1427"/>
      <c r="L421" s="1517"/>
      <c r="M421" s="1477"/>
      <c r="N421" s="1477"/>
      <c r="O421" s="1477"/>
      <c r="P421" s="1477"/>
      <c r="Q421" s="1478"/>
      <c r="R421" s="1445"/>
      <c r="S421" s="1446"/>
      <c r="T421" s="1446"/>
      <c r="U421" s="1394">
        <v>421</v>
      </c>
      <c r="V421" s="1509"/>
    </row>
    <row r="422" spans="1:22" s="1482" customFormat="1" ht="15.75" customHeight="1">
      <c r="A422" s="1382" t="s">
        <v>183</v>
      </c>
      <c r="B422" s="1431"/>
      <c r="C422" s="1454" t="str">
        <f>IF(SUM(C420)=0,"",C420*C421)</f>
        <v/>
      </c>
      <c r="D422" s="1454" t="str">
        <f>IF(SUM(D420)=0,"",D420*D421)</f>
        <v/>
      </c>
      <c r="E422" s="1454" t="str">
        <f>IF(SUM(E420)=0,"",E420*E421)</f>
        <v/>
      </c>
      <c r="F422" s="1454" t="str">
        <f>IF(SUM(F420)=0,"",F420*F421)</f>
        <v/>
      </c>
      <c r="G422" s="1507"/>
      <c r="H422" s="1463" t="str">
        <f>IF(H420="","",H420*C421)</f>
        <v/>
      </c>
      <c r="I422" s="1463" t="str">
        <f>IF(I420="","",I420*D421)</f>
        <v/>
      </c>
      <c r="J422" s="1463" t="str">
        <f>IF(J420="","",J420*E421)</f>
        <v/>
      </c>
      <c r="K422" s="1463" t="str">
        <f>IF(K420="","",K420*F421)</f>
        <v/>
      </c>
      <c r="L422" s="1507"/>
      <c r="M422" s="1454" t="str">
        <f>IF(H422="","",SUM(H422)-SUM(C422))</f>
        <v/>
      </c>
      <c r="N422" s="1454" t="str">
        <f>IF(I422="","",SUM(I422)-SUM(D422))</f>
        <v/>
      </c>
      <c r="O422" s="1454" t="str">
        <f>IF(J422="","",SUM(J422)-SUM(E422))</f>
        <v/>
      </c>
      <c r="P422" s="1454" t="str">
        <f>IF(K422="","",SUM(K422)-SUM(F422))</f>
        <v/>
      </c>
      <c r="Q422" s="1480"/>
      <c r="R422" s="1402"/>
      <c r="S422" s="1403"/>
      <c r="T422" s="1403"/>
      <c r="U422" s="1394">
        <v>422</v>
      </c>
      <c r="V422" s="1481"/>
    </row>
    <row r="423" spans="1:22" ht="15.75" customHeight="1">
      <c r="A423" s="1500" t="str">
        <f>IF(Data!A423="","",Data!A423)</f>
        <v>Other cash crop: type</v>
      </c>
      <c r="B423" s="1443"/>
      <c r="C423" s="1444" t="str">
        <f>IF(Data!BV423="","",Data!BV423)</f>
        <v/>
      </c>
      <c r="D423" s="1444" t="str">
        <f>IF(Data!BW423="","",Data!BW423)</f>
        <v/>
      </c>
      <c r="E423" s="1444" t="str">
        <f>IF(Data!BX423="","",Data!BX423)</f>
        <v/>
      </c>
      <c r="F423" s="1444" t="str">
        <f>IF(Data!BY423="","",Data!BY423)</f>
        <v/>
      </c>
      <c r="G423" s="1516"/>
      <c r="H423" s="1427"/>
      <c r="I423" s="1427"/>
      <c r="J423" s="1427"/>
      <c r="K423" s="1427"/>
      <c r="L423" s="1516"/>
      <c r="M423" s="1502"/>
      <c r="N423" s="1502"/>
      <c r="O423" s="1502"/>
      <c r="P423" s="1502"/>
      <c r="Q423" s="1464"/>
      <c r="R423" s="1378"/>
      <c r="S423" s="1378"/>
      <c r="T423" s="1378"/>
      <c r="U423" s="1394">
        <v>423</v>
      </c>
      <c r="V423" s="1421"/>
    </row>
    <row r="424" spans="1:22" s="1510" customFormat="1" ht="15.75" customHeight="1">
      <c r="A424" s="1521" t="s">
        <v>276</v>
      </c>
      <c r="B424" s="1431"/>
      <c r="C424" s="1444" t="str">
        <f>IF(Data!BV424="","",Data!BV424)</f>
        <v/>
      </c>
      <c r="D424" s="1444" t="str">
        <f>IF(Data!BW424="","",Data!BW424)</f>
        <v/>
      </c>
      <c r="E424" s="1444" t="str">
        <f>IF(Data!BX424="","",Data!BX424)</f>
        <v/>
      </c>
      <c r="F424" s="1444" t="str">
        <f>IF(Data!BY424="","",Data!BY424)</f>
        <v/>
      </c>
      <c r="G424" s="1517"/>
      <c r="H424" s="1492"/>
      <c r="I424" s="1492"/>
      <c r="J424" s="1492"/>
      <c r="K424" s="1492"/>
      <c r="L424" s="1517"/>
      <c r="M424" s="1477"/>
      <c r="N424" s="1477"/>
      <c r="O424" s="1477"/>
      <c r="P424" s="1477"/>
      <c r="Q424" s="1478"/>
      <c r="R424" s="1402"/>
      <c r="S424" s="1403"/>
      <c r="T424" s="1403"/>
      <c r="U424" s="1394">
        <v>424</v>
      </c>
      <c r="V424" s="1509"/>
    </row>
    <row r="425" spans="1:22" s="1510" customFormat="1" ht="15.75" customHeight="1">
      <c r="A425" s="1519" t="s">
        <v>181</v>
      </c>
      <c r="B425" s="1431"/>
      <c r="C425" s="1444" t="str">
        <f>IF(Data!BV425="","",Data!BV425)</f>
        <v/>
      </c>
      <c r="D425" s="1444" t="str">
        <f>IF(Data!BW425="","",Data!BW425)</f>
        <v/>
      </c>
      <c r="E425" s="1444" t="str">
        <f>IF(Data!BX425="","",Data!BX425)</f>
        <v/>
      </c>
      <c r="F425" s="1444" t="str">
        <f>IF(Data!BY425="","",Data!BY425)</f>
        <v/>
      </c>
      <c r="G425" s="1517"/>
      <c r="H425" s="1427"/>
      <c r="I425" s="1427"/>
      <c r="J425" s="1427"/>
      <c r="K425" s="1427"/>
      <c r="L425" s="1517"/>
      <c r="M425" s="1477"/>
      <c r="N425" s="1477"/>
      <c r="O425" s="1477"/>
      <c r="P425" s="1477"/>
      <c r="Q425" s="1478"/>
      <c r="R425" s="1445"/>
      <c r="S425" s="1446"/>
      <c r="T425" s="1446"/>
      <c r="U425" s="1394">
        <v>425</v>
      </c>
      <c r="V425" s="1509"/>
    </row>
    <row r="426" spans="1:22" s="1482" customFormat="1" ht="15.75" customHeight="1">
      <c r="A426" s="1428" t="s">
        <v>183</v>
      </c>
      <c r="B426" s="1431"/>
      <c r="C426" s="1454" t="str">
        <f>IF(SUM(C424)=0,"",C424*C425)</f>
        <v/>
      </c>
      <c r="D426" s="1454" t="str">
        <f>IF(SUM(D424)=0,"",D424*D425)</f>
        <v/>
      </c>
      <c r="E426" s="1454" t="str">
        <f>IF(SUM(E424)=0,"",E424*E425)</f>
        <v/>
      </c>
      <c r="F426" s="1454" t="str">
        <f>IF(SUM(F424)=0,"",F424*F425)</f>
        <v/>
      </c>
      <c r="G426" s="1507"/>
      <c r="H426" s="1463" t="str">
        <f>IF(H424="","",H424*C425)</f>
        <v/>
      </c>
      <c r="I426" s="1463" t="str">
        <f>IF(I424="","",I424*D425)</f>
        <v/>
      </c>
      <c r="J426" s="1463" t="str">
        <f>IF(J424="","",J424*E425)</f>
        <v/>
      </c>
      <c r="K426" s="1463" t="str">
        <f>IF(K424="","",K424*F425)</f>
        <v/>
      </c>
      <c r="L426" s="1507"/>
      <c r="M426" s="1454" t="str">
        <f>IF(H426="","",SUM(H426)-SUM(C426))</f>
        <v/>
      </c>
      <c r="N426" s="1454" t="str">
        <f>IF(I426="","",SUM(I426)-SUM(D426))</f>
        <v/>
      </c>
      <c r="O426" s="1454" t="str">
        <f>IF(J426="","",SUM(J426)-SUM(E426))</f>
        <v/>
      </c>
      <c r="P426" s="1454" t="str">
        <f>IF(K426="","",SUM(K426)-SUM(F426))</f>
        <v/>
      </c>
      <c r="Q426" s="1480"/>
      <c r="R426" s="1402"/>
      <c r="S426" s="1403"/>
      <c r="T426" s="1403"/>
      <c r="U426" s="1394">
        <v>426</v>
      </c>
      <c r="V426" s="1481"/>
    </row>
    <row r="427" spans="1:22" s="1482" customFormat="1" ht="15.75" customHeight="1">
      <c r="A427" s="1522" t="s">
        <v>277</v>
      </c>
      <c r="B427" s="1431"/>
      <c r="C427" s="1448"/>
      <c r="D427" s="1448"/>
      <c r="E427" s="1448"/>
      <c r="F427" s="1448"/>
      <c r="G427" s="1430"/>
      <c r="H427" s="1523"/>
      <c r="I427" s="1523"/>
      <c r="J427" s="1523"/>
      <c r="K427" s="1523"/>
      <c r="L427" s="1430"/>
      <c r="M427" s="1489"/>
      <c r="N427" s="1489"/>
      <c r="O427" s="1489"/>
      <c r="P427" s="1489"/>
      <c r="Q427" s="1524"/>
      <c r="R427" s="1402"/>
      <c r="S427" s="1403"/>
      <c r="T427" s="1403"/>
      <c r="U427" s="1394">
        <v>427</v>
      </c>
      <c r="V427" s="1481"/>
    </row>
    <row r="428" spans="1:22" s="1510" customFormat="1" ht="15.75" customHeight="1">
      <c r="A428" s="1500" t="str">
        <f>IF(Data!A428="","",Data!A428)</f>
        <v>FISHING -- see worksheet Data 3</v>
      </c>
      <c r="B428" s="1455"/>
      <c r="C428" s="1444" t="str">
        <f>IF(Data!BV428="","",Data!BV428)</f>
        <v/>
      </c>
      <c r="D428" s="1444" t="str">
        <f>IF(Data!BW428="","",Data!BW428)</f>
        <v/>
      </c>
      <c r="E428" s="1444" t="str">
        <f>IF(Data!BX428="","",Data!BX428)</f>
        <v/>
      </c>
      <c r="F428" s="1444" t="str">
        <f>IF(Data!BY428="","",Data!BY428)</f>
        <v/>
      </c>
      <c r="G428" s="1493"/>
      <c r="H428" s="1427"/>
      <c r="I428" s="1427"/>
      <c r="J428" s="1427"/>
      <c r="K428" s="1427"/>
      <c r="L428" s="1493"/>
      <c r="M428" s="1477"/>
      <c r="N428" s="1477"/>
      <c r="O428" s="1477"/>
      <c r="P428" s="1477"/>
      <c r="Q428" s="1464"/>
      <c r="R428" s="1402"/>
      <c r="S428" s="1403"/>
      <c r="T428" s="1403"/>
      <c r="U428" s="1394">
        <v>428</v>
      </c>
      <c r="V428" s="1525"/>
    </row>
    <row r="429" spans="1:22" ht="15.75" hidden="1" customHeight="1">
      <c r="A429" s="1526" t="s">
        <v>265</v>
      </c>
      <c r="B429" s="1431"/>
      <c r="C429" s="1488" t="str">
        <f>IF(Data!BV429="","",Data!BV429)</f>
        <v/>
      </c>
      <c r="D429" s="1488" t="str">
        <f>IF(Data!BW429="","",Data!BW429)</f>
        <v/>
      </c>
      <c r="E429" s="1488" t="str">
        <f>IF(Data!BX429="","",Data!BX429)</f>
        <v/>
      </c>
      <c r="F429" s="1488" t="str">
        <f>IF(Data!BY429="","",Data!BY429)</f>
        <v/>
      </c>
      <c r="G429" s="1493"/>
      <c r="H429" s="1427"/>
      <c r="I429" s="1427"/>
      <c r="J429" s="1427"/>
      <c r="K429" s="1427"/>
      <c r="L429" s="1493"/>
      <c r="M429" s="1477"/>
      <c r="N429" s="1477"/>
      <c r="O429" s="1477"/>
      <c r="P429" s="1477"/>
      <c r="Q429" s="1464"/>
      <c r="R429" s="1378"/>
      <c r="S429" s="1378"/>
      <c r="T429" s="1378"/>
      <c r="U429" s="1394">
        <v>429</v>
      </c>
      <c r="V429" s="1357"/>
    </row>
    <row r="430" spans="1:22" ht="15.75" hidden="1" customHeight="1">
      <c r="A430" s="1527" t="s">
        <v>266</v>
      </c>
      <c r="B430" s="1515"/>
      <c r="C430" s="1488" t="str">
        <f>IF(Data!BV430="","",Data!BV430)</f>
        <v/>
      </c>
      <c r="D430" s="1488" t="str">
        <f>IF(Data!BW430="","",Data!BW430)</f>
        <v/>
      </c>
      <c r="E430" s="1488" t="str">
        <f>IF(Data!BX430="","",Data!BX430)</f>
        <v/>
      </c>
      <c r="F430" s="1488" t="str">
        <f>IF(Data!BY430="","",Data!BY430)</f>
        <v/>
      </c>
      <c r="G430" s="1493"/>
      <c r="H430" s="1427"/>
      <c r="I430" s="1427"/>
      <c r="J430" s="1427"/>
      <c r="K430" s="1427"/>
      <c r="L430" s="1493"/>
      <c r="M430" s="1477"/>
      <c r="N430" s="1477"/>
      <c r="O430" s="1477"/>
      <c r="P430" s="1477"/>
      <c r="Q430" s="1464"/>
      <c r="R430" s="1402"/>
      <c r="S430" s="1403"/>
      <c r="T430" s="1403"/>
      <c r="U430" s="1394">
        <v>430</v>
      </c>
      <c r="V430" s="1357"/>
    </row>
    <row r="431" spans="1:22" ht="15.75" hidden="1" customHeight="1">
      <c r="A431" s="1527" t="s">
        <v>271</v>
      </c>
      <c r="B431" s="1433"/>
      <c r="C431" s="1479" t="str">
        <f>IF(C428="","",C428*C430)</f>
        <v/>
      </c>
      <c r="D431" s="1479" t="str">
        <f>IF(D428="","",D428*D430)</f>
        <v/>
      </c>
      <c r="E431" s="1479" t="str">
        <f>IF(E428="","",E428*E430)</f>
        <v/>
      </c>
      <c r="F431" s="1479" t="str">
        <f>IF(F428="","",F428*F430)</f>
        <v/>
      </c>
      <c r="G431" s="1443"/>
      <c r="H431" s="1427"/>
      <c r="I431" s="1427"/>
      <c r="J431" s="1427"/>
      <c r="K431" s="1427"/>
      <c r="L431" s="1443"/>
      <c r="M431" s="1427"/>
      <c r="N431" s="1427"/>
      <c r="O431" s="1427"/>
      <c r="P431" s="1427"/>
      <c r="Q431" s="1464"/>
      <c r="R431" s="1402"/>
      <c r="S431" s="1403"/>
      <c r="T431" s="1403"/>
      <c r="U431" s="1394">
        <v>431</v>
      </c>
      <c r="V431" s="1357"/>
    </row>
    <row r="432" spans="1:22" ht="15.75" hidden="1" customHeight="1">
      <c r="A432" s="1527" t="s">
        <v>256</v>
      </c>
      <c r="B432" s="1433"/>
      <c r="C432" s="1488" t="str">
        <f>IF(Data!BV432="","",Data!BV432)</f>
        <v/>
      </c>
      <c r="D432" s="1488" t="str">
        <f>IF(Data!BW432="","",Data!BW432)</f>
        <v/>
      </c>
      <c r="E432" s="1488" t="str">
        <f>IF(Data!BX432="","",Data!BX432)</f>
        <v/>
      </c>
      <c r="F432" s="1488" t="str">
        <f>IF(Data!BY432="","",Data!BY432)</f>
        <v/>
      </c>
      <c r="G432" s="1443"/>
      <c r="H432" s="1427"/>
      <c r="I432" s="1427"/>
      <c r="J432" s="1427"/>
      <c r="K432" s="1427"/>
      <c r="L432" s="1443"/>
      <c r="M432" s="1427"/>
      <c r="N432" s="1427"/>
      <c r="O432" s="1427"/>
      <c r="P432" s="1427"/>
      <c r="Q432" s="1464"/>
      <c r="R432" s="1402"/>
      <c r="S432" s="1403"/>
      <c r="T432" s="1403"/>
      <c r="U432" s="1394">
        <v>432</v>
      </c>
      <c r="V432" s="1357"/>
    </row>
    <row r="433" spans="1:22" ht="15.75" hidden="1" customHeight="1">
      <c r="A433" s="1526" t="s">
        <v>257</v>
      </c>
      <c r="B433" s="1433"/>
      <c r="C433" s="1488" t="str">
        <f>IF(Data!BV433="","",Data!BV433)</f>
        <v/>
      </c>
      <c r="D433" s="1488" t="str">
        <f>IF(Data!BW433="","",Data!BW433)</f>
        <v/>
      </c>
      <c r="E433" s="1488" t="str">
        <f>IF(Data!BX433="","",Data!BX433)</f>
        <v/>
      </c>
      <c r="F433" s="1488" t="str">
        <f>IF(Data!BY433="","",Data!BY433)</f>
        <v/>
      </c>
      <c r="G433" s="1443"/>
      <c r="H433" s="1492"/>
      <c r="I433" s="1492"/>
      <c r="J433" s="1492"/>
      <c r="K433" s="1492"/>
      <c r="L433" s="1443"/>
      <c r="M433" s="1427"/>
      <c r="N433" s="1427"/>
      <c r="O433" s="1427"/>
      <c r="P433" s="1427"/>
      <c r="Q433" s="1464"/>
      <c r="R433" s="1402"/>
      <c r="S433" s="1403"/>
      <c r="T433" s="1403"/>
      <c r="U433" s="1394">
        <v>433</v>
      </c>
      <c r="V433" s="1357"/>
    </row>
    <row r="434" spans="1:22" ht="15.75" hidden="1" customHeight="1">
      <c r="A434" s="1528" t="s">
        <v>181</v>
      </c>
      <c r="B434" s="1431"/>
      <c r="C434" s="1488" t="str">
        <f>IF(Data!BV434="","",Data!BV434)</f>
        <v/>
      </c>
      <c r="D434" s="1488" t="str">
        <f>IF(Data!BW434="","",Data!BW434)</f>
        <v/>
      </c>
      <c r="E434" s="1488" t="str">
        <f>IF(Data!BX434="","",Data!BX434)</f>
        <v/>
      </c>
      <c r="F434" s="1488" t="str">
        <f>IF(Data!BY434="","",Data!BY434)</f>
        <v/>
      </c>
      <c r="G434" s="1443"/>
      <c r="H434" s="1427"/>
      <c r="I434" s="1427"/>
      <c r="J434" s="1427"/>
      <c r="K434" s="1427"/>
      <c r="L434" s="1443"/>
      <c r="M434" s="1427"/>
      <c r="N434" s="1427"/>
      <c r="O434" s="1427"/>
      <c r="P434" s="1427"/>
      <c r="Q434" s="1464"/>
      <c r="R434" s="1445"/>
      <c r="S434" s="1446"/>
      <c r="T434" s="1446"/>
      <c r="U434" s="1394">
        <v>434</v>
      </c>
      <c r="V434" s="1357"/>
    </row>
    <row r="435" spans="1:22" ht="15.75" customHeight="1">
      <c r="A435" s="1428" t="s">
        <v>183</v>
      </c>
      <c r="B435" s="1461"/>
      <c r="C435" s="1479">
        <f>IF(Data!BV435="","",Data!BV435)</f>
        <v>0</v>
      </c>
      <c r="D435" s="1479">
        <f>IF(Data!BW435="","",Data!BW435)</f>
        <v>0</v>
      </c>
      <c r="E435" s="1479">
        <f>IF(Data!BX435="","",Data!BX435)</f>
        <v>0</v>
      </c>
      <c r="F435" s="1479">
        <f>IF(Data!BY435="","",Data!BY435)</f>
        <v>0</v>
      </c>
      <c r="G435" s="1507"/>
      <c r="H435" s="1479">
        <f>'Data 3'!DP84</f>
        <v>0</v>
      </c>
      <c r="I435" s="1479">
        <f>'Data 3'!DQ84</f>
        <v>0</v>
      </c>
      <c r="J435" s="1479">
        <f>'Data 3'!DR84</f>
        <v>0</v>
      </c>
      <c r="K435" s="1479">
        <f>'Data 3'!DS84</f>
        <v>0</v>
      </c>
      <c r="L435" s="1507"/>
      <c r="M435" s="1454">
        <f>IF(H435="","",SUM(H435)-SUM(C435))</f>
        <v>0</v>
      </c>
      <c r="N435" s="1454">
        <f>IF(I435="","",SUM(I435)-SUM(D435))</f>
        <v>0</v>
      </c>
      <c r="O435" s="1454">
        <f>IF(J435="","",SUM(J435)-SUM(E435))</f>
        <v>0</v>
      </c>
      <c r="P435" s="1454">
        <f>IF(K435="","",SUM(K435)-SUM(F435))</f>
        <v>0</v>
      </c>
      <c r="Q435" s="1464"/>
      <c r="R435" s="1402"/>
      <c r="S435" s="1403"/>
      <c r="T435" s="1403"/>
      <c r="U435" s="1394">
        <v>435</v>
      </c>
      <c r="V435" s="1357"/>
    </row>
    <row r="436" spans="1:22" ht="15.75" hidden="1" customHeight="1">
      <c r="A436" s="1428" t="s">
        <v>258</v>
      </c>
      <c r="B436" s="1461"/>
      <c r="C436" s="1444" t="str">
        <f>IF(Data!BV436="","",Data!BV436)</f>
        <v/>
      </c>
      <c r="D436" s="1444" t="str">
        <f>IF(Data!BW436="","",Data!BW436)</f>
        <v/>
      </c>
      <c r="E436" s="1444" t="str">
        <f>IF(Data!BX436="","",Data!BX436)</f>
        <v/>
      </c>
      <c r="F436" s="1444" t="str">
        <f>IF(Data!BY436="","",Data!BY436)</f>
        <v/>
      </c>
      <c r="G436" s="1507"/>
      <c r="H436" s="1488"/>
      <c r="I436" s="1488"/>
      <c r="J436" s="1488"/>
      <c r="K436" s="1488"/>
      <c r="L436" s="1507"/>
      <c r="M436" s="1427"/>
      <c r="N436" s="1427"/>
      <c r="O436" s="1427"/>
      <c r="P436" s="1427"/>
      <c r="Q436" s="1464"/>
      <c r="R436" s="1402"/>
      <c r="S436" s="1403"/>
      <c r="T436" s="1403"/>
      <c r="U436" s="1394">
        <v>436</v>
      </c>
      <c r="V436" s="1357"/>
    </row>
    <row r="437" spans="1:22" ht="15.75" customHeight="1">
      <c r="A437" s="1429" t="s">
        <v>252</v>
      </c>
      <c r="B437" s="1443"/>
      <c r="C437" s="1483">
        <f>IF(Data!BV437="","",Data!BV437)</f>
        <v>0</v>
      </c>
      <c r="D437" s="1483">
        <f>IF(Data!BW437="","",Data!BW437)</f>
        <v>0</v>
      </c>
      <c r="E437" s="1483">
        <f>IF(Data!BX437="","",Data!BX437)</f>
        <v>0</v>
      </c>
      <c r="F437" s="1483">
        <f>IF(Data!BY437="","",Data!BY437)</f>
        <v>1.1706102117061022E-2</v>
      </c>
      <c r="G437" s="1455"/>
      <c r="H437" s="1483">
        <f>'Data 3'!DP85</f>
        <v>0</v>
      </c>
      <c r="I437" s="1483">
        <f>'Data 3'!DQ85</f>
        <v>0</v>
      </c>
      <c r="J437" s="1483">
        <f>'Data 3'!DR85</f>
        <v>0</v>
      </c>
      <c r="K437" s="1483">
        <f>'Data 3'!DS85</f>
        <v>1.4632627646326278E-2</v>
      </c>
      <c r="L437" s="1455"/>
      <c r="M437" s="1484">
        <f>IF(H437="","",SUM(H437)-SUM(C437))</f>
        <v>0</v>
      </c>
      <c r="N437" s="1484">
        <f>IF(I437="","",SUM(I437)-SUM(D437))</f>
        <v>0</v>
      </c>
      <c r="O437" s="1484">
        <f>IF(J437="","",SUM(J437)-SUM(E437))</f>
        <v>0</v>
      </c>
      <c r="P437" s="1484">
        <f>IF(K437="","",SUM(K437)-SUM(F437))</f>
        <v>2.9265255292652559E-3</v>
      </c>
      <c r="Q437" s="1464"/>
      <c r="R437" s="1392"/>
      <c r="S437" s="1393"/>
      <c r="T437" s="1393"/>
      <c r="U437" s="1394">
        <v>437</v>
      </c>
      <c r="V437" s="1357"/>
    </row>
    <row r="438" spans="1:22" s="1510" customFormat="1" ht="15.75" customHeight="1">
      <c r="A438" s="1500" t="str">
        <f>IF(Data!A438="","",Data!A438)</f>
        <v>WILD FOODS -- see worksheet Data 3</v>
      </c>
      <c r="B438" s="1431"/>
      <c r="C438" s="1444" t="str">
        <f>IF(Data!BV438="","",Data!BV438)</f>
        <v/>
      </c>
      <c r="D438" s="1444" t="str">
        <f>IF(Data!BW438="","",Data!BW438)</f>
        <v/>
      </c>
      <c r="E438" s="1444" t="str">
        <f>IF(Data!BX438="","",Data!BX438)</f>
        <v/>
      </c>
      <c r="F438" s="1444" t="str">
        <f>IF(Data!BY438="","",Data!BY438)</f>
        <v/>
      </c>
      <c r="G438" s="1493"/>
      <c r="H438" s="1427"/>
      <c r="I438" s="1427"/>
      <c r="J438" s="1427"/>
      <c r="K438" s="1427"/>
      <c r="L438" s="1493"/>
      <c r="M438" s="1477"/>
      <c r="N438" s="1477"/>
      <c r="O438" s="1477"/>
      <c r="P438" s="1477"/>
      <c r="Q438" s="1464"/>
      <c r="R438" s="1402"/>
      <c r="S438" s="1403"/>
      <c r="T438" s="1403"/>
      <c r="U438" s="1394">
        <v>438</v>
      </c>
      <c r="V438" s="1525"/>
    </row>
    <row r="439" spans="1:22" ht="15.75" hidden="1" customHeight="1">
      <c r="A439" s="1526" t="s">
        <v>265</v>
      </c>
      <c r="B439" s="1461"/>
      <c r="C439" s="1488" t="str">
        <f>IF(Data!BV439="","",Data!BV439)</f>
        <v/>
      </c>
      <c r="D439" s="1488" t="str">
        <f>IF(Data!BW439="","",Data!BW439)</f>
        <v/>
      </c>
      <c r="E439" s="1488" t="str">
        <f>IF(Data!BX439="","",Data!BX439)</f>
        <v/>
      </c>
      <c r="F439" s="1488" t="str">
        <f>IF(Data!BY439="","",Data!BY439)</f>
        <v/>
      </c>
      <c r="G439" s="1493"/>
      <c r="H439" s="1427"/>
      <c r="I439" s="1427"/>
      <c r="J439" s="1427"/>
      <c r="K439" s="1427"/>
      <c r="L439" s="1493"/>
      <c r="M439" s="1477"/>
      <c r="N439" s="1477"/>
      <c r="O439" s="1477"/>
      <c r="P439" s="1477"/>
      <c r="Q439" s="1464"/>
      <c r="R439" s="1378"/>
      <c r="S439" s="1378"/>
      <c r="T439" s="1378"/>
      <c r="U439" s="1394">
        <v>439</v>
      </c>
      <c r="V439" s="1357"/>
    </row>
    <row r="440" spans="1:22" ht="15.75" hidden="1" customHeight="1">
      <c r="A440" s="1527" t="s">
        <v>266</v>
      </c>
      <c r="B440" s="1431"/>
      <c r="C440" s="1488" t="str">
        <f>IF(Data!BV440="","",Data!BV440)</f>
        <v/>
      </c>
      <c r="D440" s="1488" t="str">
        <f>IF(Data!BW440="","",Data!BW440)</f>
        <v/>
      </c>
      <c r="E440" s="1488" t="str">
        <f>IF(Data!BX440="","",Data!BX440)</f>
        <v/>
      </c>
      <c r="F440" s="1488" t="str">
        <f>IF(Data!BY440="","",Data!BY440)</f>
        <v/>
      </c>
      <c r="G440" s="1493"/>
      <c r="H440" s="1427"/>
      <c r="I440" s="1427"/>
      <c r="J440" s="1427"/>
      <c r="K440" s="1427"/>
      <c r="L440" s="1493"/>
      <c r="M440" s="1477"/>
      <c r="N440" s="1477"/>
      <c r="O440" s="1477"/>
      <c r="P440" s="1477"/>
      <c r="Q440" s="1464"/>
      <c r="R440" s="1402"/>
      <c r="S440" s="1403"/>
      <c r="T440" s="1403"/>
      <c r="U440" s="1394">
        <v>440</v>
      </c>
      <c r="V440" s="1357"/>
    </row>
    <row r="441" spans="1:22" ht="15.75" hidden="1" customHeight="1">
      <c r="A441" s="1527" t="s">
        <v>271</v>
      </c>
      <c r="B441" s="1431"/>
      <c r="C441" s="1479" t="str">
        <f>IF(C438="","",C438*C440)</f>
        <v/>
      </c>
      <c r="D441" s="1479" t="str">
        <f>IF(D438="","",D438*D440)</f>
        <v/>
      </c>
      <c r="E441" s="1479" t="str">
        <f>IF(E438="","",E438*E440)</f>
        <v/>
      </c>
      <c r="F441" s="1479" t="str">
        <f>IF(F438="","",F438*F440)</f>
        <v/>
      </c>
      <c r="G441" s="1443"/>
      <c r="H441" s="1427"/>
      <c r="I441" s="1427"/>
      <c r="J441" s="1427"/>
      <c r="K441" s="1427"/>
      <c r="L441" s="1443"/>
      <c r="M441" s="1427"/>
      <c r="N441" s="1427"/>
      <c r="O441" s="1427"/>
      <c r="P441" s="1427"/>
      <c r="Q441" s="1464"/>
      <c r="R441" s="1402"/>
      <c r="S441" s="1403"/>
      <c r="T441" s="1403"/>
      <c r="U441" s="1394">
        <v>441</v>
      </c>
      <c r="V441" s="1357"/>
    </row>
    <row r="442" spans="1:22" ht="15.75" hidden="1" customHeight="1">
      <c r="A442" s="1527" t="s">
        <v>256</v>
      </c>
      <c r="B442" s="1431"/>
      <c r="C442" s="1488" t="str">
        <f>IF(Data!BV442="","",Data!BV442)</f>
        <v/>
      </c>
      <c r="D442" s="1488" t="str">
        <f>IF(Data!BW442="","",Data!BW442)</f>
        <v/>
      </c>
      <c r="E442" s="1488" t="str">
        <f>IF(Data!BX442="","",Data!BX442)</f>
        <v/>
      </c>
      <c r="F442" s="1488" t="str">
        <f>IF(Data!BY442="","",Data!BY442)</f>
        <v/>
      </c>
      <c r="G442" s="1443"/>
      <c r="H442" s="1427"/>
      <c r="I442" s="1427"/>
      <c r="J442" s="1427"/>
      <c r="K442" s="1427"/>
      <c r="L442" s="1443"/>
      <c r="M442" s="1427"/>
      <c r="N442" s="1427"/>
      <c r="O442" s="1427"/>
      <c r="P442" s="1427"/>
      <c r="Q442" s="1464"/>
      <c r="R442" s="1402"/>
      <c r="S442" s="1403"/>
      <c r="T442" s="1403"/>
      <c r="U442" s="1394">
        <v>442</v>
      </c>
      <c r="V442" s="1357"/>
    </row>
    <row r="443" spans="1:22" ht="15.75" hidden="1" customHeight="1">
      <c r="A443" s="1526" t="s">
        <v>257</v>
      </c>
      <c r="B443" s="1431"/>
      <c r="C443" s="1488" t="str">
        <f>IF(Data!BV443="","",Data!BV443)</f>
        <v/>
      </c>
      <c r="D443" s="1488" t="str">
        <f>IF(Data!BW443="","",Data!BW443)</f>
        <v/>
      </c>
      <c r="E443" s="1488" t="str">
        <f>IF(Data!BX443="","",Data!BX443)</f>
        <v/>
      </c>
      <c r="F443" s="1488" t="str">
        <f>IF(Data!BY443="","",Data!BY443)</f>
        <v/>
      </c>
      <c r="G443" s="1443"/>
      <c r="H443" s="1492"/>
      <c r="I443" s="1492"/>
      <c r="J443" s="1492"/>
      <c r="K443" s="1492"/>
      <c r="L443" s="1443"/>
      <c r="M443" s="1427"/>
      <c r="N443" s="1427"/>
      <c r="O443" s="1427"/>
      <c r="P443" s="1427"/>
      <c r="Q443" s="1464"/>
      <c r="R443" s="1402"/>
      <c r="S443" s="1403"/>
      <c r="T443" s="1403"/>
      <c r="U443" s="1394">
        <v>443</v>
      </c>
      <c r="V443" s="1357"/>
    </row>
    <row r="444" spans="1:22" ht="15.75" hidden="1" customHeight="1">
      <c r="A444" s="1528" t="s">
        <v>181</v>
      </c>
      <c r="B444" s="1461"/>
      <c r="C444" s="1488" t="str">
        <f>IF(Data!BV444="","",Data!BV444)</f>
        <v/>
      </c>
      <c r="D444" s="1488" t="str">
        <f>IF(Data!BW444="","",Data!BW444)</f>
        <v/>
      </c>
      <c r="E444" s="1488" t="str">
        <f>IF(Data!BX444="","",Data!BX444)</f>
        <v/>
      </c>
      <c r="F444" s="1488" t="str">
        <f>IF(Data!BY444="","",Data!BY444)</f>
        <v/>
      </c>
      <c r="G444" s="1443"/>
      <c r="H444" s="1427"/>
      <c r="I444" s="1427"/>
      <c r="J444" s="1427"/>
      <c r="K444" s="1427"/>
      <c r="L444" s="1443"/>
      <c r="M444" s="1427"/>
      <c r="N444" s="1427"/>
      <c r="O444" s="1427"/>
      <c r="P444" s="1427"/>
      <c r="Q444" s="1464"/>
      <c r="R444" s="1445"/>
      <c r="S444" s="1446"/>
      <c r="T444" s="1446"/>
      <c r="U444" s="1394">
        <v>444</v>
      </c>
      <c r="V444" s="1357"/>
    </row>
    <row r="445" spans="1:22" ht="15.75" customHeight="1">
      <c r="A445" s="1428" t="s">
        <v>183</v>
      </c>
      <c r="B445" s="1461"/>
      <c r="C445" s="1479">
        <f>IF(Data!BV445="","",Data!BV445)</f>
        <v>0</v>
      </c>
      <c r="D445" s="1479">
        <f>IF(Data!BW445="","",Data!BW445)</f>
        <v>0</v>
      </c>
      <c r="E445" s="1479">
        <f>IF(Data!BX445="","",Data!BX445)</f>
        <v>0</v>
      </c>
      <c r="F445" s="1479">
        <f>IF(Data!BY445="","",Data!BY445)</f>
        <v>0</v>
      </c>
      <c r="G445" s="1507"/>
      <c r="H445" s="1479">
        <f>'Data 3'!DP45</f>
        <v>0</v>
      </c>
      <c r="I445" s="1479">
        <f>'Data 3'!DQ45</f>
        <v>0</v>
      </c>
      <c r="J445" s="1479">
        <f>'Data 3'!DR45</f>
        <v>0</v>
      </c>
      <c r="K445" s="1479">
        <f>'Data 3'!DS45</f>
        <v>0</v>
      </c>
      <c r="L445" s="1507"/>
      <c r="M445" s="1454">
        <f>IF(H445="","",SUM(H445)-SUM(C445))</f>
        <v>0</v>
      </c>
      <c r="N445" s="1454">
        <f>IF(I445="","",SUM(I445)-SUM(D445))</f>
        <v>0</v>
      </c>
      <c r="O445" s="1454">
        <f>IF(J445="","",SUM(J445)-SUM(E445))</f>
        <v>0</v>
      </c>
      <c r="P445" s="1454">
        <f>IF(K445="","",SUM(K445)-SUM(F445))</f>
        <v>0</v>
      </c>
      <c r="Q445" s="1464"/>
      <c r="R445" s="1402"/>
      <c r="S445" s="1403"/>
      <c r="T445" s="1403"/>
      <c r="U445" s="1394">
        <v>445</v>
      </c>
      <c r="V445" s="1357"/>
    </row>
    <row r="446" spans="1:22" ht="15.75" hidden="1" customHeight="1">
      <c r="A446" s="1428" t="s">
        <v>258</v>
      </c>
      <c r="B446" s="1443"/>
      <c r="C446" s="1444" t="str">
        <f>IF(Data!BV446="","",Data!BV446)</f>
        <v/>
      </c>
      <c r="D446" s="1444" t="str">
        <f>IF(Data!BW446="","",Data!BW446)</f>
        <v/>
      </c>
      <c r="E446" s="1444" t="str">
        <f>IF(Data!BX446="","",Data!BX446)</f>
        <v/>
      </c>
      <c r="F446" s="1444" t="str">
        <f>IF(Data!BY446="","",Data!BY446)</f>
        <v/>
      </c>
      <c r="G446" s="1507"/>
      <c r="H446" s="1488"/>
      <c r="I446" s="1488"/>
      <c r="J446" s="1488"/>
      <c r="K446" s="1488"/>
      <c r="L446" s="1507"/>
      <c r="M446" s="1427"/>
      <c r="N446" s="1427"/>
      <c r="O446" s="1427"/>
      <c r="P446" s="1427"/>
      <c r="Q446" s="1464"/>
      <c r="R446" s="1402"/>
      <c r="S446" s="1403"/>
      <c r="T446" s="1403"/>
      <c r="U446" s="1394">
        <v>446</v>
      </c>
      <c r="V446" s="1357"/>
    </row>
    <row r="447" spans="1:22" ht="15.75" customHeight="1">
      <c r="A447" s="1429" t="s">
        <v>252</v>
      </c>
      <c r="B447" s="1459"/>
      <c r="C447" s="1483">
        <f>IF(Data!BV447="","",Data!BV447)</f>
        <v>0</v>
      </c>
      <c r="D447" s="1483">
        <f>IF(Data!BW447="","",Data!BW447)</f>
        <v>0</v>
      </c>
      <c r="E447" s="1483">
        <f>IF(Data!BX447="","",Data!BX447)</f>
        <v>0</v>
      </c>
      <c r="F447" s="1483">
        <f>IF(Data!BY447="","",Data!BY447)</f>
        <v>0</v>
      </c>
      <c r="G447" s="1455"/>
      <c r="H447" s="1483">
        <f>'Data 3'!DP46</f>
        <v>0</v>
      </c>
      <c r="I447" s="1483">
        <f>'Data 3'!DQ46</f>
        <v>0</v>
      </c>
      <c r="J447" s="1483">
        <f>'Data 3'!DR46</f>
        <v>0</v>
      </c>
      <c r="K447" s="1483">
        <f>'Data 3'!DS46</f>
        <v>0</v>
      </c>
      <c r="L447" s="1455"/>
      <c r="M447" s="1484">
        <f>IF(H447="","",SUM(H447)-SUM(C447))</f>
        <v>0</v>
      </c>
      <c r="N447" s="1484">
        <f>IF(I447="","",SUM(I447)-SUM(D447))</f>
        <v>0</v>
      </c>
      <c r="O447" s="1484">
        <f>IF(J447="","",SUM(J447)-SUM(E447))</f>
        <v>0</v>
      </c>
      <c r="P447" s="1484">
        <f>IF(K447="","",SUM(K447)-SUM(F447))</f>
        <v>0</v>
      </c>
      <c r="Q447" s="1464"/>
      <c r="R447" s="1392"/>
      <c r="S447" s="1393"/>
      <c r="T447" s="1393"/>
      <c r="U447" s="1394">
        <v>447</v>
      </c>
      <c r="V447" s="1357"/>
    </row>
    <row r="448" spans="1:22" ht="15.75" customHeight="1">
      <c r="A448" s="1522" t="s">
        <v>280</v>
      </c>
      <c r="B448" s="1431"/>
      <c r="C448" s="1448"/>
      <c r="D448" s="1448"/>
      <c r="E448" s="1448"/>
      <c r="F448" s="1444"/>
      <c r="G448" s="1433"/>
      <c r="H448" s="1427"/>
      <c r="I448" s="1427"/>
      <c r="J448" s="1427"/>
      <c r="K448" s="1427"/>
      <c r="L448" s="1433"/>
      <c r="M448" s="1427"/>
      <c r="N448" s="1427"/>
      <c r="O448" s="1427"/>
      <c r="P448" s="1427"/>
      <c r="Q448" s="1464"/>
      <c r="R448" s="1378"/>
      <c r="S448" s="1378"/>
      <c r="T448" s="1378"/>
      <c r="U448" s="1394">
        <v>448</v>
      </c>
      <c r="V448" s="1421"/>
    </row>
    <row r="449" spans="1:22" ht="15.75" customHeight="1">
      <c r="A449" s="1529" t="str">
        <f>IF(Data!A449="","",Data!A449)</f>
        <v>Maize meal purchase</v>
      </c>
      <c r="B449" s="1431"/>
      <c r="C449" s="1444" t="str">
        <f>IF(Data!BV449="","",Data!BV449)</f>
        <v>bag</v>
      </c>
      <c r="D449" s="1444" t="str">
        <f>IF(Data!BW449="","",Data!BW449)</f>
        <v>bag</v>
      </c>
      <c r="E449" s="1444" t="str">
        <f>IF(Data!BX449="","",Data!BX449)</f>
        <v>bag</v>
      </c>
      <c r="F449" s="1444" t="str">
        <f>IF(Data!BY449="","",Data!BY449)</f>
        <v>bag</v>
      </c>
      <c r="G449" s="1433"/>
      <c r="H449" s="1427"/>
      <c r="I449" s="1427"/>
      <c r="J449" s="1427"/>
      <c r="K449" s="1427"/>
      <c r="L449" s="1433"/>
      <c r="M449" s="1427"/>
      <c r="N449" s="1427"/>
      <c r="O449" s="1427"/>
      <c r="P449" s="1427"/>
      <c r="Q449" s="1464"/>
      <c r="R449" s="1378"/>
      <c r="S449" s="1378"/>
      <c r="T449" s="1378"/>
      <c r="U449" s="1394">
        <v>449</v>
      </c>
      <c r="V449" s="1421"/>
    </row>
    <row r="450" spans="1:22" ht="15.75" customHeight="1">
      <c r="A450" s="1380" t="s">
        <v>266</v>
      </c>
      <c r="B450" s="1443"/>
      <c r="C450" s="1444">
        <f>IF(Data!BV450="","",Data!BV450)</f>
        <v>50</v>
      </c>
      <c r="D450" s="1444">
        <f>IF(Data!BW450="","",Data!BW450)</f>
        <v>50</v>
      </c>
      <c r="E450" s="1444">
        <f>IF(Data!BX450="","",Data!BX450)</f>
        <v>50</v>
      </c>
      <c r="F450" s="1444">
        <f>IF(Data!BY450="","",Data!BY450)</f>
        <v>50</v>
      </c>
      <c r="G450" s="1433"/>
      <c r="H450" s="1427"/>
      <c r="I450" s="1427"/>
      <c r="J450" s="1427"/>
      <c r="K450" s="1427"/>
      <c r="L450" s="1433"/>
      <c r="M450" s="1427"/>
      <c r="N450" s="1427"/>
      <c r="O450" s="1427"/>
      <c r="P450" s="1427"/>
      <c r="Q450" s="1464"/>
      <c r="R450" s="1402"/>
      <c r="S450" s="1403"/>
      <c r="T450" s="1403"/>
      <c r="U450" s="1394">
        <v>450</v>
      </c>
      <c r="V450" s="1421"/>
    </row>
    <row r="451" spans="1:22" ht="15.75" customHeight="1">
      <c r="A451" s="1380" t="s">
        <v>282</v>
      </c>
      <c r="B451" s="1443"/>
      <c r="C451" s="1444">
        <f>IF(Data!BV451="","",Data!BV451)</f>
        <v>1</v>
      </c>
      <c r="D451" s="1444">
        <f>IF(Data!BW451="","",Data!BW451)</f>
        <v>1</v>
      </c>
      <c r="E451" s="1444">
        <f>IF(Data!BX451="","",Data!BX451)</f>
        <v>1</v>
      </c>
      <c r="F451" s="1444">
        <f>IF(Data!BY451="","",Data!BY451)</f>
        <v>1</v>
      </c>
      <c r="G451" s="1433"/>
      <c r="H451" s="1427"/>
      <c r="I451" s="1427"/>
      <c r="J451" s="1427"/>
      <c r="K451" s="1427"/>
      <c r="L451" s="1433"/>
      <c r="M451" s="1427"/>
      <c r="N451" s="1427"/>
      <c r="O451" s="1427"/>
      <c r="P451" s="1427"/>
      <c r="Q451" s="1464"/>
      <c r="R451" s="1402"/>
      <c r="S451" s="1403"/>
      <c r="T451" s="1403"/>
      <c r="U451" s="1394">
        <v>451</v>
      </c>
      <c r="V451" s="1421"/>
    </row>
    <row r="452" spans="1:22" ht="15.75" customHeight="1">
      <c r="A452" s="1429" t="s">
        <v>283</v>
      </c>
      <c r="B452" s="1431"/>
      <c r="C452" s="1444">
        <f>IF(Data!BV452="","",Data!BV452)</f>
        <v>12</v>
      </c>
      <c r="D452" s="1444">
        <f>IF(Data!BW452="","",Data!BW452)</f>
        <v>12</v>
      </c>
      <c r="E452" s="1444">
        <f>IF(Data!BX452="","",Data!BX452)</f>
        <v>12</v>
      </c>
      <c r="F452" s="1444">
        <f>IF(Data!BY452="","",Data!BY452)</f>
        <v>12</v>
      </c>
      <c r="G452" s="1431"/>
      <c r="H452" s="1427"/>
      <c r="I452" s="1427"/>
      <c r="J452" s="1427"/>
      <c r="K452" s="1427"/>
      <c r="L452" s="1431"/>
      <c r="M452" s="1427"/>
      <c r="N452" s="1427"/>
      <c r="O452" s="1427"/>
      <c r="P452" s="1427"/>
      <c r="Q452" s="1464"/>
      <c r="R452" s="1402"/>
      <c r="S452" s="1403"/>
      <c r="T452" s="1403"/>
      <c r="U452" s="1394">
        <v>452</v>
      </c>
      <c r="V452" s="1421"/>
    </row>
    <row r="453" spans="1:22" ht="15.75" customHeight="1">
      <c r="A453" s="1511" t="s">
        <v>267</v>
      </c>
      <c r="B453" s="1431"/>
      <c r="C453" s="1479">
        <f>IF(C451="","",C450*C451*C452)</f>
        <v>600</v>
      </c>
      <c r="D453" s="1479">
        <f>IF(D451="","",D450*D451*D452)</f>
        <v>600</v>
      </c>
      <c r="E453" s="1479">
        <f>IF(E451="","",E450*E451*E452)</f>
        <v>600</v>
      </c>
      <c r="F453" s="1479">
        <f>IF(F451="","",F450*F451*F452)</f>
        <v>600</v>
      </c>
      <c r="G453" s="1461"/>
      <c r="H453" s="1427"/>
      <c r="I453" s="1427"/>
      <c r="J453" s="1427"/>
      <c r="K453" s="1427"/>
      <c r="L453" s="1461"/>
      <c r="M453" s="1427"/>
      <c r="N453" s="1427"/>
      <c r="O453" s="1427"/>
      <c r="P453" s="1427"/>
      <c r="Q453" s="1464"/>
      <c r="R453" s="1402"/>
      <c r="S453" s="1403"/>
      <c r="T453" s="1403"/>
      <c r="U453" s="1394">
        <v>453</v>
      </c>
      <c r="V453" s="1421"/>
    </row>
    <row r="454" spans="1:22" ht="15.75" customHeight="1">
      <c r="A454" s="1511" t="s">
        <v>292</v>
      </c>
      <c r="B454" s="1431"/>
      <c r="C454" s="1444">
        <f>IF(Data!BV454="","",Data!BV454)</f>
        <v>15156.216</v>
      </c>
      <c r="D454" s="1444">
        <f>IF(Data!BW454="","",Data!BW454)</f>
        <v>15156.216</v>
      </c>
      <c r="E454" s="1444">
        <f>IF(Data!BX454="","",Data!BX454)</f>
        <v>15156.216</v>
      </c>
      <c r="F454" s="1444">
        <f>IF(Data!BY454="","",Data!BY454)</f>
        <v>15156.216</v>
      </c>
      <c r="G454" s="1461"/>
      <c r="H454" s="1427"/>
      <c r="I454" s="1427"/>
      <c r="J454" s="1427"/>
      <c r="K454" s="1427"/>
      <c r="L454" s="1461"/>
      <c r="M454" s="1427"/>
      <c r="N454" s="1427"/>
      <c r="O454" s="1427"/>
      <c r="P454" s="1427"/>
      <c r="Q454" s="1464"/>
      <c r="R454" s="1402"/>
      <c r="S454" s="1403"/>
      <c r="T454" s="1403"/>
      <c r="U454" s="1394">
        <v>454</v>
      </c>
      <c r="V454" s="1421"/>
    </row>
    <row r="455" spans="1:22" ht="15.75" customHeight="1">
      <c r="A455" s="1429" t="s">
        <v>252</v>
      </c>
      <c r="B455" s="1431"/>
      <c r="C455" s="1530">
        <f>IF(C453="","",C453*C454/C$46/365/$P$1)</f>
        <v>0.35389669987546701</v>
      </c>
      <c r="D455" s="1530">
        <f>IF(D453="","",D453*D454/D$46/365/$P$1)</f>
        <v>0.35389669987546701</v>
      </c>
      <c r="E455" s="1530">
        <f>IF(E453="","",E453*E454/E$46/365/$P$1)</f>
        <v>0.35389669987546701</v>
      </c>
      <c r="F455" s="1530">
        <f>IF(F453="","",F453*F454/F$46/365/$P$1)</f>
        <v>0.31457484433374844</v>
      </c>
      <c r="G455" s="1443"/>
      <c r="H455" s="1427"/>
      <c r="I455" s="1427"/>
      <c r="J455" s="1427"/>
      <c r="K455" s="1427"/>
      <c r="L455" s="1443"/>
      <c r="M455" s="1427"/>
      <c r="N455" s="1427"/>
      <c r="O455" s="1427"/>
      <c r="P455" s="1427"/>
      <c r="Q455" s="1464"/>
      <c r="R455" s="1392"/>
      <c r="S455" s="1393"/>
      <c r="T455" s="1393"/>
      <c r="U455" s="1394">
        <v>455</v>
      </c>
      <c r="V455" s="1421"/>
    </row>
    <row r="456" spans="1:22" ht="15.75" customHeight="1">
      <c r="A456" s="1531" t="s">
        <v>285</v>
      </c>
      <c r="B456" s="1443"/>
      <c r="C456" s="1444">
        <f>IF(Data!BV456="","",Data!BV456)</f>
        <v>200</v>
      </c>
      <c r="D456" s="1444">
        <f>IF(Data!BW456="","",Data!BW456)</f>
        <v>200</v>
      </c>
      <c r="E456" s="1444">
        <f>IF(Data!BX456="","",Data!BX456)</f>
        <v>210</v>
      </c>
      <c r="F456" s="1444">
        <f>IF(Data!BY456="","",Data!BY456)</f>
        <v>210</v>
      </c>
      <c r="G456" s="1459"/>
      <c r="H456" s="1427"/>
      <c r="I456" s="1427"/>
      <c r="J456" s="1427"/>
      <c r="K456" s="1427"/>
      <c r="L456" s="1459"/>
      <c r="M456" s="1427"/>
      <c r="N456" s="1427"/>
      <c r="O456" s="1427"/>
      <c r="P456" s="1427"/>
      <c r="Q456" s="1464"/>
      <c r="R456" s="1445"/>
      <c r="S456" s="1446"/>
      <c r="T456" s="1446"/>
      <c r="U456" s="1394">
        <v>456</v>
      </c>
      <c r="V456" s="1421"/>
    </row>
    <row r="457" spans="1:22" ht="15.75" customHeight="1">
      <c r="A457" s="1429" t="s">
        <v>286</v>
      </c>
      <c r="B457" s="1431"/>
      <c r="C457" s="1479">
        <f>IF(C456="","",C451*C452*C456)</f>
        <v>2400</v>
      </c>
      <c r="D457" s="1479">
        <f>IF(D456="","",D451*D452*D456)</f>
        <v>2400</v>
      </c>
      <c r="E457" s="1479">
        <f>IF(E456="","",E451*E452*E456)</f>
        <v>2520</v>
      </c>
      <c r="F457" s="1479">
        <f>IF(F456="","",F451*F452*F456)</f>
        <v>2520</v>
      </c>
      <c r="G457" s="1461"/>
      <c r="H457" s="1427"/>
      <c r="I457" s="1427"/>
      <c r="J457" s="1427"/>
      <c r="K457" s="1427"/>
      <c r="L457" s="1461"/>
      <c r="M457" s="1427"/>
      <c r="N457" s="1427"/>
      <c r="O457" s="1427"/>
      <c r="P457" s="1427"/>
      <c r="Q457" s="1464"/>
      <c r="R457" s="1402"/>
      <c r="S457" s="1403"/>
      <c r="T457" s="1403"/>
      <c r="U457" s="1394">
        <v>457</v>
      </c>
      <c r="V457" s="1421"/>
    </row>
    <row r="458" spans="1:22" ht="15.75" customHeight="1">
      <c r="A458" s="1529" t="str">
        <f>IF(Data!A458="","",Data!A458)</f>
        <v>Maize samp purchase</v>
      </c>
      <c r="B458" s="1431"/>
      <c r="C458" s="1444" t="str">
        <f>IF(Data!BV458="","",Data!BV458)</f>
        <v>bag</v>
      </c>
      <c r="D458" s="1444" t="str">
        <f>IF(Data!BW458="","",Data!BW458)</f>
        <v>bag</v>
      </c>
      <c r="E458" s="1444" t="str">
        <f>IF(Data!BX458="","",Data!BX458)</f>
        <v>bag</v>
      </c>
      <c r="F458" s="1444" t="str">
        <f>IF(Data!BY458="","",Data!BY458)</f>
        <v>bag</v>
      </c>
      <c r="G458" s="1461"/>
      <c r="H458" s="1427"/>
      <c r="I458" s="1427"/>
      <c r="J458" s="1427"/>
      <c r="K458" s="1427"/>
      <c r="L458" s="1461"/>
      <c r="M458" s="1427"/>
      <c r="N458" s="1427"/>
      <c r="O458" s="1427"/>
      <c r="P458" s="1427"/>
      <c r="Q458" s="1464"/>
      <c r="R458" s="1378"/>
      <c r="S458" s="1378"/>
      <c r="T458" s="1378"/>
      <c r="U458" s="1394">
        <v>458</v>
      </c>
      <c r="V458" s="1421"/>
    </row>
    <row r="459" spans="1:22" ht="15.75" customHeight="1">
      <c r="A459" s="1380" t="s">
        <v>266</v>
      </c>
      <c r="B459" s="1431"/>
      <c r="C459" s="1444">
        <f>IF(Data!BV459="","",Data!BV459)</f>
        <v>10</v>
      </c>
      <c r="D459" s="1444">
        <f>IF(Data!BW459="","",Data!BW459)</f>
        <v>10</v>
      </c>
      <c r="E459" s="1444">
        <f>IF(Data!BX459="","",Data!BX459)</f>
        <v>10</v>
      </c>
      <c r="F459" s="1444">
        <f>IF(Data!BY459="","",Data!BY459)</f>
        <v>10</v>
      </c>
      <c r="G459" s="1461"/>
      <c r="H459" s="1427"/>
      <c r="I459" s="1427"/>
      <c r="J459" s="1427"/>
      <c r="K459" s="1427"/>
      <c r="L459" s="1461"/>
      <c r="M459" s="1427"/>
      <c r="N459" s="1427"/>
      <c r="O459" s="1427"/>
      <c r="P459" s="1427"/>
      <c r="Q459" s="1464"/>
      <c r="R459" s="1402"/>
      <c r="S459" s="1403"/>
      <c r="T459" s="1403"/>
      <c r="U459" s="1394">
        <v>459</v>
      </c>
      <c r="V459" s="1421"/>
    </row>
    <row r="460" spans="1:22" ht="15.75" customHeight="1">
      <c r="A460" s="1380" t="s">
        <v>282</v>
      </c>
      <c r="B460" s="1431"/>
      <c r="C460" s="1444">
        <f>IF(Data!BV460="","",Data!BV460)</f>
        <v>1</v>
      </c>
      <c r="D460" s="1444">
        <f>IF(Data!BW460="","",Data!BW460)</f>
        <v>1</v>
      </c>
      <c r="E460" s="1444">
        <f>IF(Data!BX460="","",Data!BX460)</f>
        <v>1</v>
      </c>
      <c r="F460" s="1444">
        <f>IF(Data!BY460="","",Data!BY460)</f>
        <v>1</v>
      </c>
      <c r="G460" s="1461"/>
      <c r="H460" s="1427"/>
      <c r="I460" s="1427"/>
      <c r="J460" s="1427"/>
      <c r="K460" s="1427"/>
      <c r="L460" s="1461"/>
      <c r="M460" s="1427"/>
      <c r="N460" s="1427"/>
      <c r="O460" s="1427"/>
      <c r="P460" s="1427"/>
      <c r="Q460" s="1464"/>
      <c r="R460" s="1402"/>
      <c r="S460" s="1403"/>
      <c r="T460" s="1403"/>
      <c r="U460" s="1394">
        <v>460</v>
      </c>
      <c r="V460" s="1421"/>
    </row>
    <row r="461" spans="1:22" ht="15.75" customHeight="1">
      <c r="A461" s="1429" t="s">
        <v>283</v>
      </c>
      <c r="B461" s="1433"/>
      <c r="C461" s="1444">
        <f>IF(Data!BV461="","",Data!BV461)</f>
        <v>12</v>
      </c>
      <c r="D461" s="1444">
        <f>IF(Data!BW461="","",Data!BW461)</f>
        <v>11</v>
      </c>
      <c r="E461" s="1444">
        <f>IF(Data!BX461="","",Data!BX461)</f>
        <v>10</v>
      </c>
      <c r="F461" s="1444">
        <f>IF(Data!BY461="","",Data!BY461)</f>
        <v>12</v>
      </c>
      <c r="G461" s="1461"/>
      <c r="H461" s="1427"/>
      <c r="I461" s="1427"/>
      <c r="J461" s="1427"/>
      <c r="K461" s="1427"/>
      <c r="L461" s="1461"/>
      <c r="M461" s="1427"/>
      <c r="N461" s="1427"/>
      <c r="O461" s="1427"/>
      <c r="P461" s="1427"/>
      <c r="Q461" s="1464"/>
      <c r="R461" s="1402"/>
      <c r="S461" s="1403"/>
      <c r="T461" s="1403"/>
      <c r="U461" s="1394">
        <v>461</v>
      </c>
      <c r="V461" s="1421"/>
    </row>
    <row r="462" spans="1:22" s="1506" customFormat="1" ht="15.75" customHeight="1">
      <c r="A462" s="1511" t="s">
        <v>267</v>
      </c>
      <c r="B462" s="1431"/>
      <c r="C462" s="1479">
        <f>IF(C460="","",C459*C460*C461)</f>
        <v>120</v>
      </c>
      <c r="D462" s="1479">
        <f>IF(D460="","",D459*D460*D461)</f>
        <v>110</v>
      </c>
      <c r="E462" s="1479">
        <f>IF(E460="","",E459*E460*E461)</f>
        <v>100</v>
      </c>
      <c r="F462" s="1479">
        <f>IF(F460="","",F459*F460*F461)</f>
        <v>120</v>
      </c>
      <c r="G462" s="1431"/>
      <c r="H462" s="1427"/>
      <c r="I462" s="1427"/>
      <c r="J462" s="1427"/>
      <c r="K462" s="1427"/>
      <c r="L462" s="1431"/>
      <c r="M462" s="1427"/>
      <c r="N462" s="1427"/>
      <c r="O462" s="1427"/>
      <c r="P462" s="1427"/>
      <c r="Q462" s="1504"/>
      <c r="R462" s="1402"/>
      <c r="S462" s="1403"/>
      <c r="T462" s="1403"/>
      <c r="U462" s="1394">
        <v>462</v>
      </c>
      <c r="V462" s="1505"/>
    </row>
    <row r="463" spans="1:22" ht="15.75" customHeight="1">
      <c r="A463" s="1511" t="s">
        <v>292</v>
      </c>
      <c r="B463" s="1443"/>
      <c r="C463" s="1444">
        <f>IF(Data!BV463="","",Data!BV463)</f>
        <v>15198.083999999999</v>
      </c>
      <c r="D463" s="1444">
        <f>IF(Data!BW463="","",Data!BW463)</f>
        <v>15198.083999999999</v>
      </c>
      <c r="E463" s="1444">
        <f>IF(Data!BX463="","",Data!BX463)</f>
        <v>15198.083999999999</v>
      </c>
      <c r="F463" s="1444">
        <f>IF(Data!BY463="","",Data!BY463)</f>
        <v>15198.083999999999</v>
      </c>
      <c r="G463" s="1431"/>
      <c r="H463" s="1427"/>
      <c r="I463" s="1427"/>
      <c r="J463" s="1427"/>
      <c r="K463" s="1427"/>
      <c r="L463" s="1431"/>
      <c r="M463" s="1427"/>
      <c r="N463" s="1427"/>
      <c r="O463" s="1427"/>
      <c r="P463" s="1427"/>
      <c r="Q463" s="1464"/>
      <c r="R463" s="1402"/>
      <c r="S463" s="1403"/>
      <c r="T463" s="1403"/>
      <c r="U463" s="1394">
        <v>463</v>
      </c>
      <c r="V463" s="1421"/>
    </row>
    <row r="464" spans="1:22" ht="15.75" customHeight="1">
      <c r="A464" s="1429" t="s">
        <v>252</v>
      </c>
      <c r="B464" s="1431"/>
      <c r="C464" s="1530">
        <f>IF(C462="","",C462*C463/C$46/365/$P$1)</f>
        <v>7.0974863013698625E-2</v>
      </c>
      <c r="D464" s="1530">
        <f>IF(D462="","",D462*D463/D$46/365/$P$1)</f>
        <v>6.5060291095890413E-2</v>
      </c>
      <c r="E464" s="1530">
        <f>IF(E462="","",E462*E463/E$46/365/$P$1)</f>
        <v>5.9145719178082187E-2</v>
      </c>
      <c r="F464" s="1530">
        <f>IF(F462="","",F462*F463/F$46/365/$P$1)</f>
        <v>6.3088767123287662E-2</v>
      </c>
      <c r="G464" s="1455"/>
      <c r="H464" s="1427"/>
      <c r="I464" s="1427"/>
      <c r="J464" s="1427"/>
      <c r="K464" s="1427"/>
      <c r="L464" s="1455"/>
      <c r="M464" s="1427"/>
      <c r="N464" s="1427"/>
      <c r="O464" s="1427"/>
      <c r="P464" s="1427"/>
      <c r="Q464" s="1464"/>
      <c r="R464" s="1392"/>
      <c r="S464" s="1393"/>
      <c r="T464" s="1393"/>
      <c r="U464" s="1394">
        <v>464</v>
      </c>
      <c r="V464" s="1421"/>
    </row>
    <row r="465" spans="1:22" ht="15.75" customHeight="1">
      <c r="A465" s="1532" t="s">
        <v>285</v>
      </c>
      <c r="B465" s="1431"/>
      <c r="C465" s="1444">
        <f>IF(Data!BV465="","",Data!BV465)</f>
        <v>35</v>
      </c>
      <c r="D465" s="1444">
        <f>IF(Data!BW465="","",Data!BW465)</f>
        <v>35</v>
      </c>
      <c r="E465" s="1444">
        <f>IF(Data!BX465="","",Data!BX465)</f>
        <v>50</v>
      </c>
      <c r="F465" s="1444">
        <f>IF(Data!BY465="","",Data!BY465)</f>
        <v>50</v>
      </c>
      <c r="G465" s="1431"/>
      <c r="H465" s="1427"/>
      <c r="I465" s="1427"/>
      <c r="J465" s="1427"/>
      <c r="K465" s="1427"/>
      <c r="L465" s="1431"/>
      <c r="M465" s="1427"/>
      <c r="N465" s="1427"/>
      <c r="O465" s="1427"/>
      <c r="P465" s="1427"/>
      <c r="Q465" s="1464"/>
      <c r="R465" s="1445"/>
      <c r="S465" s="1446"/>
      <c r="T465" s="1446"/>
      <c r="U465" s="1394">
        <v>465</v>
      </c>
      <c r="V465" s="1421"/>
    </row>
    <row r="466" spans="1:22" ht="15.75" customHeight="1">
      <c r="A466" s="1429" t="s">
        <v>286</v>
      </c>
      <c r="B466" s="1443"/>
      <c r="C466" s="1479">
        <f>IF(C465="","",C460*C461*C465)</f>
        <v>420</v>
      </c>
      <c r="D466" s="1479">
        <f>IF(D465="","",D460*D461*D465)</f>
        <v>385</v>
      </c>
      <c r="E466" s="1479">
        <f>IF(E465="","",E460*E461*E465)</f>
        <v>500</v>
      </c>
      <c r="F466" s="1479">
        <f>IF(F465="","",F460*F461*F465)</f>
        <v>600</v>
      </c>
      <c r="G466" s="1415"/>
      <c r="H466" s="1427"/>
      <c r="I466" s="1427"/>
      <c r="J466" s="1427"/>
      <c r="K466" s="1427"/>
      <c r="L466" s="1415"/>
      <c r="M466" s="1427"/>
      <c r="N466" s="1427"/>
      <c r="O466" s="1427"/>
      <c r="P466" s="1427"/>
      <c r="Q466" s="1464"/>
      <c r="R466" s="1402"/>
      <c r="S466" s="1403"/>
      <c r="T466" s="1403"/>
      <c r="U466" s="1394">
        <v>466</v>
      </c>
      <c r="V466" s="1421"/>
    </row>
    <row r="467" spans="1:22" ht="15.75" customHeight="1">
      <c r="A467" s="1529" t="str">
        <f>IF(Data!A467="","",Data!A467)</f>
        <v>Rice purchase</v>
      </c>
      <c r="B467" s="1431"/>
      <c r="C467" s="1444" t="str">
        <f>IF(Data!BV467="","",Data!BV467)</f>
        <v>bag</v>
      </c>
      <c r="D467" s="1444" t="str">
        <f>IF(Data!BW467="","",Data!BW467)</f>
        <v>bag</v>
      </c>
      <c r="E467" s="1444" t="str">
        <f>IF(Data!BX467="","",Data!BX467)</f>
        <v>bag</v>
      </c>
      <c r="F467" s="1444" t="str">
        <f>IF(Data!BY467="","",Data!BY467)</f>
        <v>bag</v>
      </c>
      <c r="G467" s="1461"/>
      <c r="H467" s="1427"/>
      <c r="I467" s="1427"/>
      <c r="J467" s="1427"/>
      <c r="K467" s="1427"/>
      <c r="L467" s="1461"/>
      <c r="M467" s="1427"/>
      <c r="N467" s="1427"/>
      <c r="O467" s="1427"/>
      <c r="P467" s="1427"/>
      <c r="Q467" s="1464"/>
      <c r="R467" s="1378"/>
      <c r="S467" s="1378"/>
      <c r="T467" s="1378"/>
      <c r="U467" s="1394">
        <v>467</v>
      </c>
      <c r="V467" s="1421"/>
    </row>
    <row r="468" spans="1:22" ht="15.75" customHeight="1">
      <c r="A468" s="1380" t="s">
        <v>266</v>
      </c>
      <c r="B468" s="1431"/>
      <c r="C468" s="1444">
        <f>IF(Data!BV468="","",Data!BV468)</f>
        <v>10</v>
      </c>
      <c r="D468" s="1444">
        <f>IF(Data!BW468="","",Data!BW468)</f>
        <v>10</v>
      </c>
      <c r="E468" s="1444">
        <f>IF(Data!BX468="","",Data!BX468)</f>
        <v>10</v>
      </c>
      <c r="F468" s="1444">
        <f>IF(Data!BY468="","",Data!BY468)</f>
        <v>10</v>
      </c>
      <c r="G468" s="1461"/>
      <c r="H468" s="1427"/>
      <c r="I468" s="1427"/>
      <c r="J468" s="1427"/>
      <c r="K468" s="1427"/>
      <c r="L468" s="1461"/>
      <c r="M468" s="1427"/>
      <c r="N468" s="1427"/>
      <c r="O468" s="1427"/>
      <c r="P468" s="1427"/>
      <c r="Q468" s="1464"/>
      <c r="R468" s="1402"/>
      <c r="S468" s="1403"/>
      <c r="T468" s="1403"/>
      <c r="U468" s="1394">
        <v>468</v>
      </c>
      <c r="V468" s="1421"/>
    </row>
    <row r="469" spans="1:22" ht="15.75" customHeight="1">
      <c r="A469" s="1380" t="s">
        <v>282</v>
      </c>
      <c r="B469" s="1433"/>
      <c r="C469" s="1444">
        <f>IF(Data!BV469="","",Data!BV469)</f>
        <v>1</v>
      </c>
      <c r="D469" s="1444">
        <f>IF(Data!BW469="","",Data!BW469)</f>
        <v>1</v>
      </c>
      <c r="E469" s="1444">
        <f>IF(Data!BX469="","",Data!BX469)</f>
        <v>1</v>
      </c>
      <c r="F469" s="1444">
        <f>IF(Data!BY469="","",Data!BY469)</f>
        <v>1</v>
      </c>
      <c r="G469" s="1461"/>
      <c r="H469" s="1533">
        <f>IF(H$46="","",IF('Exp factors'!$B52="poor",'Exp factors'!$G$52*H$46/$D468/H470,SUM(C469)*'Exp factors'!C$52))</f>
        <v>0.60310167729347175</v>
      </c>
      <c r="I469" s="1533">
        <f>IF(I$46="","",IF('Exp factors'!$B52="poor",'Exp factors'!$G$52*I$46/$D468/I470,SUM(D469)*'Exp factors'!D$52))</f>
        <v>0.60310167729347175</v>
      </c>
      <c r="J469" s="1533">
        <f>IF(J$46="","",IF('Exp factors'!$B52="poor",'Exp factors'!$G$52*J$46/$D468/J470,SUM(E469)*'Exp factors'!E$52))</f>
        <v>0.60310167729347175</v>
      </c>
      <c r="K469" s="1533">
        <f>IF(K$46="","",IF('Exp factors'!$B52="poor",'Exp factors'!$G$52*K$46/$D468/K470,SUM(F469)*'Exp factors'!F$52))</f>
        <v>0.67848938695515582</v>
      </c>
      <c r="L469" s="1461"/>
      <c r="M469" s="1427"/>
      <c r="N469" s="1427"/>
      <c r="O469" s="1427"/>
      <c r="P469" s="1427"/>
      <c r="Q469" s="1464"/>
      <c r="R469" s="1402"/>
      <c r="S469" s="1403"/>
      <c r="T469" s="1403"/>
      <c r="U469" s="1394">
        <v>469</v>
      </c>
      <c r="V469" s="1421"/>
    </row>
    <row r="470" spans="1:22" ht="15.75" customHeight="1">
      <c r="A470" s="1429" t="s">
        <v>283</v>
      </c>
      <c r="B470" s="1431"/>
      <c r="C470" s="1444">
        <f>IF(Data!BV470="","",Data!BV470)</f>
        <v>12</v>
      </c>
      <c r="D470" s="1444">
        <f>IF(Data!BW470="","",Data!BW470)</f>
        <v>12</v>
      </c>
      <c r="E470" s="1444">
        <f>IF(Data!BX470="","",Data!BX470)</f>
        <v>12</v>
      </c>
      <c r="F470" s="1444">
        <f>IF(Data!BY470="","",Data!BY470)</f>
        <v>12</v>
      </c>
      <c r="G470" s="1461"/>
      <c r="H470" s="1534">
        <f>I470</f>
        <v>12</v>
      </c>
      <c r="I470" s="1534">
        <f>SUM(D470)</f>
        <v>12</v>
      </c>
      <c r="J470" s="1534">
        <f>I470</f>
        <v>12</v>
      </c>
      <c r="K470" s="1534">
        <f>I470</f>
        <v>12</v>
      </c>
      <c r="L470" s="1461"/>
      <c r="M470" s="1427"/>
      <c r="N470" s="1427"/>
      <c r="O470" s="1427"/>
      <c r="P470" s="1427"/>
      <c r="Q470" s="1535" t="str">
        <f>'Exp factors'!$B54</f>
        <v>poor</v>
      </c>
      <c r="R470" s="1402"/>
      <c r="S470" s="1403"/>
      <c r="T470" s="1403"/>
      <c r="U470" s="1394">
        <v>470</v>
      </c>
      <c r="V470" s="1421"/>
    </row>
    <row r="471" spans="1:22" s="1506" customFormat="1" ht="15.75" customHeight="1">
      <c r="A471" s="1511" t="s">
        <v>267</v>
      </c>
      <c r="B471" s="1431"/>
      <c r="C471" s="1479">
        <f>IF(C469="","",C468*C469*C470)</f>
        <v>120</v>
      </c>
      <c r="D471" s="1479">
        <f>IF(D469="","",D468*D469*D470)</f>
        <v>120</v>
      </c>
      <c r="E471" s="1479">
        <f>IF(E469="","",E468*E469*E470)</f>
        <v>120</v>
      </c>
      <c r="F471" s="1479">
        <f>IF(F469="","",F468*F469*F470)</f>
        <v>120</v>
      </c>
      <c r="G471" s="1431"/>
      <c r="H471" s="1479">
        <f>IF(H$46=0,"",SUM($D468)*H469*H470)</f>
        <v>72.372201275216611</v>
      </c>
      <c r="I471" s="1479">
        <f>IF(I$46=0,"",SUM($D468)*I469*I470)</f>
        <v>72.372201275216611</v>
      </c>
      <c r="J471" s="1479">
        <f>IF(J$46=0,"",SUM($D468)*J469*J470)</f>
        <v>72.372201275216611</v>
      </c>
      <c r="K471" s="1479">
        <f>IF(K$46=0,"",SUM($D468)*K469*K470)</f>
        <v>81.418726434618691</v>
      </c>
      <c r="L471" s="1431"/>
      <c r="M471" s="1427"/>
      <c r="N471" s="1427"/>
      <c r="O471" s="1427"/>
      <c r="P471" s="1427"/>
      <c r="Q471" s="1504"/>
      <c r="R471" s="1402"/>
      <c r="S471" s="1403"/>
      <c r="T471" s="1403"/>
      <c r="U471" s="1394">
        <v>471</v>
      </c>
      <c r="V471" s="1505"/>
    </row>
    <row r="472" spans="1:22" ht="15.75" customHeight="1">
      <c r="A472" s="1511" t="s">
        <v>292</v>
      </c>
      <c r="B472" s="1443"/>
      <c r="C472" s="1444">
        <f>IF(Data!BV472="","",Data!BV472)</f>
        <v>14821.271999999999</v>
      </c>
      <c r="D472" s="1444">
        <f>IF(Data!BW472="","",Data!BW472)</f>
        <v>14821.271999999999</v>
      </c>
      <c r="E472" s="1444">
        <f>IF(Data!BX472="","",Data!BX472)</f>
        <v>14821.271999999999</v>
      </c>
      <c r="F472" s="1444">
        <f>IF(Data!BY472="","",Data!BY472)</f>
        <v>14821.271999999999</v>
      </c>
      <c r="G472" s="1431"/>
      <c r="H472" s="1427"/>
      <c r="I472" s="1427"/>
      <c r="J472" s="1427"/>
      <c r="K472" s="1427"/>
      <c r="L472" s="1431"/>
      <c r="M472" s="1427"/>
      <c r="N472" s="1427"/>
      <c r="O472" s="1427"/>
      <c r="P472" s="1427"/>
      <c r="Q472" s="1464"/>
      <c r="R472" s="1402"/>
      <c r="S472" s="1403"/>
      <c r="T472" s="1403"/>
      <c r="U472" s="1394">
        <v>472</v>
      </c>
      <c r="V472" s="1421"/>
    </row>
    <row r="473" spans="1:22" ht="15.75" customHeight="1">
      <c r="A473" s="1429" t="s">
        <v>252</v>
      </c>
      <c r="B473" s="1443"/>
      <c r="C473" s="1530">
        <f>IF(C471="","",C471*C472/C$46/365/$P$1)</f>
        <v>6.9215155666251554E-2</v>
      </c>
      <c r="D473" s="1530">
        <f>IF(D471="","",D471*D472/D$46/365/$P$1)</f>
        <v>6.9215155666251554E-2</v>
      </c>
      <c r="E473" s="1530">
        <f>IF(E471="","",E471*E472/E$46/365/$P$1)</f>
        <v>6.9215155666251554E-2</v>
      </c>
      <c r="F473" s="1530">
        <f>IF(F471="","",F471*F472/F$46/365/$P$1)</f>
        <v>6.1524582814445818E-2</v>
      </c>
      <c r="G473" s="1455"/>
      <c r="H473" s="1530">
        <f>IF(H$46=0,"",H471*SUM($D472)/H$46/365/$P$1)</f>
        <v>4.1743776476445053E-2</v>
      </c>
      <c r="I473" s="1530">
        <f>IF(I$46=0,"",I471*SUM($D472)/I$46/365/$P$1)</f>
        <v>4.1743776476445053E-2</v>
      </c>
      <c r="J473" s="1530">
        <f>IF(J$46=0,"",J471*SUM($D472)/J$46/365/$P$1)</f>
        <v>4.1743776476445053E-2</v>
      </c>
      <c r="K473" s="1530">
        <f>IF(K$46=0,"",K471*SUM($D472)/K$46/365/$P$1)</f>
        <v>4.174377647644506E-2</v>
      </c>
      <c r="L473" s="1455"/>
      <c r="M473" s="1484">
        <f>IF(SUM(H473)=SUM(C473),"",SUM(H473)-SUM(C473))</f>
        <v>-2.7471379189806501E-2</v>
      </c>
      <c r="N473" s="1484">
        <f>IF(SUM(I473)=SUM(D473),"",SUM(I473)-SUM(D473))</f>
        <v>-2.7471379189806501E-2</v>
      </c>
      <c r="O473" s="1484">
        <f>IF(SUM(J473)=SUM(E473),"",SUM(J473)-SUM(E473))</f>
        <v>-2.7471379189806501E-2</v>
      </c>
      <c r="P473" s="1484">
        <f>IF(SUM(K473)=SUM(F473),"",SUM(K473)-SUM(F473))</f>
        <v>-1.9780806338000757E-2</v>
      </c>
      <c r="Q473" s="1464"/>
      <c r="R473" s="1392"/>
      <c r="S473" s="1393"/>
      <c r="T473" s="1393"/>
      <c r="U473" s="1394">
        <v>473</v>
      </c>
      <c r="V473" s="1421"/>
    </row>
    <row r="474" spans="1:22" ht="15.75" customHeight="1">
      <c r="A474" s="1532" t="s">
        <v>288</v>
      </c>
      <c r="B474" s="1431"/>
      <c r="C474" s="1444">
        <f>IF(Data!BV474="","",Data!BV474)</f>
        <v>6</v>
      </c>
      <c r="D474" s="1444">
        <f>IF(Data!BW474="","",Data!BW474)</f>
        <v>6</v>
      </c>
      <c r="E474" s="1444">
        <f>IF(Data!BX474="","",Data!BX474)</f>
        <v>7</v>
      </c>
      <c r="F474" s="1444">
        <f>IF(Data!BY474="","",Data!BY474)</f>
        <v>7</v>
      </c>
      <c r="G474" s="1431"/>
      <c r="H474" s="1536">
        <f>$I474</f>
        <v>6</v>
      </c>
      <c r="I474" s="1536">
        <f>IF(SUM($D474)=0,IF(SUM($C474)=0,IF(SUM($E474)=0,IF(SUM($F474)=0,'Exp factors'!$H$52,SUM($F474)),SUM($E474)),SUM($C474)),SUM($D474))</f>
        <v>6</v>
      </c>
      <c r="J474" s="1536">
        <f>$I474</f>
        <v>6</v>
      </c>
      <c r="K474" s="1536">
        <f>$I474</f>
        <v>6</v>
      </c>
      <c r="L474" s="1431"/>
      <c r="M474" s="1427"/>
      <c r="N474" s="1427"/>
      <c r="O474" s="1427"/>
      <c r="P474" s="1427"/>
      <c r="Q474" s="1464"/>
      <c r="R474" s="1445"/>
      <c r="S474" s="1446"/>
      <c r="T474" s="1446"/>
      <c r="U474" s="1394">
        <v>474</v>
      </c>
      <c r="V474" s="1421"/>
    </row>
    <row r="475" spans="1:22" ht="15.75" customHeight="1">
      <c r="A475" s="1429" t="s">
        <v>286</v>
      </c>
      <c r="B475" s="1431"/>
      <c r="C475" s="1479">
        <f>IF(C474="","",C471*C474)</f>
        <v>720</v>
      </c>
      <c r="D475" s="1479">
        <f t="shared" ref="D475:F475" si="42">IF(D474="","",D471*D474)</f>
        <v>720</v>
      </c>
      <c r="E475" s="1479">
        <f t="shared" si="42"/>
        <v>840</v>
      </c>
      <c r="F475" s="1479">
        <f t="shared" si="42"/>
        <v>840</v>
      </c>
      <c r="G475" s="1515"/>
      <c r="H475" s="1537">
        <f>IF(H$46=0,"",H471*H474)</f>
        <v>434.23320765129967</v>
      </c>
      <c r="I475" s="1537">
        <f t="shared" ref="I475:K475" si="43">IF(I$46=0,"",I471*I474)</f>
        <v>434.23320765129967</v>
      </c>
      <c r="J475" s="1537">
        <f t="shared" si="43"/>
        <v>434.23320765129967</v>
      </c>
      <c r="K475" s="1537">
        <f t="shared" si="43"/>
        <v>488.51235860771214</v>
      </c>
      <c r="L475" s="1515"/>
      <c r="M475" s="1463">
        <f>IF(SUM(H475)=SUM(C475),"",SUM(H475)-SUM(C475))</f>
        <v>-285.76679234870033</v>
      </c>
      <c r="N475" s="1463">
        <f>IF(SUM(I475)=SUM(D475),"",SUM(I475)-SUM(D475))</f>
        <v>-285.76679234870033</v>
      </c>
      <c r="O475" s="1463">
        <f>IF(SUM(J475)=SUM(E475),"",SUM(J475)-SUM(E475))</f>
        <v>-405.76679234870033</v>
      </c>
      <c r="P475" s="1463">
        <f>IF(SUM(K475)=SUM(F475),"",SUM(K475)-SUM(F475))</f>
        <v>-351.48764139228786</v>
      </c>
      <c r="Q475" s="1464" t="str">
        <f>[1]ExpFactors!$I$52</f>
        <v>fpl</v>
      </c>
      <c r="R475" s="1402"/>
      <c r="S475" s="1403"/>
      <c r="T475" s="1403"/>
      <c r="U475" s="1394">
        <v>475</v>
      </c>
      <c r="V475" s="1421"/>
    </row>
    <row r="476" spans="1:22" ht="15.75" customHeight="1">
      <c r="A476" s="1529" t="str">
        <f>IF(Data!A476="","",Data!A476)</f>
        <v>Potatoes purchase</v>
      </c>
      <c r="B476" s="1431"/>
      <c r="C476" s="1444" t="str">
        <f>IF(Data!BV476="","",Data!BV476)</f>
        <v>pocket</v>
      </c>
      <c r="D476" s="1444" t="str">
        <f>IF(Data!BW476="","",Data!BW476)</f>
        <v>pocket</v>
      </c>
      <c r="E476" s="1444" t="str">
        <f>IF(Data!BX476="","",Data!BX476)</f>
        <v>pocket</v>
      </c>
      <c r="F476" s="1444" t="str">
        <f>IF(Data!BY476="","",Data!BY476)</f>
        <v>pocket</v>
      </c>
      <c r="G476" s="1433"/>
      <c r="H476" s="1427"/>
      <c r="I476" s="1427"/>
      <c r="J476" s="1427"/>
      <c r="K476" s="1427"/>
      <c r="L476" s="1433"/>
      <c r="M476" s="1427"/>
      <c r="N476" s="1427"/>
      <c r="O476" s="1427"/>
      <c r="P476" s="1427"/>
      <c r="Q476" s="1464"/>
      <c r="R476" s="1378"/>
      <c r="S476" s="1378"/>
      <c r="T476" s="1378"/>
      <c r="U476" s="1394">
        <v>476</v>
      </c>
      <c r="V476" s="1421"/>
    </row>
    <row r="477" spans="1:22" ht="15.75" customHeight="1">
      <c r="A477" s="1380" t="s">
        <v>266</v>
      </c>
      <c r="B477" s="1443"/>
      <c r="C477" s="1444">
        <f>IF(Data!BV477="","",Data!BV477)</f>
        <v>10</v>
      </c>
      <c r="D477" s="1444">
        <f>IF(Data!BW477="","",Data!BW477)</f>
        <v>10</v>
      </c>
      <c r="E477" s="1444">
        <f>IF(Data!BX477="","",Data!BX477)</f>
        <v>10</v>
      </c>
      <c r="F477" s="1444">
        <f>IF(Data!BY477="","",Data!BY477)</f>
        <v>10</v>
      </c>
      <c r="G477" s="1433"/>
      <c r="H477" s="1427"/>
      <c r="I477" s="1427"/>
      <c r="J477" s="1427"/>
      <c r="K477" s="1427"/>
      <c r="L477" s="1433"/>
      <c r="M477" s="1427"/>
      <c r="N477" s="1427"/>
      <c r="O477" s="1427"/>
      <c r="P477" s="1427"/>
      <c r="Q477" s="1464"/>
      <c r="R477" s="1402"/>
      <c r="S477" s="1403"/>
      <c r="T477" s="1403"/>
      <c r="U477" s="1394">
        <v>477</v>
      </c>
      <c r="V477" s="1421"/>
    </row>
    <row r="478" spans="1:22" ht="15.75" customHeight="1">
      <c r="A478" s="1380" t="s">
        <v>282</v>
      </c>
      <c r="B478" s="1443"/>
      <c r="C478" s="1444">
        <f>IF(Data!BV478="","",Data!BV478)</f>
        <v>1</v>
      </c>
      <c r="D478" s="1444">
        <f>IF(Data!BW478="","",Data!BW478)</f>
        <v>1</v>
      </c>
      <c r="E478" s="1444">
        <f>IF(Data!BX478="","",Data!BX478)</f>
        <v>1</v>
      </c>
      <c r="F478" s="1444">
        <f>IF(Data!BY478="","",Data!BY478)</f>
        <v>1</v>
      </c>
      <c r="G478" s="1433"/>
      <c r="H478" s="1533">
        <f>IF('Exp factors'!$B54="poor",'Exp factors'!$G$54*H$46/$D477/H479,SUM(C478)*'Exp factors'!C$54)</f>
        <v>0.46712142103581744</v>
      </c>
      <c r="I478" s="1533">
        <f>IF(I$46="","",IF('Exp factors'!$B54="poor",'Exp factors'!$G$54*I$46/$D477/I479,SUM(D478)*'Exp factors'!D$54))</f>
        <v>0.46712142103581744</v>
      </c>
      <c r="J478" s="1533">
        <f>IF(J$46="","",IF('Exp factors'!$B54="poor",'Exp factors'!$G$54*J$46/$D477/J479,SUM(E478)*'Exp factors'!E$54))</f>
        <v>0.46712142103581744</v>
      </c>
      <c r="K478" s="1533">
        <f>IF(K$46="","",IF('Exp factors'!$B54="poor",'Exp factors'!$G$54*K$46/$D477/K479,SUM(F478)*'Exp factors'!F$54))</f>
        <v>0.52551159866529462</v>
      </c>
      <c r="L478" s="1433"/>
      <c r="M478" s="1427"/>
      <c r="N478" s="1427"/>
      <c r="O478" s="1427"/>
      <c r="P478" s="1427"/>
      <c r="Q478" s="1464"/>
      <c r="R478" s="1402"/>
      <c r="S478" s="1403"/>
      <c r="T478" s="1403"/>
      <c r="U478" s="1394">
        <v>478</v>
      </c>
      <c r="V478" s="1421"/>
    </row>
    <row r="479" spans="1:22" ht="15.75" customHeight="1">
      <c r="A479" s="1429" t="s">
        <v>283</v>
      </c>
      <c r="B479" s="1431"/>
      <c r="C479" s="1444">
        <f>IF(Data!BV479="","",Data!BV479)</f>
        <v>11</v>
      </c>
      <c r="D479" s="1444">
        <f>IF(Data!BW479="","",Data!BW479)</f>
        <v>12</v>
      </c>
      <c r="E479" s="1444">
        <f>IF(Data!BX479="","",Data!BX479)</f>
        <v>12</v>
      </c>
      <c r="F479" s="1444">
        <f>IF(Data!BY479="","",Data!BY479)</f>
        <v>12</v>
      </c>
      <c r="G479" s="1431"/>
      <c r="H479" s="1534">
        <f>I479</f>
        <v>12</v>
      </c>
      <c r="I479" s="1534">
        <f>SUM(D479)</f>
        <v>12</v>
      </c>
      <c r="J479" s="1534">
        <f>I479</f>
        <v>12</v>
      </c>
      <c r="K479" s="1534">
        <f>I479</f>
        <v>12</v>
      </c>
      <c r="L479" s="1431"/>
      <c r="M479" s="1427"/>
      <c r="N479" s="1427"/>
      <c r="O479" s="1427"/>
      <c r="P479" s="1427"/>
      <c r="Q479" s="1464"/>
      <c r="R479" s="1402"/>
      <c r="S479" s="1403"/>
      <c r="T479" s="1403"/>
      <c r="U479" s="1394">
        <v>479</v>
      </c>
      <c r="V479" s="1421"/>
    </row>
    <row r="480" spans="1:22" ht="15.75" customHeight="1">
      <c r="A480" s="1511" t="s">
        <v>267</v>
      </c>
      <c r="B480" s="1431"/>
      <c r="C480" s="1479">
        <f>IF(C478="","",C477*C478*C479)</f>
        <v>110</v>
      </c>
      <c r="D480" s="1479">
        <f>IF(D478="","",D477*D478*D479)</f>
        <v>120</v>
      </c>
      <c r="E480" s="1479">
        <f>IF(E478="","",E477*E478*E479)</f>
        <v>120</v>
      </c>
      <c r="F480" s="1479">
        <f>IF(F478="","",F477*F478*F479)</f>
        <v>120</v>
      </c>
      <c r="G480" s="1461"/>
      <c r="H480" s="1479">
        <f>IF(H$46=0,"",SUM($D477)*H478*H479)</f>
        <v>56.054570524298093</v>
      </c>
      <c r="I480" s="1479">
        <f>IF(I$46=0,"",SUM($D477)*I478*I479)</f>
        <v>56.054570524298093</v>
      </c>
      <c r="J480" s="1479">
        <f>IF(J$46=0,"",SUM($D477)*J478*J479)</f>
        <v>56.054570524298093</v>
      </c>
      <c r="K480" s="1479">
        <f>IF(K$46=0,"",SUM($D477)*K478*K479)</f>
        <v>63.061391839835352</v>
      </c>
      <c r="L480" s="1461"/>
      <c r="M480" s="1427"/>
      <c r="N480" s="1427"/>
      <c r="O480" s="1427"/>
      <c r="P480" s="1427"/>
      <c r="Q480" s="1464"/>
      <c r="R480" s="1402"/>
      <c r="S480" s="1403"/>
      <c r="T480" s="1403"/>
      <c r="U480" s="1394">
        <v>480</v>
      </c>
      <c r="V480" s="1421"/>
    </row>
    <row r="481" spans="1:22" ht="15.75" customHeight="1">
      <c r="A481" s="1511" t="s">
        <v>292</v>
      </c>
      <c r="B481" s="1431"/>
      <c r="C481" s="1444">
        <f>IF(Data!BV481="","",Data!BV481)</f>
        <v>3140.1</v>
      </c>
      <c r="D481" s="1444">
        <f>IF(Data!BW481="","",Data!BW481)</f>
        <v>3140.1</v>
      </c>
      <c r="E481" s="1444">
        <f>IF(Data!BX481="","",Data!BX481)</f>
        <v>3140.1</v>
      </c>
      <c r="F481" s="1444">
        <f>IF(Data!BY481="","",Data!BY481)</f>
        <v>3140.1</v>
      </c>
      <c r="G481" s="1461"/>
      <c r="H481" s="1427"/>
      <c r="I481" s="1427"/>
      <c r="J481" s="1427"/>
      <c r="K481" s="1427"/>
      <c r="L481" s="1461"/>
      <c r="M481" s="1427"/>
      <c r="N481" s="1427"/>
      <c r="O481" s="1427"/>
      <c r="P481" s="1427"/>
      <c r="Q481" s="1464"/>
      <c r="R481" s="1402"/>
      <c r="S481" s="1403"/>
      <c r="T481" s="1403"/>
      <c r="U481" s="1394">
        <v>481</v>
      </c>
      <c r="V481" s="1421"/>
    </row>
    <row r="482" spans="1:22" ht="15.75" customHeight="1">
      <c r="A482" s="1429" t="s">
        <v>252</v>
      </c>
      <c r="B482" s="1443"/>
      <c r="C482" s="1530">
        <f>IF(C480="","",C480*C481/C$46/365/$P$1)</f>
        <v>1.3442208904109588E-2</v>
      </c>
      <c r="D482" s="1530">
        <f>IF(D480="","",D480*D481/D$46/365/$P$1)</f>
        <v>1.4664227895392278E-2</v>
      </c>
      <c r="E482" s="1530">
        <f>IF(E480="","",E480*E481/E$46/365/$P$1)</f>
        <v>1.4664227895392278E-2</v>
      </c>
      <c r="F482" s="1530">
        <f>IF(F480="","",F480*F481/F$46/365/$P$1)</f>
        <v>1.3034869240348693E-2</v>
      </c>
      <c r="G482" s="1443"/>
      <c r="H482" s="1530">
        <f>IF(H$46=0,"",H480*SUM($D481)/H$46/365/$P$1)</f>
        <v>6.8499749728887158E-3</v>
      </c>
      <c r="I482" s="1530">
        <f>IF(I$46=0,"",I480*SUM($D481)/I$46/365/$P$1)</f>
        <v>6.8499749728887158E-3</v>
      </c>
      <c r="J482" s="1530">
        <f>IF(J$46=0,"",J480*SUM($D481)/J$46/365/$P$1)</f>
        <v>6.8499749728887158E-3</v>
      </c>
      <c r="K482" s="1530">
        <f>IF(K$46=0,"",K480*SUM($D481)/K$46/365/$P$1)</f>
        <v>6.8499749728887149E-3</v>
      </c>
      <c r="L482" s="1443"/>
      <c r="M482" s="1484">
        <f>IF(SUM(H482)=SUM(C482),"",SUM(H482)-SUM(C482))</f>
        <v>-6.5922339312208724E-3</v>
      </c>
      <c r="N482" s="1484">
        <f>IF(SUM(I482)=SUM(D482),"",SUM(I482)-SUM(D482))</f>
        <v>-7.8142529225035621E-3</v>
      </c>
      <c r="O482" s="1484">
        <f>IF(SUM(J482)=SUM(E482),"",SUM(J482)-SUM(E482))</f>
        <v>-7.8142529225035621E-3</v>
      </c>
      <c r="P482" s="1484">
        <f>IF(SUM(K482)=SUM(F482),"",SUM(K482)-SUM(F482))</f>
        <v>-6.1848942674599785E-3</v>
      </c>
      <c r="Q482" s="1464"/>
      <c r="R482" s="1392"/>
      <c r="S482" s="1393"/>
      <c r="T482" s="1393"/>
      <c r="U482" s="1394">
        <v>482</v>
      </c>
      <c r="V482" s="1421"/>
    </row>
    <row r="483" spans="1:22" ht="15.75" customHeight="1">
      <c r="A483" s="1532" t="s">
        <v>285</v>
      </c>
      <c r="B483" s="1443"/>
      <c r="C483" s="1444">
        <f>IF(Data!BV483="","",Data!BV483)</f>
        <v>40</v>
      </c>
      <c r="D483" s="1444">
        <f>IF(Data!BW483="","",Data!BW483)</f>
        <v>40</v>
      </c>
      <c r="E483" s="1444">
        <f>IF(Data!BX483="","",Data!BX483)</f>
        <v>40</v>
      </c>
      <c r="F483" s="1444">
        <f>IF(Data!BY483="","",Data!BY483)</f>
        <v>40</v>
      </c>
      <c r="G483" s="1431"/>
      <c r="H483" s="1536">
        <f>$I483</f>
        <v>40</v>
      </c>
      <c r="I483" s="1536">
        <f>IF(SUM($D483)=0,IF(SUM($C483)=0,IF(SUM($E483)=0,IF(SUM($F483)=0,'Exp factors'!$H$54*$D477,SUM($F483)),SUM($E483)),SUM($C483)),SUM($D483))</f>
        <v>40</v>
      </c>
      <c r="J483" s="1536">
        <f>$I483</f>
        <v>40</v>
      </c>
      <c r="K483" s="1536">
        <f>$I483</f>
        <v>40</v>
      </c>
      <c r="L483" s="1431"/>
      <c r="M483" s="1427"/>
      <c r="N483" s="1427"/>
      <c r="O483" s="1427"/>
      <c r="P483" s="1427"/>
      <c r="Q483" s="1464"/>
      <c r="R483" s="1445"/>
      <c r="S483" s="1446"/>
      <c r="T483" s="1446"/>
      <c r="U483" s="1394">
        <v>483</v>
      </c>
      <c r="V483" s="1421"/>
    </row>
    <row r="484" spans="1:22" ht="15.75" customHeight="1">
      <c r="A484" s="1429" t="s">
        <v>286</v>
      </c>
      <c r="B484" s="1431"/>
      <c r="C484" s="1479">
        <f>IF(C483="","",C478*C479*C483)</f>
        <v>440</v>
      </c>
      <c r="D484" s="1479">
        <f>IF(D483="","",D478*D479*D483)</f>
        <v>480</v>
      </c>
      <c r="E484" s="1479">
        <f>IF(E483="","",E478*E479*E483)</f>
        <v>480</v>
      </c>
      <c r="F484" s="1479">
        <f>IF(F483="","",F478*F479*F483)</f>
        <v>480</v>
      </c>
      <c r="G484" s="1461"/>
      <c r="H484" s="1537">
        <f t="shared" ref="H484:K484" si="44">IF(H$46=0,"",H478*H479*H483)</f>
        <v>224.21828209719237</v>
      </c>
      <c r="I484" s="1537">
        <f>IF(I$46=0,"",I478*I479*I483)</f>
        <v>224.21828209719237</v>
      </c>
      <c r="J484" s="1537">
        <f t="shared" si="44"/>
        <v>224.21828209719237</v>
      </c>
      <c r="K484" s="1537">
        <f t="shared" si="44"/>
        <v>252.24556735934144</v>
      </c>
      <c r="L484" s="1461"/>
      <c r="M484" s="1463">
        <f>IF(SUM(H484)=SUM(C484),"",SUM(H484)-SUM(C484))</f>
        <v>-215.78171790280763</v>
      </c>
      <c r="N484" s="1463">
        <f>IF(SUM(I484)=SUM(D484),"",SUM(I484)-SUM(D484))</f>
        <v>-255.78171790280763</v>
      </c>
      <c r="O484" s="1463">
        <f>IF(SUM(J484)=SUM(E484),"",SUM(J484)-SUM(E484))</f>
        <v>-255.78171790280763</v>
      </c>
      <c r="P484" s="1463">
        <f>IF(SUM(K484)=SUM(F484),"",SUM(K484)-SUM(F484))</f>
        <v>-227.75443264065856</v>
      </c>
      <c r="Q484" s="1464" t="str">
        <f>[1]ExpFactors!$I$54</f>
        <v>fpl</v>
      </c>
      <c r="R484" s="1402"/>
      <c r="S484" s="1403"/>
      <c r="T484" s="1403"/>
      <c r="U484" s="1394">
        <v>484</v>
      </c>
      <c r="V484" s="1421"/>
    </row>
    <row r="485" spans="1:22" ht="15.75" customHeight="1">
      <c r="A485" s="1529" t="str">
        <f>IF(Data!A485="","",Data!A485)</f>
        <v>Brown bread purchase</v>
      </c>
      <c r="B485" s="1443"/>
      <c r="C485" s="1444" t="str">
        <f>IF(Data!BV485="","",Data!BV485)</f>
        <v>loaf</v>
      </c>
      <c r="D485" s="1444" t="str">
        <f>IF(Data!BW485="","",Data!BW485)</f>
        <v>loaf</v>
      </c>
      <c r="E485" s="1444" t="str">
        <f>IF(Data!BX485="","",Data!BX485)</f>
        <v>loaf</v>
      </c>
      <c r="F485" s="1444" t="str">
        <f>IF(Data!BY485="","",Data!BY485)</f>
        <v>loaf</v>
      </c>
      <c r="G485" s="1431"/>
      <c r="H485" s="1427"/>
      <c r="I485" s="1427"/>
      <c r="J485" s="1427"/>
      <c r="K485" s="1427"/>
      <c r="L485" s="1431"/>
      <c r="M485" s="1427"/>
      <c r="N485" s="1427"/>
      <c r="O485" s="1427"/>
      <c r="P485" s="1427"/>
      <c r="Q485" s="1464"/>
      <c r="R485" s="1378"/>
      <c r="S485" s="1378"/>
      <c r="T485" s="1378"/>
      <c r="U485" s="1394">
        <v>485</v>
      </c>
      <c r="V485" s="1421"/>
    </row>
    <row r="486" spans="1:22" ht="15.75" customHeight="1">
      <c r="A486" s="1380" t="s">
        <v>266</v>
      </c>
      <c r="B486" s="1431"/>
      <c r="C486" s="1444">
        <f>IF(Data!BV486="","",Data!BV486)</f>
        <v>0.7</v>
      </c>
      <c r="D486" s="1444">
        <f>IF(Data!BW486="","",Data!BW486)</f>
        <v>0.7</v>
      </c>
      <c r="E486" s="1444">
        <f>IF(Data!BX486="","",Data!BX486)</f>
        <v>0.7</v>
      </c>
      <c r="F486" s="1444">
        <f>IF(Data!BY486="","",Data!BY486)</f>
        <v>0.7</v>
      </c>
      <c r="G486" s="1431"/>
      <c r="H486" s="1427"/>
      <c r="I486" s="1427"/>
      <c r="J486" s="1427"/>
      <c r="K486" s="1427"/>
      <c r="L486" s="1431"/>
      <c r="M486" s="1427"/>
      <c r="N486" s="1427"/>
      <c r="O486" s="1427"/>
      <c r="P486" s="1427"/>
      <c r="Q486" s="1464"/>
      <c r="R486" s="1402"/>
      <c r="S486" s="1403"/>
      <c r="T486" s="1403"/>
      <c r="U486" s="1394">
        <v>486</v>
      </c>
      <c r="V486" s="1421"/>
    </row>
    <row r="487" spans="1:22" ht="15.75" customHeight="1">
      <c r="A487" s="1380" t="s">
        <v>282</v>
      </c>
      <c r="B487" s="1431"/>
      <c r="C487" s="1444" t="str">
        <f>IF(Data!BV487="","",Data!BV487)</f>
        <v/>
      </c>
      <c r="D487" s="1444" t="str">
        <f>IF(Data!BW487="","",Data!BW487)</f>
        <v/>
      </c>
      <c r="E487" s="1444" t="str">
        <f>IF(Data!BX487="","",Data!BX487)</f>
        <v/>
      </c>
      <c r="F487" s="1444">
        <f>IF(Data!BY487="","",Data!BY487)</f>
        <v>15</v>
      </c>
      <c r="G487" s="1431"/>
      <c r="H487" s="1533">
        <f>IF(H$46="","",IF('Exp factors'!$B50="poor",'Exp factors'!$G$50*H$46/$D486/H488,SUM(C487)*'Exp factors'!C$50))</f>
        <v>45.820090801074038</v>
      </c>
      <c r="I487" s="1533">
        <f>IF(I$46="","",IF('Exp factors'!$B50="poor",'Exp factors'!$G$50*I$46/$D486/I488,SUM(D487)*'Exp factors'!D$50))</f>
        <v>45.820090801074038</v>
      </c>
      <c r="J487" s="1533">
        <f>IF(J$46="","",IF('Exp factors'!$B50="poor",'Exp factors'!$G$50*J$46/$D486/J488,SUM(E487)*'Exp factors'!E$50))</f>
        <v>45.820090801074038</v>
      </c>
      <c r="K487" s="1533">
        <f>IF(K$46="","",IF('Exp factors'!$B50="poor",'Exp factors'!$G$50*K$46/$D486/K488,SUM(F487)*'Exp factors'!F$50))</f>
        <v>51.547602151208302</v>
      </c>
      <c r="L487" s="1431"/>
      <c r="M487" s="1427"/>
      <c r="N487" s="1427"/>
      <c r="O487" s="1427"/>
      <c r="P487" s="1427"/>
      <c r="Q487" s="1464"/>
      <c r="R487" s="1402"/>
      <c r="S487" s="1403"/>
      <c r="T487" s="1403"/>
      <c r="U487" s="1394">
        <v>487</v>
      </c>
      <c r="V487" s="1421"/>
    </row>
    <row r="488" spans="1:22" ht="15.75" customHeight="1">
      <c r="A488" s="1429" t="s">
        <v>283</v>
      </c>
      <c r="B488" s="1431"/>
      <c r="C488" s="1444">
        <f>IF(Data!BV488="","",Data!BV488)</f>
        <v>12</v>
      </c>
      <c r="D488" s="1444">
        <f>IF(Data!BW488="","",Data!BW488)</f>
        <v>12</v>
      </c>
      <c r="E488" s="1444">
        <f>IF(Data!BX488="","",Data!BX488)</f>
        <v>12</v>
      </c>
      <c r="F488" s="1444">
        <f>IF(Data!BY488="","",Data!BY488)</f>
        <v>12</v>
      </c>
      <c r="G488" s="1431"/>
      <c r="H488" s="1534">
        <f>I488</f>
        <v>12</v>
      </c>
      <c r="I488" s="1534">
        <f>SUM(D488)</f>
        <v>12</v>
      </c>
      <c r="J488" s="1534">
        <f>I488</f>
        <v>12</v>
      </c>
      <c r="K488" s="1534">
        <f>I488</f>
        <v>12</v>
      </c>
      <c r="L488" s="1431"/>
      <c r="M488" s="1427"/>
      <c r="N488" s="1427"/>
      <c r="O488" s="1427"/>
      <c r="P488" s="1427"/>
      <c r="Q488" s="1464"/>
      <c r="R488" s="1402"/>
      <c r="S488" s="1403"/>
      <c r="T488" s="1403"/>
      <c r="U488" s="1394">
        <v>488</v>
      </c>
      <c r="V488" s="1421"/>
    </row>
    <row r="489" spans="1:22" ht="15.75" customHeight="1">
      <c r="A489" s="1511" t="s">
        <v>267</v>
      </c>
      <c r="B489" s="1431"/>
      <c r="C489" s="1479" t="str">
        <f>IF(C487="","",C486*C487*C488)</f>
        <v/>
      </c>
      <c r="D489" s="1479" t="str">
        <f>IF(D487="","",D486*D487*D488)</f>
        <v/>
      </c>
      <c r="E489" s="1479" t="str">
        <f>IF(E487="","",E486*E487*E488)</f>
        <v/>
      </c>
      <c r="F489" s="1479">
        <f>IF(F487="","",F486*F487*F488)</f>
        <v>126</v>
      </c>
      <c r="G489" s="1461"/>
      <c r="H489" s="1479">
        <f>IF(H$46=0,"",SUM($D486)*H487*H488)</f>
        <v>384.88876272902189</v>
      </c>
      <c r="I489" s="1479">
        <f>IF(I$46=0,"",SUM($D486)*I487*I488)</f>
        <v>384.88876272902189</v>
      </c>
      <c r="J489" s="1479">
        <f>IF(J$46=0,"",SUM($D486)*J487*J488)</f>
        <v>384.88876272902189</v>
      </c>
      <c r="K489" s="1479">
        <f>IF(K$46=0,"",SUM($D486)*K487*K488)</f>
        <v>432.99985807014968</v>
      </c>
      <c r="L489" s="1461"/>
      <c r="M489" s="1427"/>
      <c r="N489" s="1427"/>
      <c r="O489" s="1427"/>
      <c r="P489" s="1427"/>
      <c r="Q489" s="1464"/>
      <c r="R489" s="1402"/>
      <c r="S489" s="1403"/>
      <c r="T489" s="1403"/>
      <c r="U489" s="1394">
        <v>489</v>
      </c>
      <c r="V489" s="1421"/>
    </row>
    <row r="490" spans="1:22" ht="15.75" customHeight="1">
      <c r="A490" s="1511" t="s">
        <v>292</v>
      </c>
      <c r="B490" s="1443"/>
      <c r="C490" s="1444">
        <f>IF(Data!BV490="","",Data!BV490)</f>
        <v>10173.923999999999</v>
      </c>
      <c r="D490" s="1444">
        <f>IF(Data!BW490="","",Data!BW490)</f>
        <v>10173.923999999999</v>
      </c>
      <c r="E490" s="1444">
        <f>IF(Data!BX490="","",Data!BX490)</f>
        <v>10173.923999999999</v>
      </c>
      <c r="F490" s="1444">
        <f>IF(Data!BY490="","",Data!BY490)</f>
        <v>10173.923999999999</v>
      </c>
      <c r="G490" s="1461"/>
      <c r="H490" s="1427"/>
      <c r="I490" s="1427"/>
      <c r="J490" s="1427"/>
      <c r="K490" s="1427"/>
      <c r="L490" s="1461"/>
      <c r="M490" s="1427"/>
      <c r="N490" s="1427"/>
      <c r="O490" s="1427"/>
      <c r="P490" s="1427"/>
      <c r="Q490" s="1464"/>
      <c r="R490" s="1402"/>
      <c r="S490" s="1403"/>
      <c r="T490" s="1403"/>
      <c r="U490" s="1394">
        <v>490</v>
      </c>
      <c r="V490" s="1421"/>
    </row>
    <row r="491" spans="1:22" ht="15.75" customHeight="1">
      <c r="A491" s="1429" t="s">
        <v>252</v>
      </c>
      <c r="B491" s="1431"/>
      <c r="C491" s="1530" t="str">
        <f>IF(C489="","",C489*C490/C$46/365/$P$1)</f>
        <v/>
      </c>
      <c r="D491" s="1530" t="str">
        <f>IF(D489="","",D489*D490/D$46/365/$P$1)</f>
        <v/>
      </c>
      <c r="E491" s="1530" t="str">
        <f>IF(E489="","",E489*E490/E$46/365/$P$1)</f>
        <v/>
      </c>
      <c r="F491" s="1530">
        <f>IF(F489="","",F489*F490/F$46/365/$P$1)</f>
        <v>4.4344625155666249E-2</v>
      </c>
      <c r="G491" s="1443"/>
      <c r="H491" s="1530">
        <f>IF(H$46=0,"",H489*SUM($D490)/H$46/365/$P$1)</f>
        <v>0.15239060633791646</v>
      </c>
      <c r="I491" s="1530">
        <f>IF(I$46=0,"",I489*SUM($D490)/I$46/365/$P$1)</f>
        <v>0.15239060633791646</v>
      </c>
      <c r="J491" s="1530">
        <f>IF(J$46=0,"",J489*SUM($D490)/J$46/365/$P$1)</f>
        <v>0.15239060633791646</v>
      </c>
      <c r="K491" s="1530">
        <f>IF(K$46=0,"",K489*SUM($D490)/K$46/365/$P$1)</f>
        <v>0.15239060633791646</v>
      </c>
      <c r="L491" s="1443"/>
      <c r="M491" s="1484">
        <f>IF(SUM(H491)=SUM(C491),"",SUM(H491)-SUM(C491))</f>
        <v>0.15239060633791646</v>
      </c>
      <c r="N491" s="1484">
        <f>IF(SUM(I491)=SUM(D491),"",SUM(I491)-SUM(D491))</f>
        <v>0.15239060633791646</v>
      </c>
      <c r="O491" s="1484">
        <f>IF(SUM(J491)=SUM(E491),"",SUM(J491)-SUM(E491))</f>
        <v>0.15239060633791646</v>
      </c>
      <c r="P491" s="1484">
        <f>IF(SUM(K491)=SUM(F491),"",SUM(K491)-SUM(F491))</f>
        <v>0.1080459811822502</v>
      </c>
      <c r="Q491" s="1464"/>
      <c r="R491" s="1392"/>
      <c r="S491" s="1393"/>
      <c r="T491" s="1393"/>
      <c r="U491" s="1394">
        <v>491</v>
      </c>
      <c r="V491" s="1421"/>
    </row>
    <row r="492" spans="1:22" ht="15.75" customHeight="1">
      <c r="A492" s="1531" t="s">
        <v>285</v>
      </c>
      <c r="B492" s="1431"/>
      <c r="C492" s="1444" t="str">
        <f>IF(Data!BV492="","",Data!BV492)</f>
        <v/>
      </c>
      <c r="D492" s="1444" t="str">
        <f>IF(Data!BW492="","",Data!BW492)</f>
        <v/>
      </c>
      <c r="E492" s="1444" t="str">
        <f>IF(Data!BX492="","",Data!BX492)</f>
        <v/>
      </c>
      <c r="F492" s="1444">
        <f>IF(Data!BY492="","",Data!BY492)</f>
        <v>8</v>
      </c>
      <c r="G492" s="1459"/>
      <c r="H492" s="1536">
        <f>$I492</f>
        <v>8</v>
      </c>
      <c r="I492" s="1536">
        <f>IF(SUM($D492)=0,IF(SUM($C492)=0,IF(SUM($E492)=0,IF(SUM($F492)=0,'Exp factors'!$H$50*$D486,SUM($F492)),SUM($E492)),SUM($C492)),SUM($D492))</f>
        <v>8</v>
      </c>
      <c r="J492" s="1536">
        <f>$I492</f>
        <v>8</v>
      </c>
      <c r="K492" s="1536">
        <f>$I492</f>
        <v>8</v>
      </c>
      <c r="L492" s="1459"/>
      <c r="M492" s="1427"/>
      <c r="N492" s="1427"/>
      <c r="O492" s="1427"/>
      <c r="P492" s="1427"/>
      <c r="Q492" s="1464"/>
      <c r="R492" s="1445"/>
      <c r="S492" s="1446"/>
      <c r="T492" s="1446"/>
      <c r="U492" s="1394">
        <v>492</v>
      </c>
      <c r="V492" s="1421"/>
    </row>
    <row r="493" spans="1:22" ht="15.75" customHeight="1">
      <c r="A493" s="1429" t="s">
        <v>286</v>
      </c>
      <c r="B493" s="1431"/>
      <c r="C493" s="1479" t="str">
        <f>IF(C492="","",C487*C488*C492)</f>
        <v/>
      </c>
      <c r="D493" s="1479" t="str">
        <f>IF(D492="","",D487*D488*D492)</f>
        <v/>
      </c>
      <c r="E493" s="1479" t="str">
        <f>IF(E492="","",E487*E488*E492)</f>
        <v/>
      </c>
      <c r="F493" s="1479">
        <f>IF(F492="","",F487*F488*F492)</f>
        <v>1440</v>
      </c>
      <c r="G493" s="1461"/>
      <c r="H493" s="1537">
        <f t="shared" ref="H493" si="45">IF(H$46=0,"",H487*H488*H492)</f>
        <v>4398.7287169031079</v>
      </c>
      <c r="I493" s="1537">
        <f>IF(I$46=0,"",I487*I488*I492)</f>
        <v>4398.7287169031079</v>
      </c>
      <c r="J493" s="1537">
        <f t="shared" ref="J493:K493" si="46">IF(J$46=0,"",J487*J488*J492)</f>
        <v>4398.7287169031079</v>
      </c>
      <c r="K493" s="1537">
        <f t="shared" si="46"/>
        <v>4948.5698065159968</v>
      </c>
      <c r="L493" s="1461"/>
      <c r="M493" s="1463">
        <f>IF(SUM(H493)=SUM(C493),"",SUM(H493)-SUM(C493))</f>
        <v>4398.7287169031079</v>
      </c>
      <c r="N493" s="1463">
        <f>IF(SUM(I493)=SUM(D493),"",SUM(I493)-SUM(D493))</f>
        <v>4398.7287169031079</v>
      </c>
      <c r="O493" s="1463">
        <f>IF(SUM(J493)=SUM(E493),"",SUM(J493)-SUM(E493))</f>
        <v>4398.7287169031079</v>
      </c>
      <c r="P493" s="1463">
        <f>IF(SUM(K493)=SUM(F493),"",SUM(K493)-SUM(F493))</f>
        <v>3508.5698065159968</v>
      </c>
      <c r="Q493" s="1464" t="str">
        <f>[1]ExpFactors!$I$50</f>
        <v>fpl</v>
      </c>
      <c r="R493" s="1402"/>
      <c r="S493" s="1403"/>
      <c r="T493" s="1403"/>
      <c r="U493" s="1394">
        <v>493</v>
      </c>
      <c r="V493" s="1421"/>
    </row>
    <row r="494" spans="1:22" ht="15.75" customHeight="1">
      <c r="A494" s="1529" t="str">
        <f>IF(Data!A494="","",Data!A494)</f>
        <v>White bread purchase</v>
      </c>
      <c r="B494" s="1432"/>
      <c r="C494" s="1444" t="str">
        <f>IF(Data!BV494="","",Data!BV494)</f>
        <v>loaf</v>
      </c>
      <c r="D494" s="1444" t="str">
        <f>IF(Data!BW494="","",Data!BW494)</f>
        <v>loaf</v>
      </c>
      <c r="E494" s="1444" t="str">
        <f>IF(Data!BX494="","",Data!BX494)</f>
        <v>loaf</v>
      </c>
      <c r="F494" s="1444" t="str">
        <f>IF(Data!BY494="","",Data!BY494)</f>
        <v>loaf</v>
      </c>
      <c r="G494" s="1431"/>
      <c r="H494" s="1427"/>
      <c r="I494" s="1427"/>
      <c r="J494" s="1427"/>
      <c r="K494" s="1427"/>
      <c r="L494" s="1431"/>
      <c r="M494" s="1427"/>
      <c r="N494" s="1427"/>
      <c r="O494" s="1427"/>
      <c r="P494" s="1427"/>
      <c r="Q494" s="1464"/>
      <c r="R494" s="1378"/>
      <c r="S494" s="1378"/>
      <c r="T494" s="1378"/>
      <c r="U494" s="1394">
        <v>494</v>
      </c>
      <c r="V494" s="1421"/>
    </row>
    <row r="495" spans="1:22" ht="15.75" customHeight="1">
      <c r="A495" s="1380" t="s">
        <v>266</v>
      </c>
      <c r="B495" s="1433"/>
      <c r="C495" s="1444">
        <f>IF(Data!BV495="","",Data!BV495)</f>
        <v>0.7</v>
      </c>
      <c r="D495" s="1444">
        <f>IF(Data!BW495="","",Data!BW495)</f>
        <v>0.7</v>
      </c>
      <c r="E495" s="1444">
        <f>IF(Data!BX495="","",Data!BX495)</f>
        <v>0.7</v>
      </c>
      <c r="F495" s="1444">
        <f>IF(Data!BY495="","",Data!BY495)</f>
        <v>0.7</v>
      </c>
      <c r="G495" s="1431"/>
      <c r="H495" s="1427"/>
      <c r="I495" s="1427"/>
      <c r="J495" s="1427"/>
      <c r="K495" s="1427"/>
      <c r="L495" s="1431"/>
      <c r="M495" s="1427"/>
      <c r="N495" s="1427"/>
      <c r="O495" s="1427"/>
      <c r="P495" s="1427"/>
      <c r="Q495" s="1464"/>
      <c r="R495" s="1402"/>
      <c r="S495" s="1403"/>
      <c r="T495" s="1403"/>
      <c r="U495" s="1394">
        <v>495</v>
      </c>
      <c r="V495" s="1421"/>
    </row>
    <row r="496" spans="1:22" ht="15.75" customHeight="1">
      <c r="A496" s="1380" t="s">
        <v>282</v>
      </c>
      <c r="B496" s="1433"/>
      <c r="C496" s="1444" t="str">
        <f>IF(Data!BV496="","",Data!BV496)</f>
        <v/>
      </c>
      <c r="D496" s="1444" t="str">
        <f>IF(Data!BW496="","",Data!BW496)</f>
        <v/>
      </c>
      <c r="E496" s="1444" t="str">
        <f>IF(Data!BX496="","",Data!BX496)</f>
        <v/>
      </c>
      <c r="F496" s="1444">
        <f>IF(Data!BY496="","",Data!BY496)</f>
        <v>15</v>
      </c>
      <c r="G496" s="1431"/>
      <c r="H496" s="1533">
        <f>IF(H$46="","",IF('Exp factors'!$B51="poor",'Exp factors'!$G$51*H$46/$D495/H497,SUM(C496)*'Exp factors'!C$51))</f>
        <v>10.915962646679544</v>
      </c>
      <c r="I496" s="1533">
        <f>IF(I$46="","",IF('Exp factors'!$B51="poor",'Exp factors'!$G$51*I$46/$D495/I497,SUM(D496)*'Exp factors'!D$51))</f>
        <v>10.915962646679544</v>
      </c>
      <c r="J496" s="1533">
        <f>IF(J$46="","",IF('Exp factors'!$B51="poor",'Exp factors'!$G$51*J$46/$D495/J497,SUM(E496)*'Exp factors'!E$51))</f>
        <v>10.915962646679544</v>
      </c>
      <c r="K496" s="1533">
        <f>IF(K$46="","",IF('Exp factors'!$B51="poor",'Exp factors'!$G$51*K$46/$D495/K497,SUM(F496)*'Exp factors'!F$51))</f>
        <v>12.280457977514487</v>
      </c>
      <c r="L496" s="1431"/>
      <c r="M496" s="1427"/>
      <c r="N496" s="1427"/>
      <c r="O496" s="1427"/>
      <c r="P496" s="1427"/>
      <c r="Q496" s="1464"/>
      <c r="R496" s="1402"/>
      <c r="S496" s="1403"/>
      <c r="T496" s="1403"/>
      <c r="U496" s="1394">
        <v>496</v>
      </c>
      <c r="V496" s="1421"/>
    </row>
    <row r="497" spans="1:22" ht="15.75" customHeight="1">
      <c r="A497" s="1429" t="s">
        <v>283</v>
      </c>
      <c r="B497" s="1431"/>
      <c r="C497" s="1444">
        <f>IF(Data!BV497="","",Data!BV497)</f>
        <v>12</v>
      </c>
      <c r="D497" s="1444">
        <f>IF(Data!BW497="","",Data!BW497)</f>
        <v>12</v>
      </c>
      <c r="E497" s="1444">
        <f>IF(Data!BX497="","",Data!BX497)</f>
        <v>12</v>
      </c>
      <c r="F497" s="1444">
        <f>IF(Data!BY497="","",Data!BY497)</f>
        <v>12</v>
      </c>
      <c r="G497" s="1431"/>
      <c r="H497" s="1534">
        <f>I497</f>
        <v>12</v>
      </c>
      <c r="I497" s="1534">
        <f>SUM(D497)</f>
        <v>12</v>
      </c>
      <c r="J497" s="1534">
        <f>I497</f>
        <v>12</v>
      </c>
      <c r="K497" s="1534">
        <f>I497</f>
        <v>12</v>
      </c>
      <c r="L497" s="1431"/>
      <c r="M497" s="1427"/>
      <c r="N497" s="1427"/>
      <c r="O497" s="1427"/>
      <c r="P497" s="1427"/>
      <c r="Q497" s="1464"/>
      <c r="R497" s="1402"/>
      <c r="S497" s="1403"/>
      <c r="T497" s="1403"/>
      <c r="U497" s="1394">
        <v>497</v>
      </c>
      <c r="V497" s="1421"/>
    </row>
    <row r="498" spans="1:22" ht="15.75" customHeight="1">
      <c r="A498" s="1511" t="s">
        <v>267</v>
      </c>
      <c r="B498" s="1431"/>
      <c r="C498" s="1479" t="str">
        <f>IF(C496="","",C495*C496*C497)</f>
        <v/>
      </c>
      <c r="D498" s="1479" t="str">
        <f>IF(D496="","",D495*D496*D497)</f>
        <v/>
      </c>
      <c r="E498" s="1479" t="str">
        <f>IF(E496="","",E495*E496*E497)</f>
        <v/>
      </c>
      <c r="F498" s="1479">
        <f>IF(F496="","",F495*F496*F497)</f>
        <v>126</v>
      </c>
      <c r="G498" s="1461"/>
      <c r="H498" s="1479">
        <f>IF(H$46=0,"",SUM($D495)*H496*H497)</f>
        <v>91.694086232108162</v>
      </c>
      <c r="I498" s="1479">
        <f>IF(I$46=0,"",SUM($D495)*I496*I497)</f>
        <v>91.694086232108162</v>
      </c>
      <c r="J498" s="1479">
        <f>IF(J$46=0,"",SUM($D495)*J496*J497)</f>
        <v>91.694086232108162</v>
      </c>
      <c r="K498" s="1479">
        <f>IF(K$46=0,"",SUM($D495)*K496*K497)</f>
        <v>103.15584701112169</v>
      </c>
      <c r="L498" s="1461"/>
      <c r="M498" s="1427"/>
      <c r="N498" s="1427"/>
      <c r="O498" s="1427"/>
      <c r="P498" s="1427"/>
      <c r="Q498" s="1464"/>
      <c r="R498" s="1402"/>
      <c r="S498" s="1403"/>
      <c r="T498" s="1403"/>
      <c r="U498" s="1394">
        <v>498</v>
      </c>
      <c r="V498" s="1421"/>
    </row>
    <row r="499" spans="1:22" ht="15.75" customHeight="1">
      <c r="A499" s="1511" t="s">
        <v>292</v>
      </c>
      <c r="B499" s="1431"/>
      <c r="C499" s="1444">
        <f>IF(Data!BV499="","",Data!BV499)</f>
        <v>11220.624</v>
      </c>
      <c r="D499" s="1444">
        <f>IF(Data!BW499="","",Data!BW499)</f>
        <v>11220.624</v>
      </c>
      <c r="E499" s="1444">
        <f>IF(Data!BX499="","",Data!BX499)</f>
        <v>11220.624</v>
      </c>
      <c r="F499" s="1444">
        <f>IF(Data!BY499="","",Data!BY499)</f>
        <v>11220.624</v>
      </c>
      <c r="G499" s="1461"/>
      <c r="H499" s="1427"/>
      <c r="I499" s="1427"/>
      <c r="J499" s="1427"/>
      <c r="K499" s="1427"/>
      <c r="L499" s="1461"/>
      <c r="M499" s="1427"/>
      <c r="N499" s="1427"/>
      <c r="O499" s="1427"/>
      <c r="P499" s="1427"/>
      <c r="Q499" s="1464"/>
      <c r="R499" s="1402"/>
      <c r="S499" s="1403"/>
      <c r="T499" s="1403"/>
      <c r="U499" s="1394">
        <v>499</v>
      </c>
      <c r="V499" s="1421"/>
    </row>
    <row r="500" spans="1:22" ht="15.75" customHeight="1">
      <c r="A500" s="1429" t="s">
        <v>252</v>
      </c>
      <c r="B500" s="1432"/>
      <c r="C500" s="1530" t="str">
        <f>IF(C498="","",C498*C499/C$46/365/$P$1)</f>
        <v/>
      </c>
      <c r="D500" s="1530" t="str">
        <f>IF(D498="","",D498*D499/D$46/365/$P$1)</f>
        <v/>
      </c>
      <c r="E500" s="1530" t="str">
        <f>IF(E498="","",E498*E499/E$46/365/$P$1)</f>
        <v/>
      </c>
      <c r="F500" s="1530">
        <f>IF(F498="","",F498*F499/F$46/365/$P$1)</f>
        <v>4.8906829389788298E-2</v>
      </c>
      <c r="G500" s="1443"/>
      <c r="H500" s="1530">
        <f>IF(H$46=0,"",H498*SUM($D499)/H$46/365/$P$1)</f>
        <v>4.0039884208984369E-2</v>
      </c>
      <c r="I500" s="1530">
        <f>IF(I$46=0,"",I498*SUM($D499)/I$46/365/$P$1)</f>
        <v>4.0039884208984369E-2</v>
      </c>
      <c r="J500" s="1530">
        <f>IF(J$46=0,"",J498*SUM($D499)/J$46/365/$P$1)</f>
        <v>4.0039884208984369E-2</v>
      </c>
      <c r="K500" s="1530">
        <f>IF(K$46=0,"",K498*SUM($D499)/K$46/365/$P$1)</f>
        <v>4.0039884208984376E-2</v>
      </c>
      <c r="L500" s="1443"/>
      <c r="M500" s="1484">
        <f>IF(SUM(H500)=SUM(C500),"",SUM(H500)-SUM(C500))</f>
        <v>4.0039884208984369E-2</v>
      </c>
      <c r="N500" s="1484">
        <f>IF(SUM(I500)=SUM(D500),"",SUM(I500)-SUM(D500))</f>
        <v>4.0039884208984369E-2</v>
      </c>
      <c r="O500" s="1484">
        <f>IF(SUM(J500)=SUM(E500),"",SUM(J500)-SUM(E500))</f>
        <v>4.0039884208984369E-2</v>
      </c>
      <c r="P500" s="1484">
        <f>IF(SUM(K500)=SUM(F500),"",SUM(K500)-SUM(F500))</f>
        <v>-8.8669451808039215E-3</v>
      </c>
      <c r="Q500" s="1464"/>
      <c r="R500" s="1392"/>
      <c r="S500" s="1393"/>
      <c r="T500" s="1393"/>
      <c r="U500" s="1394">
        <v>500</v>
      </c>
      <c r="V500" s="1421"/>
    </row>
    <row r="501" spans="1:22" ht="15.75" customHeight="1">
      <c r="A501" s="1531" t="s">
        <v>285</v>
      </c>
      <c r="B501" s="1433"/>
      <c r="C501" s="1444" t="str">
        <f>IF(Data!BV501="","",Data!BV501)</f>
        <v/>
      </c>
      <c r="D501" s="1444" t="str">
        <f>IF(Data!BW501="","",Data!BW501)</f>
        <v/>
      </c>
      <c r="E501" s="1444" t="str">
        <f>IF(Data!BX501="","",Data!BX501)</f>
        <v/>
      </c>
      <c r="F501" s="1444">
        <f>IF(Data!BY501="","",Data!BY501)</f>
        <v>9</v>
      </c>
      <c r="G501" s="1459"/>
      <c r="H501" s="1536">
        <f>$I501</f>
        <v>9</v>
      </c>
      <c r="I501" s="1536">
        <f>IF(SUM($D501)=0,IF(SUM($C501)=0,IF(SUM($E501)=0,IF(SUM($F501)=0,'Exp factors'!$H$51*$D495,SUM($F501)),SUM($E501)),SUM($C501)),SUM($D501))</f>
        <v>9</v>
      </c>
      <c r="J501" s="1536">
        <f>$I501</f>
        <v>9</v>
      </c>
      <c r="K501" s="1536">
        <f>$I501</f>
        <v>9</v>
      </c>
      <c r="L501" s="1459"/>
      <c r="M501" s="1427"/>
      <c r="N501" s="1427"/>
      <c r="O501" s="1427"/>
      <c r="P501" s="1427"/>
      <c r="Q501" s="1464"/>
      <c r="R501" s="1445"/>
      <c r="S501" s="1446"/>
      <c r="T501" s="1446"/>
      <c r="U501" s="1394">
        <v>501</v>
      </c>
      <c r="V501" s="1421"/>
    </row>
    <row r="502" spans="1:22" ht="15.75" customHeight="1">
      <c r="A502" s="1429" t="s">
        <v>286</v>
      </c>
      <c r="B502" s="1433"/>
      <c r="C502" s="1479" t="str">
        <f t="shared" ref="C502:E502" si="47">IF(C501="","",C496*C497*C501)</f>
        <v/>
      </c>
      <c r="D502" s="1479" t="str">
        <f t="shared" si="47"/>
        <v/>
      </c>
      <c r="E502" s="1479" t="str">
        <f t="shared" si="47"/>
        <v/>
      </c>
      <c r="F502" s="1479">
        <f>IF(F501="","",F496*F497*F501)</f>
        <v>1620</v>
      </c>
      <c r="G502" s="1461"/>
      <c r="H502" s="1537">
        <f t="shared" ref="H502:K502" si="48">IF(H$46=0,"",H496*H497*H501)</f>
        <v>1178.9239658413908</v>
      </c>
      <c r="I502" s="1537">
        <f>IF(I$46=0,"",I496*I497*I501)</f>
        <v>1178.9239658413908</v>
      </c>
      <c r="J502" s="1537">
        <f t="shared" si="48"/>
        <v>1178.9239658413908</v>
      </c>
      <c r="K502" s="1537">
        <f t="shared" si="48"/>
        <v>1326.2894615715645</v>
      </c>
      <c r="L502" s="1461"/>
      <c r="M502" s="1463">
        <f>IF(SUM(H502)=SUM(C502),"",SUM(H502)-SUM(C502))</f>
        <v>1178.9239658413908</v>
      </c>
      <c r="N502" s="1463">
        <f>IF(SUM(I502)=SUM(D502),"",SUM(I502)-SUM(D502))</f>
        <v>1178.9239658413908</v>
      </c>
      <c r="O502" s="1463">
        <f>IF(SUM(J502)=SUM(E502),"",SUM(J502)-SUM(E502))</f>
        <v>1178.9239658413908</v>
      </c>
      <c r="P502" s="1463">
        <f>IF(SUM(K502)=SUM(F502),"",SUM(K502)-SUM(F502))</f>
        <v>-293.71053842843548</v>
      </c>
      <c r="Q502" s="1464" t="str">
        <f>[1]ExpFactors!$I$51</f>
        <v>fpl</v>
      </c>
      <c r="R502" s="1402"/>
      <c r="S502" s="1403"/>
      <c r="T502" s="1403"/>
      <c r="U502" s="1394">
        <v>502</v>
      </c>
      <c r="V502" s="1421"/>
    </row>
    <row r="503" spans="1:22" ht="15.75" customHeight="1">
      <c r="A503" s="1538" t="str">
        <f>IF(Data!A503="","",Data!A503)</f>
        <v>Brown sugar purchase</v>
      </c>
      <c r="B503" s="1431"/>
      <c r="C503" s="1444" t="str">
        <f>IF(Data!BV503="","",Data!BV503)</f>
        <v/>
      </c>
      <c r="D503" s="1444" t="str">
        <f>IF(Data!BW503="","",Data!BW503)</f>
        <v/>
      </c>
      <c r="E503" s="1444" t="str">
        <f>IF(Data!BX503="","",Data!BX503)</f>
        <v/>
      </c>
      <c r="F503" s="1444" t="str">
        <f>IF(Data!BY503="","",Data!BY503)</f>
        <v/>
      </c>
      <c r="G503" s="1431"/>
      <c r="H503" s="1533">
        <f>IF(H$46="","",IF('Exp factors'!$B61="poor",'Exp factors'!$G$61*H$46/H504,SUM(C503)*'Exp factors'!C$61))</f>
        <v>2.5897302423551731</v>
      </c>
      <c r="I503" s="1533">
        <f>IF(I$46="","",IF('Exp factors'!$B61="poor",'Exp factors'!$G$61*I$46/I504,SUM(D503)*'Exp factors'!D$61))</f>
        <v>2.5897302423551731</v>
      </c>
      <c r="J503" s="1533">
        <f>IF(J$46="","",IF('Exp factors'!$B61="poor",'Exp factors'!$G$61*J$46/J504,SUM(E503)*'Exp factors'!E$61))</f>
        <v>2.5897302423551731</v>
      </c>
      <c r="K503" s="1533">
        <f>IF(K$46="","",IF('Exp factors'!$B61="poor",'Exp factors'!$G$61*K$46/K504,SUM(F503)*'Exp factors'!F$61))</f>
        <v>2.9134465226495698</v>
      </c>
      <c r="L503" s="1431"/>
      <c r="M503" s="1427"/>
      <c r="N503" s="1427"/>
      <c r="O503" s="1427"/>
      <c r="P503" s="1427"/>
      <c r="Q503" s="1464"/>
      <c r="R503" s="1402"/>
      <c r="S503" s="1403"/>
      <c r="T503" s="1403"/>
      <c r="U503" s="1394">
        <v>503</v>
      </c>
      <c r="V503" s="1421"/>
    </row>
    <row r="504" spans="1:22" s="1506" customFormat="1" ht="15.75" customHeight="1">
      <c r="A504" s="1429" t="s">
        <v>289</v>
      </c>
      <c r="B504" s="1431"/>
      <c r="C504" s="1444" t="str">
        <f>IF(Data!BV504="","",Data!BV504)</f>
        <v/>
      </c>
      <c r="D504" s="1444" t="str">
        <f>IF(Data!BW504="","",Data!BW504)</f>
        <v/>
      </c>
      <c r="E504" s="1444" t="str">
        <f>IF(Data!BX504="","",Data!BX504)</f>
        <v/>
      </c>
      <c r="F504" s="1444" t="str">
        <f>IF(Data!BY504="","",Data!BY504)</f>
        <v/>
      </c>
      <c r="G504" s="1431"/>
      <c r="H504" s="1534">
        <f>I504</f>
        <v>12</v>
      </c>
      <c r="I504" s="1534">
        <f>IF(SUM(D504)=0,IF(SUM(C504)=0,IF(SUM(E504)=0,IF(SUM(F504)=0,12,SUM(F504)),SUM(E504)),SUM(C504)),SUM(D504))</f>
        <v>12</v>
      </c>
      <c r="J504" s="1534">
        <f>I504</f>
        <v>12</v>
      </c>
      <c r="K504" s="1534">
        <f>I504</f>
        <v>12</v>
      </c>
      <c r="L504" s="1431"/>
      <c r="M504" s="1427"/>
      <c r="N504" s="1427"/>
      <c r="O504" s="1427"/>
      <c r="P504" s="1427"/>
      <c r="Q504" s="1504"/>
      <c r="R504" s="1402"/>
      <c r="S504" s="1403"/>
      <c r="T504" s="1403"/>
      <c r="U504" s="1394">
        <v>504</v>
      </c>
      <c r="V504" s="1505"/>
    </row>
    <row r="505" spans="1:22" s="1506" customFormat="1" ht="15.75" customHeight="1">
      <c r="A505" s="1511" t="s">
        <v>292</v>
      </c>
      <c r="B505" s="1431"/>
      <c r="C505" s="1444">
        <f>IF(Data!BV505="","",Data!BV505)</f>
        <v>16747.2</v>
      </c>
      <c r="D505" s="1444">
        <f>IF(Data!BW505="","",Data!BW505)</f>
        <v>16747.2</v>
      </c>
      <c r="E505" s="1444">
        <f>IF(Data!BX505="","",Data!BX505)</f>
        <v>16747.2</v>
      </c>
      <c r="F505" s="1444">
        <f>IF(Data!BY505="","",Data!BY505)</f>
        <v>16747.2</v>
      </c>
      <c r="G505" s="1431"/>
      <c r="H505" s="1427"/>
      <c r="I505" s="1427"/>
      <c r="J505" s="1427"/>
      <c r="K505" s="1427"/>
      <c r="L505" s="1431"/>
      <c r="M505" s="1449"/>
      <c r="N505" s="1449"/>
      <c r="O505" s="1449"/>
      <c r="P505" s="1449"/>
      <c r="Q505" s="1504"/>
      <c r="R505" s="1402"/>
      <c r="S505" s="1403"/>
      <c r="T505" s="1403"/>
      <c r="U505" s="1394">
        <v>505</v>
      </c>
      <c r="V505" s="1505"/>
    </row>
    <row r="506" spans="1:22" ht="15.75" customHeight="1">
      <c r="A506" s="1429" t="s">
        <v>252</v>
      </c>
      <c r="B506" s="1432"/>
      <c r="C506" s="1539" t="str">
        <f>IF(SUM(C503)=0,"",C503*C504*C505/C$46/365/$P$1)</f>
        <v/>
      </c>
      <c r="D506" s="1539" t="str">
        <f>IF(SUM(D503)=0,"",D503*D504*D505/D$46/365/$P$1)</f>
        <v/>
      </c>
      <c r="E506" s="1539" t="str">
        <f>IF(SUM(E503)=0,"",E503*E504*E505/E$46/365/$P$1)</f>
        <v/>
      </c>
      <c r="F506" s="1539" t="str">
        <f>IF(SUM(F503)=0,"",F503*F504*F505/F$46/365/$P$1)</f>
        <v/>
      </c>
      <c r="G506" s="1443"/>
      <c r="H506" s="1539">
        <f>IF(H$46=0,"",H503*H504*SUM($D505)/H$46/365/$P$1)</f>
        <v>2.0254077046125727E-2</v>
      </c>
      <c r="I506" s="1539">
        <f>IF(I$46=0,"",I503*I504*SUM($D505)/I$46/365/$P$1)</f>
        <v>2.0254077046125727E-2</v>
      </c>
      <c r="J506" s="1539">
        <f>IF(J$46=0,"",J503*J504*SUM($D505)/J$46/365/$P$1)</f>
        <v>2.0254077046125727E-2</v>
      </c>
      <c r="K506" s="1539">
        <f>IF(K$46=0,"",K503*K504*SUM($D505)/K$46/365/$P$1)</f>
        <v>2.0254077046125731E-2</v>
      </c>
      <c r="L506" s="1443"/>
      <c r="M506" s="1484">
        <f>IF(SUM(H506)=SUM(C506),"",SUM(H506)-SUM(C506))</f>
        <v>2.0254077046125727E-2</v>
      </c>
      <c r="N506" s="1484">
        <f>IF(SUM(I506)=SUM(D506),"",SUM(I506)-SUM(D506))</f>
        <v>2.0254077046125727E-2</v>
      </c>
      <c r="O506" s="1484">
        <f>IF(SUM(J506)=SUM(E506),"",SUM(J506)-SUM(E506))</f>
        <v>2.0254077046125727E-2</v>
      </c>
      <c r="P506" s="1484">
        <f>IF(SUM(K506)=SUM(F506),"",SUM(K506)-SUM(F506))</f>
        <v>2.0254077046125731E-2</v>
      </c>
      <c r="Q506" s="1464"/>
      <c r="R506" s="1392"/>
      <c r="S506" s="1393"/>
      <c r="T506" s="1393"/>
      <c r="U506" s="1394">
        <v>506</v>
      </c>
      <c r="V506" s="1421"/>
    </row>
    <row r="507" spans="1:22" ht="15.75" customHeight="1">
      <c r="A507" s="1532" t="s">
        <v>288</v>
      </c>
      <c r="B507" s="1433"/>
      <c r="C507" s="1444" t="str">
        <f>IF(Data!BV507="","",Data!BV507)</f>
        <v/>
      </c>
      <c r="D507" s="1444" t="str">
        <f>IF(Data!BW507="","",Data!BW507)</f>
        <v/>
      </c>
      <c r="E507" s="1444" t="str">
        <f>IF(Data!BX507="","",Data!BX507)</f>
        <v/>
      </c>
      <c r="F507" s="1444" t="str">
        <f>IF(Data!BY507="","",Data!BY507)</f>
        <v/>
      </c>
      <c r="G507" s="1431"/>
      <c r="H507" s="1536">
        <f>$I507</f>
        <v>21.820450281425892</v>
      </c>
      <c r="I507" s="1536">
        <f>IF(SUM($D507)=0,IF(SUM($C507)=0,IF(SUM($E507)=0,IF(SUM($F507)=0,'Exp factors'!$H$61,SUM($F507)),SUM($E507)),SUM($C507)),SUM($D507))</f>
        <v>21.820450281425892</v>
      </c>
      <c r="J507" s="1536">
        <f>$I507</f>
        <v>21.820450281425892</v>
      </c>
      <c r="K507" s="1536">
        <f>$I507</f>
        <v>21.820450281425892</v>
      </c>
      <c r="L507" s="1431"/>
      <c r="M507" s="1427"/>
      <c r="N507" s="1427"/>
      <c r="O507" s="1427"/>
      <c r="P507" s="1427"/>
      <c r="Q507" s="1464"/>
      <c r="R507" s="1445"/>
      <c r="S507" s="1446"/>
      <c r="T507" s="1446"/>
      <c r="U507" s="1394">
        <v>507</v>
      </c>
      <c r="V507" s="1421"/>
    </row>
    <row r="508" spans="1:22" ht="15.75" customHeight="1">
      <c r="A508" s="1429" t="s">
        <v>286</v>
      </c>
      <c r="B508" s="1431"/>
      <c r="C508" s="1540" t="str">
        <f>IF(C507="","",C503*C504*C507)</f>
        <v/>
      </c>
      <c r="D508" s="1540" t="str">
        <f>IF(D507="","",D503*D504*D507)</f>
        <v/>
      </c>
      <c r="E508" s="1540" t="str">
        <f>IF(E507="","",E503*E504*E507)</f>
        <v/>
      </c>
      <c r="F508" s="1540" t="str">
        <f>IF(F507="","",F503*F504*F507)</f>
        <v/>
      </c>
      <c r="G508" s="1431"/>
      <c r="H508" s="1540">
        <f>IF(H$46=0,"",H503*H504*H507)</f>
        <v>678.10895994739292</v>
      </c>
      <c r="I508" s="1540">
        <f t="shared" ref="I508" si="49">IF(I$46=0,"",I503*I504*I507)</f>
        <v>678.10895994739292</v>
      </c>
      <c r="J508" s="1540">
        <f t="shared" ref="J508" si="50">IF(J$46=0,"",J503*J504*J507)</f>
        <v>678.10895994739292</v>
      </c>
      <c r="K508" s="1540">
        <f t="shared" ref="K508" si="51">IF(K$46=0,"",K503*K504*K507)</f>
        <v>762.8725799408171</v>
      </c>
      <c r="L508" s="1431"/>
      <c r="M508" s="1463">
        <f>IF(SUM(H508)=SUM(C508),"",SUM(H508)-SUM(C508))</f>
        <v>678.10895994739292</v>
      </c>
      <c r="N508" s="1463">
        <f>IF(SUM(I508)=SUM(D508),"",SUM(I508)-SUM(D508))</f>
        <v>678.10895994739292</v>
      </c>
      <c r="O508" s="1463">
        <f>IF(SUM(J508)=SUM(E508),"",SUM(J508)-SUM(E508))</f>
        <v>678.10895994739292</v>
      </c>
      <c r="P508" s="1463">
        <f>IF(SUM(K508)=SUM(F508),"",SUM(K508)-SUM(F508))</f>
        <v>762.8725799408171</v>
      </c>
      <c r="Q508" s="1464" t="str">
        <f>[1]ExpFactors!$I$61</f>
        <v>fpl</v>
      </c>
      <c r="R508" s="1402"/>
      <c r="S508" s="1403"/>
      <c r="T508" s="1403"/>
      <c r="U508" s="1394">
        <v>508</v>
      </c>
      <c r="V508" s="1421"/>
    </row>
    <row r="509" spans="1:22" ht="15.75" customHeight="1">
      <c r="A509" s="1541" t="str">
        <f>IF(Data!A509="","",Data!A509)</f>
        <v>White sugar purchase</v>
      </c>
      <c r="B509" s="1431"/>
      <c r="C509" s="1444">
        <f>IF(Data!BV509="","",Data!BV509)</f>
        <v>10</v>
      </c>
      <c r="D509" s="1444">
        <f>IF(Data!BW509="","",Data!BW509)</f>
        <v>10</v>
      </c>
      <c r="E509" s="1444">
        <f>IF(Data!BX509="","",Data!BX509)</f>
        <v>10</v>
      </c>
      <c r="F509" s="1444">
        <f>IF(Data!BY509="","",Data!BY509)</f>
        <v>10</v>
      </c>
      <c r="G509" s="1431"/>
      <c r="H509" s="1533">
        <f>IF(H$46="","",IF('Exp factors'!$B62="poor",'Exp factors'!$G$62*H$46/H510,SUM(C509)*'Exp factors'!C$62))</f>
        <v>1.6839933126226247</v>
      </c>
      <c r="I509" s="1533">
        <f>IF(I$46="","",IF('Exp factors'!$B62="poor",'Exp factors'!$G$62*I$46/I510,SUM(D509)*'Exp factors'!D$62))</f>
        <v>1.6839933126226247</v>
      </c>
      <c r="J509" s="1533">
        <f>IF(J$46="","",IF('Exp factors'!$B62="poor",'Exp factors'!$G$62*J$46/J510,SUM(E509)*'Exp factors'!E$62))</f>
        <v>1.6839933126226247</v>
      </c>
      <c r="K509" s="1533">
        <f>IF(K$46="","",IF('Exp factors'!$B62="poor",'Exp factors'!$G$62*K$46/K510,SUM(F509)*'Exp factors'!F$62))</f>
        <v>1.894492476700453</v>
      </c>
      <c r="L509" s="1431"/>
      <c r="M509" s="1427"/>
      <c r="N509" s="1427"/>
      <c r="O509" s="1427"/>
      <c r="P509" s="1427"/>
      <c r="Q509" s="1464"/>
      <c r="R509" s="1402"/>
      <c r="S509" s="1403"/>
      <c r="T509" s="1403"/>
      <c r="U509" s="1394">
        <v>509</v>
      </c>
      <c r="V509" s="1421"/>
    </row>
    <row r="510" spans="1:22" ht="15.75" customHeight="1">
      <c r="A510" s="1429" t="s">
        <v>289</v>
      </c>
      <c r="B510" s="1432"/>
      <c r="C510" s="1444">
        <f>IF(Data!BV510="","",Data!BV510)</f>
        <v>12</v>
      </c>
      <c r="D510" s="1444">
        <f>IF(Data!BW510="","",Data!BW510)</f>
        <v>12</v>
      </c>
      <c r="E510" s="1444">
        <f>IF(Data!BX510="","",Data!BX510)</f>
        <v>12</v>
      </c>
      <c r="F510" s="1444">
        <f>IF(Data!BY510="","",Data!BY510)</f>
        <v>12</v>
      </c>
      <c r="G510" s="1431"/>
      <c r="H510" s="1534">
        <f>I510</f>
        <v>12</v>
      </c>
      <c r="I510" s="1534">
        <f>IF(SUM(D510)=0,IF(SUM(C510)=0,IF(SUM(E510)=0,IF(SUM(F510)=0,12,SUM(F510)),SUM(E510)),SUM(C510)),SUM(D510))</f>
        <v>12</v>
      </c>
      <c r="J510" s="1534">
        <f>I510</f>
        <v>12</v>
      </c>
      <c r="K510" s="1534">
        <f>I510</f>
        <v>12</v>
      </c>
      <c r="L510" s="1431"/>
      <c r="M510" s="1427"/>
      <c r="N510" s="1427"/>
      <c r="O510" s="1427"/>
      <c r="P510" s="1427"/>
      <c r="Q510" s="1464"/>
      <c r="R510" s="1402"/>
      <c r="S510" s="1403"/>
      <c r="T510" s="1403"/>
      <c r="U510" s="1394">
        <v>510</v>
      </c>
      <c r="V510" s="1421"/>
    </row>
    <row r="511" spans="1:22" ht="15.75" customHeight="1">
      <c r="A511" s="1511" t="s">
        <v>292</v>
      </c>
      <c r="B511" s="1431"/>
      <c r="C511" s="1444">
        <f>IF(Data!BV511="","",Data!BV511)</f>
        <v>16956.54</v>
      </c>
      <c r="D511" s="1444">
        <f>IF(Data!BW511="","",Data!BW511)</f>
        <v>16956.54</v>
      </c>
      <c r="E511" s="1444">
        <f>IF(Data!BX511="","",Data!BX511)</f>
        <v>16956.54</v>
      </c>
      <c r="F511" s="1444">
        <f>IF(Data!BY511="","",Data!BY511)</f>
        <v>16956.54</v>
      </c>
      <c r="G511" s="1431"/>
      <c r="H511" s="1427"/>
      <c r="I511" s="1427"/>
      <c r="J511" s="1427"/>
      <c r="K511" s="1427"/>
      <c r="L511" s="1431"/>
      <c r="M511" s="1449"/>
      <c r="N511" s="1449"/>
      <c r="O511" s="1449"/>
      <c r="P511" s="1449"/>
      <c r="Q511" s="1464"/>
      <c r="R511" s="1402"/>
      <c r="S511" s="1403"/>
      <c r="T511" s="1403"/>
      <c r="U511" s="1394">
        <v>511</v>
      </c>
      <c r="V511" s="1421"/>
    </row>
    <row r="512" spans="1:22" ht="15.75" customHeight="1">
      <c r="A512" s="1429" t="s">
        <v>252</v>
      </c>
      <c r="B512" s="1433"/>
      <c r="C512" s="1539">
        <f>IF(SUM(C509)=0,"",C509*C510*C511/C$46/365/$P$1)</f>
        <v>7.9186830635118305E-2</v>
      </c>
      <c r="D512" s="1539">
        <f>IF(SUM(D509)=0,"",D509*D510*D511/D$46/365/$P$1)</f>
        <v>7.9186830635118305E-2</v>
      </c>
      <c r="E512" s="1539">
        <f>IF(SUM(E509)=0,"",E509*E510*E511/E$46/365/$P$1)</f>
        <v>7.9186830635118305E-2</v>
      </c>
      <c r="F512" s="1539">
        <f>IF(SUM(F509)=0,"",F509*F510*F511/F$46/365/$P$1)</f>
        <v>7.0388293897882939E-2</v>
      </c>
      <c r="G512" s="1443"/>
      <c r="H512" s="1539">
        <f>IF(H$46=0,"",H509*H510*SUM($D511)/H$46/365/$P$1)</f>
        <v>1.3335009323731963E-2</v>
      </c>
      <c r="I512" s="1539">
        <f>IF(I$46=0,"",I509*I510*SUM($D511)/I$46/365/$P$1)</f>
        <v>1.3335009323731963E-2</v>
      </c>
      <c r="J512" s="1539">
        <f>IF(J$46=0,"",J509*J510*SUM($D511)/J$46/365/$P$1)</f>
        <v>1.3335009323731963E-2</v>
      </c>
      <c r="K512" s="1539">
        <f>IF(K$46=0,"",K509*K510*SUM($D511)/K$46/365/$P$1)</f>
        <v>1.3335009323731963E-2</v>
      </c>
      <c r="L512" s="1443"/>
      <c r="M512" s="1484">
        <f>IF(SUM(H512)=SUM(C512),"",SUM(H512)-SUM(C512))</f>
        <v>-6.5851821311386338E-2</v>
      </c>
      <c r="N512" s="1484">
        <f>IF(SUM(I512)=SUM(D512),"",SUM(I512)-SUM(D512))</f>
        <v>-6.5851821311386338E-2</v>
      </c>
      <c r="O512" s="1484">
        <f>IF(SUM(J512)=SUM(E512),"",SUM(J512)-SUM(E512))</f>
        <v>-6.5851821311386338E-2</v>
      </c>
      <c r="P512" s="1484">
        <f>IF(SUM(K512)=SUM(F512),"",SUM(K512)-SUM(F512))</f>
        <v>-5.7053284574150973E-2</v>
      </c>
      <c r="Q512" s="1464"/>
      <c r="R512" s="1392"/>
      <c r="S512" s="1393"/>
      <c r="T512" s="1393"/>
      <c r="U512" s="1394">
        <v>512</v>
      </c>
      <c r="V512" s="1421"/>
    </row>
    <row r="513" spans="1:22" ht="15.75" customHeight="1">
      <c r="A513" s="1532" t="s">
        <v>288</v>
      </c>
      <c r="B513" s="1433"/>
      <c r="C513" s="1444">
        <f>IF(Data!BV513="","",Data!BV513)</f>
        <v>7</v>
      </c>
      <c r="D513" s="1444">
        <f>IF(Data!BW513="","",Data!BW513)</f>
        <v>7</v>
      </c>
      <c r="E513" s="1444">
        <f>IF(Data!BX513="","",Data!BX513)</f>
        <v>7</v>
      </c>
      <c r="F513" s="1444">
        <f>IF(Data!BY513="","",Data!BY513)</f>
        <v>7</v>
      </c>
      <c r="G513" s="1431"/>
      <c r="H513" s="1536">
        <f>$I513</f>
        <v>7</v>
      </c>
      <c r="I513" s="1536">
        <f>IF(SUM($D513)=0,IF(SUM($C513)=0,IF(SUM($E513)=0,IF(SUM($F513)=0,'Exp factors'!$H$62,SUM($F513)),SUM($E513)),SUM($C513)),SUM($D513))</f>
        <v>7</v>
      </c>
      <c r="J513" s="1536">
        <f>$I513</f>
        <v>7</v>
      </c>
      <c r="K513" s="1536">
        <f>$I513</f>
        <v>7</v>
      </c>
      <c r="L513" s="1431"/>
      <c r="M513" s="1427"/>
      <c r="N513" s="1427"/>
      <c r="O513" s="1427"/>
      <c r="P513" s="1427"/>
      <c r="Q513" s="1464"/>
      <c r="R513" s="1445"/>
      <c r="S513" s="1446"/>
      <c r="T513" s="1446"/>
      <c r="U513" s="1394">
        <v>513</v>
      </c>
      <c r="V513" s="1421"/>
    </row>
    <row r="514" spans="1:22" s="1506" customFormat="1" ht="15.75" customHeight="1">
      <c r="A514" s="1429" t="s">
        <v>286</v>
      </c>
      <c r="B514" s="1431"/>
      <c r="C514" s="1540">
        <f>IF(C513="","",C509*C510*C513)</f>
        <v>840</v>
      </c>
      <c r="D514" s="1540">
        <f>IF(D513="","",D509*D510*D513)</f>
        <v>840</v>
      </c>
      <c r="E514" s="1540">
        <f>IF(E513="","",E509*E510*E513)</f>
        <v>840</v>
      </c>
      <c r="F514" s="1540">
        <f>IF(F513="","",F509*F510*F513)</f>
        <v>840</v>
      </c>
      <c r="G514" s="1431"/>
      <c r="H514" s="1540">
        <f>IF(H$46=0,"",H509*H510*H513)</f>
        <v>141.45543826030047</v>
      </c>
      <c r="I514" s="1540">
        <f t="shared" ref="I514" si="52">IF(I$46=0,"",I509*I510*I513)</f>
        <v>141.45543826030047</v>
      </c>
      <c r="J514" s="1540">
        <f t="shared" ref="J514" si="53">IF(J$46=0,"",J509*J510*J513)</f>
        <v>141.45543826030047</v>
      </c>
      <c r="K514" s="1540">
        <f t="shared" ref="K514" si="54">IF(K$46=0,"",K509*K510*K513)</f>
        <v>159.13736804283803</v>
      </c>
      <c r="L514" s="1431"/>
      <c r="M514" s="1463">
        <f>IF(SUM(H514)=SUM(C514),"",SUM(H514)-SUM(C514))</f>
        <v>-698.54456173969947</v>
      </c>
      <c r="N514" s="1463">
        <f>IF(SUM(I514)=SUM(D514),"",SUM(I514)-SUM(D514))</f>
        <v>-698.54456173969947</v>
      </c>
      <c r="O514" s="1463">
        <f>IF(SUM(J514)=SUM(E514),"",SUM(J514)-SUM(E514))</f>
        <v>-698.54456173969947</v>
      </c>
      <c r="P514" s="1463">
        <f>IF(SUM(K514)=SUM(F514),"",SUM(K514)-SUM(F514))</f>
        <v>-680.86263195716197</v>
      </c>
      <c r="Q514" s="1464" t="str">
        <f>[1]ExpFactors!$I$62</f>
        <v>fpl</v>
      </c>
      <c r="R514" s="1402"/>
      <c r="S514" s="1403"/>
      <c r="T514" s="1403"/>
      <c r="U514" s="1394">
        <v>514</v>
      </c>
      <c r="V514" s="1505"/>
    </row>
    <row r="515" spans="1:22" ht="15.75" customHeight="1">
      <c r="A515" s="1541" t="str">
        <f>IF(Data!A515="","",Data!A515)</f>
        <v>Oil purchase: quantity (kg)</v>
      </c>
      <c r="B515" s="1431"/>
      <c r="C515" s="1444">
        <f>IF(Data!BV515="","",Data!BV515)</f>
        <v>5</v>
      </c>
      <c r="D515" s="1444">
        <f>IF(Data!BW515="","",Data!BW515)</f>
        <v>5</v>
      </c>
      <c r="E515" s="1444">
        <f>IF(Data!BX515="","",Data!BX515)</f>
        <v>5</v>
      </c>
      <c r="F515" s="1444">
        <f>IF(Data!BY515="","",Data!BY515)</f>
        <v>5</v>
      </c>
      <c r="G515" s="1431"/>
      <c r="H515" s="1533">
        <f>IF(H$46="","",IF('Exp factors'!$B53="poor",'Exp factors'!$G$53*H$46/H516,SUM(C515)*'Exp factors'!C$53))</f>
        <v>3.9337825283139201</v>
      </c>
      <c r="I515" s="1533">
        <f>IF(I$46="","",IF('Exp factors'!$B53="poor",'Exp factors'!$G$53*I$46/I516,SUM(D515)*'Exp factors'!D$53))</f>
        <v>3.9337825283139201</v>
      </c>
      <c r="J515" s="1533">
        <f>IF(J$46="","",IF('Exp factors'!$B53="poor",'Exp factors'!$G$53*J$46/J516,SUM(E515)*'Exp factors'!E$53))</f>
        <v>3.9337825283139201</v>
      </c>
      <c r="K515" s="1533">
        <f>IF(K$46="","",IF('Exp factors'!$B53="poor",'Exp factors'!$G$53*K$46/K516,SUM(F515)*'Exp factors'!F$53))</f>
        <v>4.4255053443531605</v>
      </c>
      <c r="L515" s="1431"/>
      <c r="M515" s="1427"/>
      <c r="N515" s="1427"/>
      <c r="O515" s="1427"/>
      <c r="P515" s="1427"/>
      <c r="Q515" s="1464"/>
      <c r="R515" s="1402"/>
      <c r="S515" s="1403"/>
      <c r="T515" s="1403"/>
      <c r="U515" s="1394">
        <v>515</v>
      </c>
      <c r="V515" s="1421"/>
    </row>
    <row r="516" spans="1:22" ht="15.75" customHeight="1">
      <c r="A516" s="1429" t="s">
        <v>289</v>
      </c>
      <c r="B516" s="1431"/>
      <c r="C516" s="1444">
        <f>IF(Data!BV516="","",Data!BV516)</f>
        <v>12</v>
      </c>
      <c r="D516" s="1444">
        <f>IF(Data!BW516="","",Data!BW516)</f>
        <v>12</v>
      </c>
      <c r="E516" s="1444">
        <f>IF(Data!BX516="","",Data!BX516)</f>
        <v>12</v>
      </c>
      <c r="F516" s="1444">
        <f>IF(Data!BY516="","",Data!BY516)</f>
        <v>12</v>
      </c>
      <c r="G516" s="1431"/>
      <c r="H516" s="1534">
        <f>I516</f>
        <v>12</v>
      </c>
      <c r="I516" s="1534">
        <f>IF(SUM(D516)=0,IF(SUM(C516)=0,IF(SUM(E516)=0,IF(SUM(F516)=0,12,SUM(F516)),SUM(E516)),SUM(C516)),SUM(D516))</f>
        <v>12</v>
      </c>
      <c r="J516" s="1534">
        <f>I516</f>
        <v>12</v>
      </c>
      <c r="K516" s="1534">
        <f>I516</f>
        <v>12</v>
      </c>
      <c r="L516" s="1431"/>
      <c r="M516" s="1427"/>
      <c r="N516" s="1427"/>
      <c r="O516" s="1427"/>
      <c r="P516" s="1427"/>
      <c r="Q516" s="1464"/>
      <c r="R516" s="1402"/>
      <c r="S516" s="1403"/>
      <c r="T516" s="1403"/>
      <c r="U516" s="1394">
        <v>516</v>
      </c>
      <c r="V516" s="1421"/>
    </row>
    <row r="517" spans="1:22" ht="15.75" customHeight="1">
      <c r="A517" s="1511" t="s">
        <v>292</v>
      </c>
      <c r="B517" s="1431"/>
      <c r="C517" s="1444">
        <f>IF(Data!BV517="","",Data!BV517)</f>
        <v>37681.199999999997</v>
      </c>
      <c r="D517" s="1444">
        <f>IF(Data!BW517="","",Data!BW517)</f>
        <v>37681.199999999997</v>
      </c>
      <c r="E517" s="1444">
        <f>IF(Data!BX517="","",Data!BX517)</f>
        <v>37681.199999999997</v>
      </c>
      <c r="F517" s="1444">
        <f>IF(Data!BY517="","",Data!BY517)</f>
        <v>37681.199999999997</v>
      </c>
      <c r="G517" s="1431"/>
      <c r="H517" s="1427"/>
      <c r="I517" s="1427"/>
      <c r="J517" s="1427"/>
      <c r="K517" s="1427"/>
      <c r="L517" s="1431"/>
      <c r="M517" s="1449"/>
      <c r="N517" s="1449"/>
      <c r="O517" s="1449"/>
      <c r="P517" s="1449"/>
      <c r="Q517" s="1464"/>
      <c r="R517" s="1402"/>
      <c r="S517" s="1403"/>
      <c r="T517" s="1403"/>
      <c r="U517" s="1394">
        <v>517</v>
      </c>
      <c r="V517" s="1421"/>
    </row>
    <row r="518" spans="1:22" ht="15.75" customHeight="1">
      <c r="A518" s="1429" t="s">
        <v>252</v>
      </c>
      <c r="B518" s="1432"/>
      <c r="C518" s="1539">
        <f>IF(SUM(C515)=0,"",C515*C516*C517/C$46/365/$P$1)</f>
        <v>8.7985367372353671E-2</v>
      </c>
      <c r="D518" s="1539">
        <f>IF(SUM(D515)=0,"",D515*D516*D517/D$46/365/$P$1)</f>
        <v>8.7985367372353671E-2</v>
      </c>
      <c r="E518" s="1539">
        <f>IF(SUM(E515)=0,"",E515*E516*E517/E$46/365/$P$1)</f>
        <v>8.7985367372353671E-2</v>
      </c>
      <c r="F518" s="1539">
        <f>IF(SUM(F515)=0,"",F515*F516*F517/F$46/365/$P$1)</f>
        <v>7.8209215442092153E-2</v>
      </c>
      <c r="G518" s="1443"/>
      <c r="H518" s="1539">
        <f>IF(H$46=0,"",H515*H516*SUM($D517)/H$46/365/$P$1)</f>
        <v>6.9223060183329313E-2</v>
      </c>
      <c r="I518" s="1539">
        <f>IF(I$46=0,"",I515*I516*SUM($D517)/I$46/365/$P$1)</f>
        <v>6.9223060183329313E-2</v>
      </c>
      <c r="J518" s="1539">
        <f>IF(J$46=0,"",J515*J516*SUM($D517)/J$46/365/$P$1)</f>
        <v>6.9223060183329313E-2</v>
      </c>
      <c r="K518" s="1539">
        <f>IF(K$46=0,"",K515*K516*SUM($D517)/K$46/365/$P$1)</f>
        <v>6.9223060183329313E-2</v>
      </c>
      <c r="L518" s="1443"/>
      <c r="M518" s="1484">
        <f>IF(SUM(H518)=SUM(C518),"",SUM(H518)-SUM(C518))</f>
        <v>-1.8762307189024358E-2</v>
      </c>
      <c r="N518" s="1484">
        <f>IF(SUM(I518)=SUM(D518),"",SUM(I518)-SUM(D518))</f>
        <v>-1.8762307189024358E-2</v>
      </c>
      <c r="O518" s="1484">
        <f>IF(SUM(J518)=SUM(E518),"",SUM(J518)-SUM(E518))</f>
        <v>-1.8762307189024358E-2</v>
      </c>
      <c r="P518" s="1484">
        <f>IF(SUM(K518)=SUM(F518),"",SUM(K518)-SUM(F518))</f>
        <v>-8.9861552587628402E-3</v>
      </c>
      <c r="Q518" s="1464"/>
      <c r="R518" s="1392"/>
      <c r="S518" s="1393"/>
      <c r="T518" s="1393"/>
      <c r="U518" s="1394">
        <v>518</v>
      </c>
      <c r="V518" s="1421"/>
    </row>
    <row r="519" spans="1:22" ht="15.75" customHeight="1">
      <c r="A519" s="1532" t="s">
        <v>288</v>
      </c>
      <c r="B519" s="1431"/>
      <c r="C519" s="1444">
        <f>IF(Data!BV519="","",Data!BV519)</f>
        <v>12</v>
      </c>
      <c r="D519" s="1444">
        <f>IF(Data!BW519="","",Data!BW519)</f>
        <v>12</v>
      </c>
      <c r="E519" s="1444">
        <f>IF(Data!BX519="","",Data!BX519)</f>
        <v>12</v>
      </c>
      <c r="F519" s="1444">
        <f>IF(Data!BY519="","",Data!BY519)</f>
        <v>11</v>
      </c>
      <c r="G519" s="1431"/>
      <c r="H519" s="1536">
        <f>$I519</f>
        <v>12</v>
      </c>
      <c r="I519" s="1536">
        <f>IF(SUM($D519)=0,IF(SUM($C519)=0,IF(SUM($E519)=0,IF(SUM($F519)=0,'Exp factors'!$H$53,SUM($F519)),SUM($E519)),SUM($C519)),SUM($D519))</f>
        <v>12</v>
      </c>
      <c r="J519" s="1536">
        <f>$I519</f>
        <v>12</v>
      </c>
      <c r="K519" s="1536">
        <f>$I519</f>
        <v>12</v>
      </c>
      <c r="L519" s="1431"/>
      <c r="M519" s="1427"/>
      <c r="N519" s="1427"/>
      <c r="O519" s="1427"/>
      <c r="P519" s="1427"/>
      <c r="Q519" s="1464"/>
      <c r="R519" s="1445"/>
      <c r="S519" s="1446"/>
      <c r="T519" s="1446"/>
      <c r="U519" s="1394">
        <v>519</v>
      </c>
      <c r="V519" s="1421"/>
    </row>
    <row r="520" spans="1:22" ht="15.75" customHeight="1">
      <c r="A520" s="1429" t="s">
        <v>286</v>
      </c>
      <c r="B520" s="1431"/>
      <c r="C520" s="1540">
        <f>IF(C519="","",C515*C516*C519)</f>
        <v>720</v>
      </c>
      <c r="D520" s="1540">
        <f>IF(D519="","",D515*D516*D519)</f>
        <v>720</v>
      </c>
      <c r="E520" s="1540">
        <f>IF(E519="","",E515*E516*E519)</f>
        <v>720</v>
      </c>
      <c r="F520" s="1540">
        <f>IF(F519="","",F515*F516*F519)</f>
        <v>660</v>
      </c>
      <c r="G520" s="1431"/>
      <c r="H520" s="1540">
        <f>IF(H$46=0,"",H515*H516*H519)</f>
        <v>566.46468407720454</v>
      </c>
      <c r="I520" s="1540">
        <f t="shared" ref="I520" si="55">IF(I$46=0,"",I515*I516*I519)</f>
        <v>566.46468407720454</v>
      </c>
      <c r="J520" s="1540">
        <f t="shared" ref="J520" si="56">IF(J$46=0,"",J515*J516*J519)</f>
        <v>566.46468407720454</v>
      </c>
      <c r="K520" s="1540">
        <f t="shared" ref="K520" si="57">IF(K$46=0,"",K515*K516*K519)</f>
        <v>637.27276958685513</v>
      </c>
      <c r="L520" s="1431"/>
      <c r="M520" s="1463">
        <f>IF(SUM(H520)=SUM(C520),"",SUM(H520)-SUM(C520))</f>
        <v>-153.53531592279546</v>
      </c>
      <c r="N520" s="1463">
        <f>IF(SUM(I520)=SUM(D520),"",SUM(I520)-SUM(D520))</f>
        <v>-153.53531592279546</v>
      </c>
      <c r="O520" s="1463">
        <f>IF(SUM(J520)=SUM(E520),"",SUM(J520)-SUM(E520))</f>
        <v>-153.53531592279546</v>
      </c>
      <c r="P520" s="1463">
        <f>IF(SUM(K520)=SUM(F520),"",SUM(K520)-SUM(F520))</f>
        <v>-22.727230413144866</v>
      </c>
      <c r="Q520" s="1464" t="str">
        <f>[1]ExpFactors!$I$53</f>
        <v>fpl</v>
      </c>
      <c r="R520" s="1402"/>
      <c r="S520" s="1403"/>
      <c r="T520" s="1403"/>
      <c r="U520" s="1394">
        <v>520</v>
      </c>
      <c r="V520" s="1421"/>
    </row>
    <row r="521" spans="1:22" ht="15.75" customHeight="1">
      <c r="A521" s="1541" t="str">
        <f>IF(Data!A521="","",Data!A521)</f>
        <v>Milk purchase: quantity (kg)</v>
      </c>
      <c r="B521" s="1431"/>
      <c r="C521" s="1444" t="str">
        <f>IF(Data!BV521="","",Data!BV521)</f>
        <v/>
      </c>
      <c r="D521" s="1444" t="str">
        <f>IF(Data!BW521="","",Data!BW521)</f>
        <v/>
      </c>
      <c r="E521" s="1444" t="str">
        <f>IF(Data!BX521="","",Data!BX521)</f>
        <v/>
      </c>
      <c r="F521" s="1444" t="str">
        <f>IF(Data!BY521="","",Data!BY521)</f>
        <v/>
      </c>
      <c r="G521" s="1431"/>
      <c r="H521" s="1533">
        <f>IF(H$46="","",IF('Exp factors'!$B44="poor",'Exp factors'!$G$44*H$46/H522,SUM(C521)*'Exp factors'!C$44))</f>
        <v>3.3454952241287761</v>
      </c>
      <c r="I521" s="1533">
        <f>IF(I$46="","",IF('Exp factors'!$B44="poor",'Exp factors'!$G$44*I$46/I522,SUM(D521)*'Exp factors'!D$44))</f>
        <v>3.3454952241287761</v>
      </c>
      <c r="J521" s="1533">
        <f>IF(J$46="","",IF('Exp factors'!$B44="poor",'Exp factors'!$G$44*J$46/J522,SUM(E521)*'Exp factors'!E$44))</f>
        <v>3.3454952241287761</v>
      </c>
      <c r="K521" s="1533">
        <f>IF(K$46="","",IF('Exp factors'!$B44="poor",'Exp factors'!$G$44*K$46/K522,SUM(F521)*'Exp factors'!F$44))</f>
        <v>3.7636821271448735</v>
      </c>
      <c r="L521" s="1431"/>
      <c r="M521" s="1427"/>
      <c r="N521" s="1427"/>
      <c r="O521" s="1427"/>
      <c r="P521" s="1427"/>
      <c r="Q521" s="1464"/>
      <c r="R521" s="1402"/>
      <c r="S521" s="1403"/>
      <c r="T521" s="1403"/>
      <c r="U521" s="1394">
        <v>521</v>
      </c>
      <c r="V521" s="1421"/>
    </row>
    <row r="522" spans="1:22" ht="15.75" customHeight="1">
      <c r="A522" s="1429" t="s">
        <v>289</v>
      </c>
      <c r="B522" s="1431"/>
      <c r="C522" s="1444" t="str">
        <f>IF(Data!BV522="","",Data!BV522)</f>
        <v/>
      </c>
      <c r="D522" s="1444" t="str">
        <f>IF(Data!BW522="","",Data!BW522)</f>
        <v/>
      </c>
      <c r="E522" s="1444" t="str">
        <f>IF(Data!BX522="","",Data!BX522)</f>
        <v/>
      </c>
      <c r="F522" s="1444" t="str">
        <f>IF(Data!BY522="","",Data!BY522)</f>
        <v/>
      </c>
      <c r="G522" s="1431"/>
      <c r="H522" s="1534">
        <f>I522</f>
        <v>12</v>
      </c>
      <c r="I522" s="1534">
        <f>IF(SUM(D522)=0,IF(SUM(C522)=0,IF(SUM(E522)=0,IF(SUM(F522)=0,12,SUM(F522)),SUM(E522)),SUM(C522)),SUM(D522))</f>
        <v>12</v>
      </c>
      <c r="J522" s="1534">
        <f>I522</f>
        <v>12</v>
      </c>
      <c r="K522" s="1534">
        <f>I522</f>
        <v>12</v>
      </c>
      <c r="L522" s="1431"/>
      <c r="M522" s="1427"/>
      <c r="N522" s="1427"/>
      <c r="O522" s="1427"/>
      <c r="P522" s="1427"/>
      <c r="Q522" s="1464"/>
      <c r="R522" s="1402"/>
      <c r="S522" s="1403"/>
      <c r="T522" s="1403"/>
      <c r="U522" s="1394">
        <v>522</v>
      </c>
      <c r="V522" s="1421"/>
    </row>
    <row r="523" spans="1:22" ht="15.75" customHeight="1">
      <c r="A523" s="1511" t="s">
        <v>292</v>
      </c>
      <c r="B523" s="1433"/>
      <c r="C523" s="1444">
        <f>IF(Data!BV523="","",Data!BV523)</f>
        <v>2679.5519999999997</v>
      </c>
      <c r="D523" s="1444">
        <f>IF(Data!BW523="","",Data!BW523)</f>
        <v>2679.5519999999997</v>
      </c>
      <c r="E523" s="1444">
        <f>IF(Data!BX523="","",Data!BX523)</f>
        <v>2679.5519999999997</v>
      </c>
      <c r="F523" s="1444">
        <f>IF(Data!BY523="","",Data!BY523)</f>
        <v>2679.5519999999997</v>
      </c>
      <c r="G523" s="1431"/>
      <c r="H523" s="1427"/>
      <c r="I523" s="1427"/>
      <c r="J523" s="1427"/>
      <c r="K523" s="1427"/>
      <c r="L523" s="1431"/>
      <c r="M523" s="1449"/>
      <c r="N523" s="1449"/>
      <c r="O523" s="1449"/>
      <c r="P523" s="1449"/>
      <c r="Q523" s="1464"/>
      <c r="R523" s="1402"/>
      <c r="S523" s="1403"/>
      <c r="T523" s="1403"/>
      <c r="U523" s="1394">
        <v>523</v>
      </c>
      <c r="V523" s="1421"/>
    </row>
    <row r="524" spans="1:22" ht="15.75" customHeight="1">
      <c r="A524" s="1429" t="s">
        <v>252</v>
      </c>
      <c r="B524" s="1433"/>
      <c r="C524" s="1539" t="str">
        <f>IF(SUM(C521)=0,"",C521*C522*C523/C$46/365/$P$1)</f>
        <v/>
      </c>
      <c r="D524" s="1539" t="str">
        <f>IF(SUM(D521)=0,"",D521*D522*D523/D$46/365/$P$1)</f>
        <v/>
      </c>
      <c r="E524" s="1539" t="str">
        <f>IF(SUM(E521)=0,"",E521*E522*E523/E$46/365/$P$1)</f>
        <v/>
      </c>
      <c r="F524" s="1539" t="str">
        <f>IF(SUM(F521)=0,"",F521*F522*F523/F$46/365/$P$1)</f>
        <v/>
      </c>
      <c r="G524" s="1443"/>
      <c r="H524" s="1539">
        <f>IF(H$46=0,"",H521*H522*SUM($D523)/H$46/365/$P$1)</f>
        <v>4.1863769079100452E-3</v>
      </c>
      <c r="I524" s="1539">
        <f>IF(I$46=0,"",I521*I522*SUM($D523)/I$46/365/$P$1)</f>
        <v>4.1863769079100452E-3</v>
      </c>
      <c r="J524" s="1539">
        <f>IF(J$46=0,"",J521*J522*SUM($D523)/J$46/365/$P$1)</f>
        <v>4.1863769079100452E-3</v>
      </c>
      <c r="K524" s="1539">
        <f>IF(K$46=0,"",K521*K522*SUM($D523)/K$46/365/$P$1)</f>
        <v>4.1863769079100461E-3</v>
      </c>
      <c r="L524" s="1443"/>
      <c r="M524" s="1484">
        <f>IF(SUM(H524)=SUM(C524),"",SUM(H524)-SUM(C524))</f>
        <v>4.1863769079100452E-3</v>
      </c>
      <c r="N524" s="1484">
        <f>IF(SUM(I524)=SUM(D524),"",SUM(I524)-SUM(D524))</f>
        <v>4.1863769079100452E-3</v>
      </c>
      <c r="O524" s="1484">
        <f>IF(SUM(J524)=SUM(E524),"",SUM(J524)-SUM(E524))</f>
        <v>4.1863769079100452E-3</v>
      </c>
      <c r="P524" s="1484">
        <f>IF(SUM(K524)=SUM(F524),"",SUM(K524)-SUM(F524))</f>
        <v>4.1863769079100461E-3</v>
      </c>
      <c r="Q524" s="1464"/>
      <c r="R524" s="1392"/>
      <c r="S524" s="1393"/>
      <c r="T524" s="1393"/>
      <c r="U524" s="1394">
        <v>524</v>
      </c>
      <c r="V524" s="1421"/>
    </row>
    <row r="525" spans="1:22" ht="15.75" customHeight="1">
      <c r="A525" s="1532" t="s">
        <v>288</v>
      </c>
      <c r="B525" s="1433"/>
      <c r="C525" s="1444" t="str">
        <f>IF(Data!BV525="","",Data!BV525)</f>
        <v/>
      </c>
      <c r="D525" s="1444" t="str">
        <f>IF(Data!BW525="","",Data!BW525)</f>
        <v/>
      </c>
      <c r="E525" s="1444" t="str">
        <f>IF(Data!BX525="","",Data!BX525)</f>
        <v/>
      </c>
      <c r="F525" s="1444" t="str">
        <f>IF(Data!BY525="","",Data!BY525)</f>
        <v/>
      </c>
      <c r="G525" s="1431"/>
      <c r="H525" s="1536">
        <f>$I525</f>
        <v>8.8394160583941606</v>
      </c>
      <c r="I525" s="1536">
        <f>IF(SUM($D525)=0,IF(SUM($C525)=0,IF(SUM($E525)=0,IF(SUM($F525)=0,'Exp factors'!$H$44,SUM($F525)),SUM($E525)),SUM($C525)),SUM($D525))</f>
        <v>8.8394160583941606</v>
      </c>
      <c r="J525" s="1536">
        <f>$I525</f>
        <v>8.8394160583941606</v>
      </c>
      <c r="K525" s="1536">
        <f>$I525</f>
        <v>8.8394160583941606</v>
      </c>
      <c r="L525" s="1431"/>
      <c r="M525" s="1427"/>
      <c r="N525" s="1427"/>
      <c r="O525" s="1427"/>
      <c r="P525" s="1427"/>
      <c r="Q525" s="1464"/>
      <c r="R525" s="1445"/>
      <c r="S525" s="1446"/>
      <c r="T525" s="1446"/>
      <c r="U525" s="1394">
        <v>525</v>
      </c>
      <c r="V525" s="1421"/>
    </row>
    <row r="526" spans="1:22" ht="15.75" customHeight="1">
      <c r="A526" s="1429" t="s">
        <v>286</v>
      </c>
      <c r="B526" s="1431"/>
      <c r="C526" s="1540" t="str">
        <f>IF(C525="","",C521*C522*C525)</f>
        <v/>
      </c>
      <c r="D526" s="1540" t="str">
        <f>IF(D525="","",D521*D522*D525)</f>
        <v/>
      </c>
      <c r="E526" s="1540" t="str">
        <f>IF(E525="","",E521*E522*E525)</f>
        <v/>
      </c>
      <c r="F526" s="1540" t="str">
        <f>IF(F525="","",F521*F522*F525)</f>
        <v/>
      </c>
      <c r="G526" s="1431"/>
      <c r="H526" s="1540">
        <f>IF(H$46=0,"",H521*H522*H525)</f>
        <v>354.86669048933851</v>
      </c>
      <c r="I526" s="1540">
        <f t="shared" ref="I526" si="58">IF(I$46=0,"",I521*I522*I525)</f>
        <v>354.86669048933851</v>
      </c>
      <c r="J526" s="1540">
        <f t="shared" ref="J526" si="59">IF(J$46=0,"",J521*J522*J525)</f>
        <v>354.86669048933851</v>
      </c>
      <c r="K526" s="1540">
        <f t="shared" ref="K526" si="60">IF(K$46=0,"",K521*K522*K525)</f>
        <v>399.22502680050587</v>
      </c>
      <c r="L526" s="1431"/>
      <c r="M526" s="1463">
        <f>IF(SUM(H526)=SUM(C526),"",SUM(H526)-SUM(C526))</f>
        <v>354.86669048933851</v>
      </c>
      <c r="N526" s="1463">
        <f>IF(SUM(I526)=SUM(D526),"",SUM(I526)-SUM(D526))</f>
        <v>354.86669048933851</v>
      </c>
      <c r="O526" s="1463">
        <f>IF(SUM(J526)=SUM(E526),"",SUM(J526)-SUM(E526))</f>
        <v>354.86669048933851</v>
      </c>
      <c r="P526" s="1463">
        <f>IF(SUM(K526)=SUM(F526),"",SUM(K526)-SUM(F526))</f>
        <v>399.22502680050587</v>
      </c>
      <c r="Q526" s="1464" t="str">
        <f>[1]ExpFactors!$I$44</f>
        <v>fpl</v>
      </c>
      <c r="R526" s="1402"/>
      <c r="S526" s="1403"/>
      <c r="T526" s="1403"/>
      <c r="U526" s="1394">
        <v>526</v>
      </c>
      <c r="V526" s="1421"/>
    </row>
    <row r="527" spans="1:22" ht="15.75" customHeight="1">
      <c r="A527" s="1541" t="str">
        <f>IF(Data!A527="","",Data!A527)</f>
        <v>Eggs purchase</v>
      </c>
      <c r="B527" s="1431"/>
      <c r="C527" s="1444" t="str">
        <f>IF(Data!BV527="","",Data!BV527)</f>
        <v>kg</v>
      </c>
      <c r="D527" s="1444" t="str">
        <f>IF(Data!BW527="","",Data!BW527)</f>
        <v>kg</v>
      </c>
      <c r="E527" s="1444" t="str">
        <f>IF(Data!BX527="","",Data!BX527)</f>
        <v>kg</v>
      </c>
      <c r="F527" s="1444" t="str">
        <f>IF(Data!BY527="","",Data!BY527)</f>
        <v>kg</v>
      </c>
      <c r="G527" s="1431"/>
      <c r="H527" s="1533"/>
      <c r="I527" s="1533"/>
      <c r="J527" s="1533"/>
      <c r="K527" s="1533"/>
      <c r="L527" s="1431"/>
      <c r="M527" s="1427"/>
      <c r="N527" s="1427"/>
      <c r="O527" s="1427"/>
      <c r="P527" s="1427"/>
      <c r="Q527" s="1464"/>
      <c r="R527" s="1402"/>
      <c r="S527" s="1403"/>
      <c r="T527" s="1403"/>
      <c r="U527" s="1394">
        <v>527</v>
      </c>
      <c r="V527" s="1421"/>
    </row>
    <row r="528" spans="1:22" ht="15.75" customHeight="1">
      <c r="A528" s="1353" t="s">
        <v>293</v>
      </c>
      <c r="B528" s="1431"/>
      <c r="C528" s="1444" t="str">
        <f>IF(Data!BV528="","",Data!BV528)</f>
        <v/>
      </c>
      <c r="D528" s="1444">
        <f>IF(Data!BW528="","",Data!BW528)</f>
        <v>43</v>
      </c>
      <c r="E528" s="1444">
        <f>IF(Data!BX528="","",Data!BX528)</f>
        <v>43</v>
      </c>
      <c r="F528" s="1444">
        <f>IF(Data!BY528="","",Data!BY528)</f>
        <v>43</v>
      </c>
      <c r="G528" s="1431"/>
      <c r="H528" s="1533">
        <f>IF(H$46="","",IF('Exp factors'!$B45="poor",'Exp factors'!$G$45*H$46,SUM(C528)*'Exp factors'!C$45))</f>
        <v>25.837199132039679</v>
      </c>
      <c r="I528" s="1533">
        <f>IF(I$46="","",IF('Exp factors'!$B45="poor",'Exp factors'!$G$45*I$46,SUM(D528)*'Exp factors'!D$45))</f>
        <v>25.837199132039679</v>
      </c>
      <c r="J528" s="1533">
        <f>IF(J$46="","",IF('Exp factors'!$B45="poor",'Exp factors'!$G$45*J$46,SUM(E528)*'Exp factors'!E$45))</f>
        <v>25.837199132039679</v>
      </c>
      <c r="K528" s="1533">
        <f>IF(K$46="","",IF('Exp factors'!$B45="poor",'Exp factors'!$G$45*K$46,SUM(F528)*'Exp factors'!F$45))</f>
        <v>29.066849023544638</v>
      </c>
      <c r="L528" s="1431"/>
      <c r="M528" s="1427"/>
      <c r="N528" s="1427"/>
      <c r="O528" s="1427"/>
      <c r="P528" s="1427"/>
      <c r="Q528" s="1464"/>
      <c r="R528" s="1402"/>
      <c r="S528" s="1403"/>
      <c r="T528" s="1403"/>
      <c r="U528" s="1394">
        <v>528</v>
      </c>
      <c r="V528" s="1421"/>
    </row>
    <row r="529" spans="1:22" ht="15.75" customHeight="1">
      <c r="A529" s="1511" t="s">
        <v>292</v>
      </c>
      <c r="B529" s="1433"/>
      <c r="C529" s="1444">
        <f>IF(Data!BV529="","",Data!BV529)</f>
        <v>6615.1439999999993</v>
      </c>
      <c r="D529" s="1444">
        <f>IF(Data!BW529="","",Data!BW529)</f>
        <v>6615.1439999999993</v>
      </c>
      <c r="E529" s="1444">
        <f>IF(Data!BX529="","",Data!BX529)</f>
        <v>6615.1439999999993</v>
      </c>
      <c r="F529" s="1444">
        <f>IF(Data!BY529="","",Data!BY529)</f>
        <v>6615.1439999999993</v>
      </c>
      <c r="G529" s="1431"/>
      <c r="H529" s="1427"/>
      <c r="I529" s="1427"/>
      <c r="J529" s="1427"/>
      <c r="K529" s="1427"/>
      <c r="L529" s="1431"/>
      <c r="M529" s="1449"/>
      <c r="N529" s="1449"/>
      <c r="O529" s="1449"/>
      <c r="P529" s="1449"/>
      <c r="Q529" s="1464"/>
      <c r="R529" s="1402"/>
      <c r="S529" s="1403"/>
      <c r="T529" s="1403"/>
      <c r="U529" s="1394">
        <v>529</v>
      </c>
      <c r="V529" s="1421"/>
    </row>
    <row r="530" spans="1:22" ht="15.75" customHeight="1">
      <c r="A530" s="1429" t="s">
        <v>252</v>
      </c>
      <c r="B530" s="1433"/>
      <c r="C530" s="1539" t="str">
        <f>IF(SUM(C528)=0,"",C528*C529/C$46/365/$P$1)</f>
        <v/>
      </c>
      <c r="D530" s="1539">
        <f>IF(SUM(D528)=0,"",D528*D529/D$46/365/$P$1)</f>
        <v>1.1069862702366127E-2</v>
      </c>
      <c r="E530" s="1539">
        <f>IF(SUM(E528)=0,"",E528*E529/E$46/365/$P$1)</f>
        <v>1.1069862702366127E-2</v>
      </c>
      <c r="F530" s="1539">
        <f>IF(SUM(F528)=0,"",F528*F529/F$46/365/$P$1)</f>
        <v>9.839877957658779E-3</v>
      </c>
      <c r="G530" s="1431"/>
      <c r="H530" s="1539">
        <f>IF(H$46=0,"",H528*SUM($D529)/H$46/365/$P$1)</f>
        <v>6.6514941164040114E-3</v>
      </c>
      <c r="I530" s="1539">
        <f>IF(I$46=0,"",I528*SUM($D529)/I$46/365/$P$1)</f>
        <v>6.6514941164040114E-3</v>
      </c>
      <c r="J530" s="1539">
        <f>IF(J$46=0,"",J528*SUM($D529)/J$46/365/$P$1)</f>
        <v>6.6514941164040114E-3</v>
      </c>
      <c r="K530" s="1539">
        <f>IF(K$46=0,"",K528*SUM($D529)/K$46/365/$P$1)</f>
        <v>6.6514941164040114E-3</v>
      </c>
      <c r="L530" s="1431"/>
      <c r="M530" s="1484">
        <f>IF(SUM(H530)=SUM(C530),"",SUM(H530)-SUM(C530))</f>
        <v>6.6514941164040114E-3</v>
      </c>
      <c r="N530" s="1484">
        <f>IF(SUM(I530)=SUM(D530),"",SUM(I530)-SUM(D530))</f>
        <v>-4.4183685859621154E-3</v>
      </c>
      <c r="O530" s="1484">
        <f>IF(SUM(J530)=SUM(E530),"",SUM(J530)-SUM(E530))</f>
        <v>-4.4183685859621154E-3</v>
      </c>
      <c r="P530" s="1484">
        <f>IF(SUM(K530)=SUM(F530),"",SUM(K530)-SUM(F530))</f>
        <v>-3.1883838412547676E-3</v>
      </c>
      <c r="Q530" s="1464"/>
      <c r="R530" s="1402"/>
      <c r="S530" s="1403"/>
      <c r="T530" s="1403"/>
      <c r="U530" s="1394">
        <v>530</v>
      </c>
      <c r="V530" s="1421"/>
    </row>
    <row r="531" spans="1:22" ht="15.75" customHeight="1">
      <c r="A531" s="1532" t="s">
        <v>288</v>
      </c>
      <c r="B531" s="1433"/>
      <c r="C531" s="1444" t="str">
        <f>IF(Data!BV531="","",Data!BV531)</f>
        <v/>
      </c>
      <c r="D531" s="1444">
        <f>IF(Data!BW531="","",Data!BW531)</f>
        <v>15</v>
      </c>
      <c r="E531" s="1444">
        <f>IF(Data!BX531="","",Data!BX531)</f>
        <v>16</v>
      </c>
      <c r="F531" s="1444">
        <f>IF(Data!BY531="","",Data!BY531)</f>
        <v>17</v>
      </c>
      <c r="G531" s="1431"/>
      <c r="H531" s="1536">
        <f>$I531</f>
        <v>15</v>
      </c>
      <c r="I531" s="1536">
        <f>IF(SUM($D531)=0,IF(SUM($C531)=0,IF(SUM($E531)=0,IF(SUM($F531)=0,'Exp factors'!$H$45,SUM($F531)),SUM($E531)),SUM($C531)),SUM($D531))</f>
        <v>15</v>
      </c>
      <c r="J531" s="1536">
        <f>$I531</f>
        <v>15</v>
      </c>
      <c r="K531" s="1536">
        <f>$I531</f>
        <v>15</v>
      </c>
      <c r="L531" s="1431"/>
      <c r="M531" s="1427"/>
      <c r="N531" s="1427"/>
      <c r="O531" s="1427"/>
      <c r="P531" s="1427"/>
      <c r="Q531" s="1464"/>
      <c r="R531" s="1402"/>
      <c r="S531" s="1403"/>
      <c r="T531" s="1403"/>
      <c r="U531" s="1394">
        <v>531</v>
      </c>
      <c r="V531" s="1421"/>
    </row>
    <row r="532" spans="1:22" ht="15.75" customHeight="1">
      <c r="A532" s="1429" t="s">
        <v>286</v>
      </c>
      <c r="B532" s="1431"/>
      <c r="C532" s="1540" t="str">
        <f>IF(C531="","",C528*C531)</f>
        <v/>
      </c>
      <c r="D532" s="1540">
        <f>IF(D531="","",D528*D531)</f>
        <v>645</v>
      </c>
      <c r="E532" s="1540">
        <f>IF(E531="","",E528*E531)</f>
        <v>688</v>
      </c>
      <c r="F532" s="1540">
        <f>IF(F531="","",F528*F531)</f>
        <v>731</v>
      </c>
      <c r="G532" s="1431"/>
      <c r="H532" s="1540">
        <f>IF(H$46=0,"",IF($D531="",H528*H531,H528*$D531))</f>
        <v>387.55798698059516</v>
      </c>
      <c r="I532" s="1540">
        <f t="shared" ref="I532:K532" si="61">IF(I$46=0,"",IF($D531="",I528*I531,I528*$D531))</f>
        <v>387.55798698059516</v>
      </c>
      <c r="J532" s="1540">
        <f t="shared" si="61"/>
        <v>387.55798698059516</v>
      </c>
      <c r="K532" s="1540">
        <f t="shared" si="61"/>
        <v>436.00273535316956</v>
      </c>
      <c r="L532" s="1431"/>
      <c r="M532" s="1463">
        <f>IF(SUM(H532)=SUM(C532),"",SUM(H532)-SUM(C532))</f>
        <v>387.55798698059516</v>
      </c>
      <c r="N532" s="1463">
        <f>IF(SUM(I532)=SUM(D532),"",SUM(I532)-SUM(D532))</f>
        <v>-257.44201301940484</v>
      </c>
      <c r="O532" s="1463">
        <f>IF(SUM(J532)=SUM(E532),"",SUM(J532)-SUM(E532))</f>
        <v>-300.44201301940484</v>
      </c>
      <c r="P532" s="1463">
        <f>IF(SUM(K532)=SUM(F532),"",SUM(K532)-SUM(F532))</f>
        <v>-294.99726464683044</v>
      </c>
      <c r="Q532" s="1464" t="str">
        <f>[1]ExpFactors!$I$68</f>
        <v>des</v>
      </c>
      <c r="R532" s="1402"/>
      <c r="S532" s="1403"/>
      <c r="T532" s="1403"/>
      <c r="U532" s="1394">
        <v>532</v>
      </c>
      <c r="V532" s="1421"/>
    </row>
    <row r="533" spans="1:22" ht="15.75" customHeight="1">
      <c r="A533" s="1541" t="str">
        <f>IF(Data!A533="","",Data!A533)</f>
        <v>Poultry feet purchase</v>
      </c>
      <c r="B533" s="1431"/>
      <c r="C533" s="1444" t="str">
        <f>IF(Data!BV533="","",Data!BV533)</f>
        <v>kg</v>
      </c>
      <c r="D533" s="1444" t="str">
        <f>IF(Data!BW533="","",Data!BW533)</f>
        <v>kg</v>
      </c>
      <c r="E533" s="1444" t="str">
        <f>IF(Data!BX533="","",Data!BX533)</f>
        <v>kg</v>
      </c>
      <c r="F533" s="1444" t="str">
        <f>IF(Data!BY533="","",Data!BY533)</f>
        <v>kg</v>
      </c>
      <c r="G533" s="1431"/>
      <c r="H533" s="1533"/>
      <c r="I533" s="1533"/>
      <c r="J533" s="1533"/>
      <c r="K533" s="1533"/>
      <c r="L533" s="1431"/>
      <c r="M533" s="1427"/>
      <c r="N533" s="1427"/>
      <c r="O533" s="1427"/>
      <c r="P533" s="1427"/>
      <c r="Q533" s="1464"/>
      <c r="R533" s="1402"/>
      <c r="S533" s="1403"/>
      <c r="T533" s="1403"/>
      <c r="U533" s="1394">
        <v>533</v>
      </c>
      <c r="V533" s="1421"/>
    </row>
    <row r="534" spans="1:22" ht="15.75" customHeight="1">
      <c r="A534" s="1353" t="s">
        <v>293</v>
      </c>
      <c r="B534" s="1431"/>
      <c r="C534" s="1444">
        <f>IF(Data!BV534="","",Data!BV534)</f>
        <v>20</v>
      </c>
      <c r="D534" s="1444">
        <f>IF(Data!BW534="","",Data!BW534)</f>
        <v>60</v>
      </c>
      <c r="E534" s="1444">
        <f>IF(Data!BX534="","",Data!BX534)</f>
        <v>60</v>
      </c>
      <c r="F534" s="1444">
        <f>IF(Data!BY534="","",Data!BY534)</f>
        <v>60</v>
      </c>
      <c r="G534" s="1431"/>
      <c r="H534" s="1533">
        <f>IF(H$46="","",IF('Exp factors'!$B46="poor",'Exp factors'!$G$46*H$46,SUM(C534)*'Exp factors'!C$46))</f>
        <v>186.22383616885378</v>
      </c>
      <c r="I534" s="1533">
        <f>IF(I$46="","",IF('Exp factors'!$B46="poor",'Exp factors'!$G$46*I$46,SUM(D534)*'Exp factors'!D$46))</f>
        <v>186.22383616885378</v>
      </c>
      <c r="J534" s="1533">
        <f>IF(J$46="","",IF('Exp factors'!$B46="poor",'Exp factors'!$G$46*J$46,SUM(E534)*'Exp factors'!E$46))</f>
        <v>186.22383616885378</v>
      </c>
      <c r="K534" s="1533">
        <f>IF(K$46="","",IF('Exp factors'!$B46="poor",'Exp factors'!$G$46*K$46,SUM(F534)*'Exp factors'!F$46))</f>
        <v>209.50181568996049</v>
      </c>
      <c r="L534" s="1431"/>
      <c r="M534" s="1427"/>
      <c r="N534" s="1427"/>
      <c r="O534" s="1427"/>
      <c r="P534" s="1427"/>
      <c r="Q534" s="1464"/>
      <c r="R534" s="1402"/>
      <c r="S534" s="1403"/>
      <c r="T534" s="1403"/>
      <c r="U534" s="1394">
        <v>534</v>
      </c>
      <c r="V534" s="1421"/>
    </row>
    <row r="535" spans="1:22" ht="15.75" customHeight="1">
      <c r="A535" s="1511" t="s">
        <v>292</v>
      </c>
      <c r="B535" s="1433"/>
      <c r="C535" s="1444">
        <f>IF(Data!BV535="","",Data!BV535)</f>
        <v>6091.7939999999999</v>
      </c>
      <c r="D535" s="1444">
        <f>IF(Data!BW535="","",Data!BW535)</f>
        <v>6091.7939999999999</v>
      </c>
      <c r="E535" s="1444">
        <f>IF(Data!BX535="","",Data!BX535)</f>
        <v>6091.7939999999999</v>
      </c>
      <c r="F535" s="1444">
        <f>IF(Data!BY535="","",Data!BY535)</f>
        <v>6091.7939999999999</v>
      </c>
      <c r="G535" s="1431"/>
      <c r="H535" s="1427"/>
      <c r="I535" s="1427"/>
      <c r="J535" s="1427"/>
      <c r="K535" s="1427"/>
      <c r="L535" s="1431"/>
      <c r="M535" s="1449"/>
      <c r="N535" s="1449"/>
      <c r="O535" s="1449"/>
      <c r="P535" s="1449"/>
      <c r="Q535" s="1464"/>
      <c r="R535" s="1402"/>
      <c r="S535" s="1403"/>
      <c r="T535" s="1403"/>
      <c r="U535" s="1394">
        <v>535</v>
      </c>
      <c r="V535" s="1421"/>
    </row>
    <row r="536" spans="1:22" ht="15.75" customHeight="1">
      <c r="A536" s="1429" t="s">
        <v>252</v>
      </c>
      <c r="B536" s="1433"/>
      <c r="C536" s="1539">
        <f>IF(SUM(C534)=0,"",C534*C535/C$46/365/$P$1)</f>
        <v>4.7414336861768373E-3</v>
      </c>
      <c r="D536" s="1539">
        <f>IF(SUM(D534)=0,"",D534*D535/D$46/365/$P$1)</f>
        <v>1.422430105853051E-2</v>
      </c>
      <c r="E536" s="1539">
        <f>IF(SUM(E534)=0,"",E534*E535/E$46/365/$P$1)</f>
        <v>1.422430105853051E-2</v>
      </c>
      <c r="F536" s="1539">
        <f>IF(SUM(F534)=0,"",F534*F535/F$46/365/$P$1)</f>
        <v>1.2643823163138231E-2</v>
      </c>
      <c r="G536" s="1431"/>
      <c r="H536" s="1539">
        <f>IF(H$46=0,"",H534*SUM($D535)/H$46/365/$P$1)</f>
        <v>4.4148398499003989E-2</v>
      </c>
      <c r="I536" s="1539">
        <f>IF(I$46=0,"",I534*SUM($D535)/I$46/365/$P$1)</f>
        <v>4.4148398499003989E-2</v>
      </c>
      <c r="J536" s="1539">
        <f>IF(J$46=0,"",J534*SUM($D535)/J$46/365/$P$1)</f>
        <v>4.4148398499003989E-2</v>
      </c>
      <c r="K536" s="1539">
        <f>IF(K$46=0,"",K534*SUM($D535)/K$46/365/$P$1)</f>
        <v>4.4148398499003989E-2</v>
      </c>
      <c r="L536" s="1431"/>
      <c r="M536" s="1484">
        <f>IF(SUM(H536)=SUM(C536),"",SUM(H536)-SUM(C536))</f>
        <v>3.9406964812827155E-2</v>
      </c>
      <c r="N536" s="1484">
        <f>IF(SUM(I536)=SUM(D536),"",SUM(I536)-SUM(D536))</f>
        <v>2.9924097440473481E-2</v>
      </c>
      <c r="O536" s="1484">
        <f>IF(SUM(J536)=SUM(E536),"",SUM(J536)-SUM(E536))</f>
        <v>2.9924097440473481E-2</v>
      </c>
      <c r="P536" s="1484">
        <f>IF(SUM(K536)=SUM(F536),"",SUM(K536)-SUM(F536))</f>
        <v>3.1504575335865759E-2</v>
      </c>
      <c r="Q536" s="1464"/>
      <c r="R536" s="1402"/>
      <c r="S536" s="1403"/>
      <c r="T536" s="1403"/>
      <c r="U536" s="1394">
        <v>536</v>
      </c>
      <c r="V536" s="1421"/>
    </row>
    <row r="537" spans="1:22" ht="15.75" customHeight="1">
      <c r="A537" s="1532" t="s">
        <v>288</v>
      </c>
      <c r="B537" s="1433"/>
      <c r="C537" s="1444">
        <f>IF(Data!BV537="","",Data!BV537)</f>
        <v>18</v>
      </c>
      <c r="D537" s="1444">
        <f>IF(Data!BW537="","",Data!BW537)</f>
        <v>18</v>
      </c>
      <c r="E537" s="1444">
        <f>IF(Data!BX537="","",Data!BX537)</f>
        <v>20</v>
      </c>
      <c r="F537" s="1444">
        <f>IF(Data!BY537="","",Data!BY537)</f>
        <v>21</v>
      </c>
      <c r="G537" s="1431"/>
      <c r="H537" s="1536">
        <f>$I537</f>
        <v>18</v>
      </c>
      <c r="I537" s="1536">
        <f>IF(SUM($D537)=0,IF(SUM($C537)=0,IF(SUM($E537)=0,IF(SUM($F537)=0,'Exp factors'!$H$46,SUM($F537)),SUM($E537)),SUM($C537)),SUM($D537))</f>
        <v>18</v>
      </c>
      <c r="J537" s="1536">
        <f>$I537</f>
        <v>18</v>
      </c>
      <c r="K537" s="1536">
        <f>$I537</f>
        <v>18</v>
      </c>
      <c r="L537" s="1431"/>
      <c r="M537" s="1427"/>
      <c r="N537" s="1427"/>
      <c r="O537" s="1427"/>
      <c r="P537" s="1427"/>
      <c r="Q537" s="1464"/>
      <c r="R537" s="1402"/>
      <c r="S537" s="1403"/>
      <c r="T537" s="1403"/>
      <c r="U537" s="1394">
        <v>537</v>
      </c>
      <c r="V537" s="1421"/>
    </row>
    <row r="538" spans="1:22" ht="15.75" customHeight="1">
      <c r="A538" s="1429" t="s">
        <v>286</v>
      </c>
      <c r="B538" s="1431"/>
      <c r="C538" s="1540">
        <f>IF(C537="","",C534*C537)</f>
        <v>360</v>
      </c>
      <c r="D538" s="1540">
        <f>IF(D537="","",D534*D537)</f>
        <v>1080</v>
      </c>
      <c r="E538" s="1540">
        <f>IF(E537="","",E534*E537)</f>
        <v>1200</v>
      </c>
      <c r="F538" s="1540">
        <f>IF(F537="","",F534*F537)</f>
        <v>1260</v>
      </c>
      <c r="G538" s="1431"/>
      <c r="H538" s="1540">
        <f>IF(H$46=0,"",IF($D537="",H534*H537,H534*$D537))</f>
        <v>3352.0290510393679</v>
      </c>
      <c r="I538" s="1540">
        <f t="shared" ref="I538:K538" si="62">IF(I$46=0,"",IF($D537="",I534*I537,I534*$D537))</f>
        <v>3352.0290510393679</v>
      </c>
      <c r="J538" s="1540">
        <f t="shared" si="62"/>
        <v>3352.0290510393679</v>
      </c>
      <c r="K538" s="1540">
        <f t="shared" si="62"/>
        <v>3771.0326824192889</v>
      </c>
      <c r="L538" s="1431"/>
      <c r="M538" s="1463">
        <f>IF(SUM(H538)=SUM(C538),"",SUM(H538)-SUM(C538))</f>
        <v>2992.0290510393679</v>
      </c>
      <c r="N538" s="1463">
        <f>IF(SUM(I538)=SUM(D538),"",SUM(I538)-SUM(D538))</f>
        <v>2272.0290510393679</v>
      </c>
      <c r="O538" s="1463">
        <f>IF(SUM(J538)=SUM(E538),"",SUM(J538)-SUM(E538))</f>
        <v>2152.0290510393679</v>
      </c>
      <c r="P538" s="1463">
        <f>IF(SUM(K538)=SUM(F538),"",SUM(K538)-SUM(F538))</f>
        <v>2511.0326824192889</v>
      </c>
      <c r="Q538" s="1464" t="str">
        <f>[1]ExpFactors!$I$63</f>
        <v>fpl</v>
      </c>
      <c r="R538" s="1402"/>
      <c r="S538" s="1403"/>
      <c r="T538" s="1403"/>
      <c r="U538" s="1394">
        <v>538</v>
      </c>
      <c r="V538" s="1421"/>
    </row>
    <row r="539" spans="1:22" ht="15.75" customHeight="1">
      <c r="A539" s="1541" t="str">
        <f>IF(Data!A539="","",Data!A539)</f>
        <v>Beef purchase</v>
      </c>
      <c r="B539" s="1431"/>
      <c r="C539" s="1444" t="str">
        <f>IF(Data!BV539="","",Data!BV539)</f>
        <v/>
      </c>
      <c r="D539" s="1444" t="str">
        <f>IF(Data!BW539="","",Data!BW539)</f>
        <v/>
      </c>
      <c r="E539" s="1444">
        <f>IF(Data!BX539="","",Data!BX539)</f>
        <v>5</v>
      </c>
      <c r="F539" s="1444">
        <f>IF(Data!BY539="","",Data!BY539)</f>
        <v>5</v>
      </c>
      <c r="G539" s="1431"/>
      <c r="H539" s="1533">
        <f>IF(H$46="","",IF('Exp factors'!$B47="poor",'Exp factors'!$G$47*H$46/H540,SUM(C539)*'Exp factors'!C$47))</f>
        <v>5.4765723972628146</v>
      </c>
      <c r="I539" s="1533">
        <f>IF(I$46="","",IF('Exp factors'!$B47="poor",'Exp factors'!$G$47*I$46/I540,SUM(D539)*'Exp factors'!D$47))</f>
        <v>5.4765723972628146</v>
      </c>
      <c r="J539" s="1533">
        <f>IF(J$46="","",IF('Exp factors'!$B47="poor",'Exp factors'!$G$47*J$46/J540,SUM(E539)*'Exp factors'!E$47))</f>
        <v>5.4765723972628146</v>
      </c>
      <c r="K539" s="1533">
        <f>IF(K$46="","",IF('Exp factors'!$B47="poor",'Exp factors'!$G$47*K$46/K540,SUM(F539)*'Exp factors'!F$47))</f>
        <v>6.1611439469206664</v>
      </c>
      <c r="L539" s="1431"/>
      <c r="M539" s="1427"/>
      <c r="N539" s="1427"/>
      <c r="O539" s="1427"/>
      <c r="P539" s="1427"/>
      <c r="Q539" s="1464"/>
      <c r="R539" s="1402"/>
      <c r="S539" s="1403"/>
      <c r="T539" s="1403"/>
      <c r="U539" s="1394">
        <v>539</v>
      </c>
      <c r="V539" s="1421"/>
    </row>
    <row r="540" spans="1:22" ht="15.75" customHeight="1">
      <c r="A540" s="1429" t="s">
        <v>289</v>
      </c>
      <c r="B540" s="1431"/>
      <c r="C540" s="1444" t="str">
        <f>IF(Data!BV540="","",Data!BV540)</f>
        <v/>
      </c>
      <c r="D540" s="1444" t="str">
        <f>IF(Data!BW540="","",Data!BW540)</f>
        <v/>
      </c>
      <c r="E540" s="1444">
        <f>IF(Data!BX540="","",Data!BX540)</f>
        <v>5</v>
      </c>
      <c r="F540" s="1444">
        <f>IF(Data!BY540="","",Data!BY540)</f>
        <v>12</v>
      </c>
      <c r="G540" s="1431"/>
      <c r="H540" s="1534">
        <f>I540</f>
        <v>5</v>
      </c>
      <c r="I540" s="1534">
        <f>IF(SUM(D540)=0,IF(SUM(C540)=0,IF(SUM(E540)=0,IF(SUM(F540)=0,12,SUM(F540)),SUM(E540)),SUM(C540)),SUM(D540))</f>
        <v>5</v>
      </c>
      <c r="J540" s="1534">
        <f>I540</f>
        <v>5</v>
      </c>
      <c r="K540" s="1534">
        <f>I540</f>
        <v>5</v>
      </c>
      <c r="L540" s="1431"/>
      <c r="M540" s="1427"/>
      <c r="N540" s="1427"/>
      <c r="O540" s="1427"/>
      <c r="P540" s="1427"/>
      <c r="Q540" s="1464"/>
      <c r="R540" s="1402"/>
      <c r="S540" s="1403"/>
      <c r="T540" s="1403"/>
      <c r="U540" s="1394">
        <v>540</v>
      </c>
      <c r="V540" s="1421"/>
    </row>
    <row r="541" spans="1:22" ht="15.75" customHeight="1">
      <c r="A541" s="1511" t="s">
        <v>292</v>
      </c>
      <c r="B541" s="1433"/>
      <c r="C541" s="1444">
        <f>IF(Data!BV541="","",Data!BV541)</f>
        <v>9838.98</v>
      </c>
      <c r="D541" s="1444">
        <f>IF(Data!BW541="","",Data!BW541)</f>
        <v>9838.98</v>
      </c>
      <c r="E541" s="1444">
        <f>IF(Data!BX541="","",Data!BX541)</f>
        <v>9838.98</v>
      </c>
      <c r="F541" s="1444">
        <f>IF(Data!BY541="","",Data!BY541)</f>
        <v>9838.98</v>
      </c>
      <c r="G541" s="1431"/>
      <c r="H541" s="1427"/>
      <c r="I541" s="1427"/>
      <c r="J541" s="1427"/>
      <c r="K541" s="1427"/>
      <c r="L541" s="1431"/>
      <c r="M541" s="1449"/>
      <c r="N541" s="1449"/>
      <c r="O541" s="1449"/>
      <c r="P541" s="1449"/>
      <c r="Q541" s="1464"/>
      <c r="R541" s="1402"/>
      <c r="S541" s="1403"/>
      <c r="T541" s="1403"/>
      <c r="U541" s="1394">
        <v>541</v>
      </c>
      <c r="V541" s="1421"/>
    </row>
    <row r="542" spans="1:22" ht="15.75" customHeight="1">
      <c r="A542" s="1429" t="s">
        <v>252</v>
      </c>
      <c r="B542" s="1433"/>
      <c r="C542" s="1539" t="str">
        <f>IF(SUM(C539)=0,"",C539*C540*C541/C$46/365/$P$1)</f>
        <v/>
      </c>
      <c r="D542" s="1539" t="str">
        <f>IF(SUM(D539)=0,"",D539*D540*D541/D$46/365/$P$1)</f>
        <v/>
      </c>
      <c r="E542" s="1539">
        <f>IF(SUM(E539)=0,"",E539*E540*E541/E$46/365/$P$1)</f>
        <v>9.5724820983810709E-3</v>
      </c>
      <c r="F542" s="1539">
        <f>IF(SUM(F539)=0,"",F539*F540*F541/F$46/365/$P$1)</f>
        <v>2.0421295143212951E-2</v>
      </c>
      <c r="G542" s="1431"/>
      <c r="H542" s="1539">
        <f>IF(H$46=0,"",H539*H540*SUM($D541)/H$46/365/$P$1)</f>
        <v>1.0484878246657239E-2</v>
      </c>
      <c r="I542" s="1539">
        <f>IF(I$46=0,"",I539*I540*SUM($D541)/I$46/365/$P$1)</f>
        <v>1.0484878246657239E-2</v>
      </c>
      <c r="J542" s="1539">
        <f>IF(J$46=0,"",J539*J540*SUM($D541)/J$46/365/$P$1)</f>
        <v>1.0484878246657239E-2</v>
      </c>
      <c r="K542" s="1539">
        <f>IF(K$46=0,"",K539*K540*SUM($D541)/K$46/365/$P$1)</f>
        <v>1.0484878246657239E-2</v>
      </c>
      <c r="L542" s="1431"/>
      <c r="M542" s="1484">
        <f>IF(SUM(H542)=SUM(C542),"",SUM(H542)-SUM(C542))</f>
        <v>1.0484878246657239E-2</v>
      </c>
      <c r="N542" s="1484">
        <f>IF(SUM(I542)=SUM(D542),"",SUM(I542)-SUM(D542))</f>
        <v>1.0484878246657239E-2</v>
      </c>
      <c r="O542" s="1484">
        <f>IF(SUM(J542)=SUM(E542),"",SUM(J542)-SUM(E542))</f>
        <v>9.1239614827616847E-4</v>
      </c>
      <c r="P542" s="1484">
        <f>IF(SUM(K542)=SUM(F542),"",SUM(K542)-SUM(F542))</f>
        <v>-9.9364168965557116E-3</v>
      </c>
      <c r="Q542" s="1464"/>
      <c r="R542" s="1402"/>
      <c r="S542" s="1403"/>
      <c r="T542" s="1403"/>
      <c r="U542" s="1394">
        <v>542</v>
      </c>
      <c r="V542" s="1421"/>
    </row>
    <row r="543" spans="1:22" ht="15.75" customHeight="1">
      <c r="A543" s="1532" t="s">
        <v>288</v>
      </c>
      <c r="B543" s="1433"/>
      <c r="C543" s="1444" t="str">
        <f>IF(Data!BV543="","",Data!BV543)</f>
        <v/>
      </c>
      <c r="D543" s="1444" t="str">
        <f>IF(Data!BW543="","",Data!BW543)</f>
        <v/>
      </c>
      <c r="E543" s="1444">
        <f>IF(Data!BX543="","",Data!BX543)</f>
        <v>30</v>
      </c>
      <c r="F543" s="1444">
        <f>IF(Data!BY543="","",Data!BY543)</f>
        <v>35</v>
      </c>
      <c r="G543" s="1431"/>
      <c r="H543" s="1536">
        <f>$I543</f>
        <v>30</v>
      </c>
      <c r="I543" s="1536">
        <f>IF(SUM($D543)=0,IF(SUM($C543)=0,IF(SUM($E543)=0,IF(SUM($F543)=0,'Exp factors'!$H$47,SUM($F543)),SUM($E543)),SUM($C543)),SUM($D543))</f>
        <v>30</v>
      </c>
      <c r="J543" s="1536">
        <f>$I543</f>
        <v>30</v>
      </c>
      <c r="K543" s="1536">
        <f>$I543</f>
        <v>30</v>
      </c>
      <c r="L543" s="1431"/>
      <c r="M543" s="1427"/>
      <c r="N543" s="1427"/>
      <c r="O543" s="1427"/>
      <c r="P543" s="1427"/>
      <c r="Q543" s="1464"/>
      <c r="R543" s="1402"/>
      <c r="S543" s="1403"/>
      <c r="T543" s="1403"/>
      <c r="U543" s="1394">
        <v>543</v>
      </c>
      <c r="V543" s="1421"/>
    </row>
    <row r="544" spans="1:22" ht="15.75" customHeight="1">
      <c r="A544" s="1429" t="s">
        <v>286</v>
      </c>
      <c r="B544" s="1431"/>
      <c r="C544" s="1540" t="str">
        <f>IF(C543="","",C539*C540*C543)</f>
        <v/>
      </c>
      <c r="D544" s="1540" t="str">
        <f>IF(D543="","",D539*D540*D543)</f>
        <v/>
      </c>
      <c r="E544" s="1540">
        <f>IF(E543="","",E539*E540*E543)</f>
        <v>750</v>
      </c>
      <c r="F544" s="1540">
        <f>IF(F543="","",F539*F540*F543)</f>
        <v>2100</v>
      </c>
      <c r="G544" s="1431"/>
      <c r="H544" s="1540">
        <f>IF(H$46=0,"",H539*H540*H543)</f>
        <v>821.48585958942215</v>
      </c>
      <c r="I544" s="1540">
        <f t="shared" ref="I544" si="63">IF(I$46=0,"",I539*I540*I543)</f>
        <v>821.48585958942215</v>
      </c>
      <c r="J544" s="1540">
        <f t="shared" ref="J544" si="64">IF(J$46=0,"",J539*J540*J543)</f>
        <v>821.48585958942215</v>
      </c>
      <c r="K544" s="1540">
        <f t="shared" ref="K544" si="65">IF(K$46=0,"",K539*K540*K543)</f>
        <v>924.17159203810002</v>
      </c>
      <c r="L544" s="1431"/>
      <c r="M544" s="1463">
        <f>IF(SUM(H544)=SUM(C544),"",SUM(H544)-SUM(C544))</f>
        <v>821.48585958942215</v>
      </c>
      <c r="N544" s="1463">
        <f>IF(SUM(I544)=SUM(D544),"",SUM(I544)-SUM(D544))</f>
        <v>821.48585958942215</v>
      </c>
      <c r="O544" s="1463">
        <f>IF(SUM(J544)=SUM(E544),"",SUM(J544)-SUM(E544))</f>
        <v>71.485859589422148</v>
      </c>
      <c r="P544" s="1463">
        <f>IF(SUM(K544)=SUM(F544),"",SUM(K544)-SUM(F544))</f>
        <v>-1175.8284079619</v>
      </c>
      <c r="Q544" s="1464" t="str">
        <f>[1]ExpFactors!$I$63</f>
        <v>fpl</v>
      </c>
      <c r="R544" s="1402"/>
      <c r="S544" s="1403"/>
      <c r="T544" s="1403"/>
      <c r="U544" s="1394">
        <v>544</v>
      </c>
      <c r="V544" s="1421"/>
    </row>
    <row r="545" spans="1:22" ht="15.75" customHeight="1">
      <c r="A545" s="1541" t="str">
        <f>IF(Data!A545="","",Data!A545)</f>
        <v>Boerewors purchase</v>
      </c>
      <c r="B545" s="1431"/>
      <c r="C545" s="1444" t="str">
        <f>IF(Data!BV545="","",Data!BV545)</f>
        <v/>
      </c>
      <c r="D545" s="1444" t="str">
        <f>IF(Data!BW545="","",Data!BW545)</f>
        <v/>
      </c>
      <c r="E545" s="1444" t="str">
        <f>IF(Data!BX545="","",Data!BX545)</f>
        <v/>
      </c>
      <c r="F545" s="1444" t="str">
        <f>IF(Data!BY545="","",Data!BY545)</f>
        <v/>
      </c>
      <c r="G545" s="1431"/>
      <c r="H545" s="1533"/>
      <c r="I545" s="1533"/>
      <c r="J545" s="1533"/>
      <c r="K545" s="1533"/>
      <c r="L545" s="1431"/>
      <c r="M545" s="1427"/>
      <c r="N545" s="1427"/>
      <c r="O545" s="1427"/>
      <c r="P545" s="1427"/>
      <c r="Q545" s="1464"/>
      <c r="R545" s="1402"/>
      <c r="S545" s="1403"/>
      <c r="T545" s="1403"/>
      <c r="U545" s="1394">
        <v>545</v>
      </c>
      <c r="V545" s="1421"/>
    </row>
    <row r="546" spans="1:22" ht="15.75" customHeight="1">
      <c r="A546" s="1353" t="s">
        <v>293</v>
      </c>
      <c r="B546" s="1431"/>
      <c r="C546" s="1444" t="str">
        <f>IF(Data!BV546="","",Data!BV546)</f>
        <v/>
      </c>
      <c r="D546" s="1444" t="str">
        <f>IF(Data!BW546="","",Data!BW546)</f>
        <v/>
      </c>
      <c r="E546" s="1444" t="str">
        <f>IF(Data!BX546="","",Data!BX546)</f>
        <v/>
      </c>
      <c r="F546" s="1444" t="str">
        <f>IF(Data!BY546="","",Data!BY546)</f>
        <v/>
      </c>
      <c r="G546" s="1431"/>
      <c r="H546" s="1533">
        <f>IF(H$46="","",IF('Exp factors'!$B48="poor",'Exp factors'!$G$48*H$46,SUM(C546)*'Exp factors'!C$48))</f>
        <v>10.301662070912585</v>
      </c>
      <c r="I546" s="1533">
        <f>IF(I$46="","",IF('Exp factors'!$B48="poor",'Exp factors'!$G$48*I$46,SUM(D546)*'Exp factors'!D$48))</f>
        <v>10.301662070912585</v>
      </c>
      <c r="J546" s="1533">
        <f>IF(J$46="","",IF('Exp factors'!$B48="poor",'Exp factors'!$G$48*J$46,SUM(E546)*'Exp factors'!E$48))</f>
        <v>10.301662070912585</v>
      </c>
      <c r="K546" s="1533">
        <f>IF(K$46="","",IF('Exp factors'!$B48="poor",'Exp factors'!$G$48*K$46,SUM(F546)*'Exp factors'!F$48))</f>
        <v>11.589369829776658</v>
      </c>
      <c r="L546" s="1431"/>
      <c r="M546" s="1427"/>
      <c r="N546" s="1427"/>
      <c r="O546" s="1427"/>
      <c r="P546" s="1427"/>
      <c r="Q546" s="1464"/>
      <c r="R546" s="1402"/>
      <c r="S546" s="1403"/>
      <c r="T546" s="1403"/>
      <c r="U546" s="1394">
        <v>546</v>
      </c>
      <c r="V546" s="1421"/>
    </row>
    <row r="547" spans="1:22" ht="15.75" customHeight="1">
      <c r="A547" s="1511" t="s">
        <v>292</v>
      </c>
      <c r="B547" s="1433"/>
      <c r="C547" s="1444">
        <f>IF(Data!BV547="","",Data!BV547)</f>
        <v>11764.907999999999</v>
      </c>
      <c r="D547" s="1444">
        <f>IF(Data!BW547="","",Data!BW547)</f>
        <v>11764.907999999999</v>
      </c>
      <c r="E547" s="1444">
        <f>IF(Data!BX547="","",Data!BX547)</f>
        <v>11764.907999999999</v>
      </c>
      <c r="F547" s="1444">
        <f>IF(Data!BY547="","",Data!BY547)</f>
        <v>11764.907999999999</v>
      </c>
      <c r="G547" s="1431"/>
      <c r="H547" s="1427"/>
      <c r="I547" s="1427"/>
      <c r="J547" s="1427"/>
      <c r="K547" s="1427"/>
      <c r="L547" s="1431"/>
      <c r="M547" s="1449"/>
      <c r="N547" s="1449"/>
      <c r="O547" s="1449"/>
      <c r="P547" s="1449"/>
      <c r="Q547" s="1464"/>
      <c r="R547" s="1402"/>
      <c r="S547" s="1403"/>
      <c r="T547" s="1403"/>
      <c r="U547" s="1394">
        <v>547</v>
      </c>
      <c r="V547" s="1421"/>
    </row>
    <row r="548" spans="1:22" ht="15.75" customHeight="1">
      <c r="A548" s="1429" t="s">
        <v>252</v>
      </c>
      <c r="B548" s="1433"/>
      <c r="C548" s="1539" t="str">
        <f>IF(SUM(C546)=0,"",C546*C547/C$46/365/$P$1)</f>
        <v/>
      </c>
      <c r="D548" s="1539" t="str">
        <f>IF(SUM(D546)=0,"",D546*D547/D$46/365/$P$1)</f>
        <v/>
      </c>
      <c r="E548" s="1539" t="str">
        <f>IF(SUM(E546)=0,"",E546*E547/E$46/365/$P$1)</f>
        <v/>
      </c>
      <c r="F548" s="1539" t="str">
        <f>IF(SUM(F546)=0,"",F546*F547/F$46/365/$P$1)</f>
        <v/>
      </c>
      <c r="G548" s="1431"/>
      <c r="H548" s="1539">
        <f>IF(H$46=0,"",H546*SUM($D547)/H$46/365/$P$1)</f>
        <v>4.7166137340977597E-3</v>
      </c>
      <c r="I548" s="1539">
        <f>IF(I$46=0,"",I546*SUM($D547)/I$46/365/$P$1)</f>
        <v>4.7166137340977597E-3</v>
      </c>
      <c r="J548" s="1539">
        <f>IF(J$46=0,"",J546*SUM($D547)/J$46/365/$P$1)</f>
        <v>4.7166137340977597E-3</v>
      </c>
      <c r="K548" s="1539">
        <f>IF(K$46=0,"",K546*SUM($D547)/K$46/365/$P$1)</f>
        <v>4.7166137340977597E-3</v>
      </c>
      <c r="L548" s="1431"/>
      <c r="M548" s="1484">
        <f>IF(SUM(H548)=SUM(C548),"",SUM(H548)-SUM(C548))</f>
        <v>4.7166137340977597E-3</v>
      </c>
      <c r="N548" s="1484">
        <f>IF(SUM(I548)=SUM(D548),"",SUM(I548)-SUM(D548))</f>
        <v>4.7166137340977597E-3</v>
      </c>
      <c r="O548" s="1484">
        <f>IF(SUM(J548)=SUM(E548),"",SUM(J548)-SUM(E548))</f>
        <v>4.7166137340977597E-3</v>
      </c>
      <c r="P548" s="1484">
        <f>IF(SUM(K548)=SUM(F548),"",SUM(K548)-SUM(F548))</f>
        <v>4.7166137340977597E-3</v>
      </c>
      <c r="Q548" s="1464"/>
      <c r="R548" s="1402"/>
      <c r="S548" s="1403"/>
      <c r="T548" s="1403"/>
      <c r="U548" s="1394">
        <v>548</v>
      </c>
      <c r="V548" s="1421"/>
    </row>
    <row r="549" spans="1:22" ht="15.75" customHeight="1">
      <c r="A549" s="1532" t="s">
        <v>288</v>
      </c>
      <c r="B549" s="1433"/>
      <c r="C549" s="1444" t="str">
        <f>IF(Data!BV549="","",Data!BV549)</f>
        <v/>
      </c>
      <c r="D549" s="1444" t="str">
        <f>IF(Data!BW549="","",Data!BW549)</f>
        <v/>
      </c>
      <c r="E549" s="1444" t="str">
        <f>IF(Data!BX549="","",Data!BX549)</f>
        <v/>
      </c>
      <c r="F549" s="1444" t="str">
        <f>IF(Data!BY549="","",Data!BY549)</f>
        <v/>
      </c>
      <c r="G549" s="1431"/>
      <c r="H549" s="1536">
        <f>$I549</f>
        <v>46.997666110978805</v>
      </c>
      <c r="I549" s="1536">
        <f>IF(SUM($D549)=0,IF(SUM($C549)=0,IF(SUM($E549)=0,IF(SUM($F549)=0,'Exp factors'!$H$48,SUM($F549)),SUM($E549)),SUM($C549)),SUM($D549))</f>
        <v>46.997666110978805</v>
      </c>
      <c r="J549" s="1536">
        <f>$I549</f>
        <v>46.997666110978805</v>
      </c>
      <c r="K549" s="1536">
        <f>$I549</f>
        <v>46.997666110978805</v>
      </c>
      <c r="L549" s="1431"/>
      <c r="M549" s="1427"/>
      <c r="N549" s="1427"/>
      <c r="O549" s="1427"/>
      <c r="P549" s="1427"/>
      <c r="Q549" s="1464"/>
      <c r="R549" s="1402"/>
      <c r="S549" s="1403"/>
      <c r="T549" s="1403"/>
      <c r="U549" s="1394">
        <v>549</v>
      </c>
      <c r="V549" s="1421"/>
    </row>
    <row r="550" spans="1:22" ht="15.75" customHeight="1">
      <c r="A550" s="1429" t="s">
        <v>286</v>
      </c>
      <c r="B550" s="1431"/>
      <c r="C550" s="1540" t="str">
        <f>IF(C549="","",C546*C549)</f>
        <v/>
      </c>
      <c r="D550" s="1540" t="str">
        <f>IF(D549="","",D546*D549)</f>
        <v/>
      </c>
      <c r="E550" s="1540" t="str">
        <f>IF(E549="","",E546*E549)</f>
        <v/>
      </c>
      <c r="F550" s="1540" t="str">
        <f>IF(F549="","",F546*F549)</f>
        <v/>
      </c>
      <c r="G550" s="1431"/>
      <c r="H550" s="1540">
        <f>IF(H$46=0,"",IF($D549="",H546*H549,H546*$D549))</f>
        <v>484.15407439688414</v>
      </c>
      <c r="I550" s="1540">
        <f t="shared" ref="I550:K550" si="66">IF(I$46=0,"",IF($D549="",I546*I549,I546*$D549))</f>
        <v>484.15407439688414</v>
      </c>
      <c r="J550" s="1540">
        <f t="shared" si="66"/>
        <v>484.15407439688414</v>
      </c>
      <c r="K550" s="1540">
        <f t="shared" si="66"/>
        <v>544.67333369649464</v>
      </c>
      <c r="L550" s="1431"/>
      <c r="M550" s="1463">
        <f>IF(SUM(H550)=SUM(C550),"",SUM(H550)-SUM(C550))</f>
        <v>484.15407439688414</v>
      </c>
      <c r="N550" s="1463">
        <f>IF(SUM(I550)=SUM(D550),"",SUM(I550)-SUM(D550))</f>
        <v>484.15407439688414</v>
      </c>
      <c r="O550" s="1463">
        <f>IF(SUM(J550)=SUM(E550),"",SUM(J550)-SUM(E550))</f>
        <v>484.15407439688414</v>
      </c>
      <c r="P550" s="1463">
        <f>IF(SUM(K550)=SUM(F550),"",SUM(K550)-SUM(F550))</f>
        <v>544.67333369649464</v>
      </c>
      <c r="Q550" s="1464" t="str">
        <f>[1]ExpFactors!$I$63</f>
        <v>fpl</v>
      </c>
      <c r="R550" s="1402"/>
      <c r="S550" s="1403"/>
      <c r="T550" s="1403"/>
      <c r="U550" s="1394">
        <v>550</v>
      </c>
      <c r="V550" s="1421"/>
    </row>
    <row r="551" spans="1:22" ht="15.75" customHeight="1">
      <c r="A551" s="1541" t="str">
        <f>IF(Data!A551="","",Data!A551)</f>
        <v>Canned pilchards purchase</v>
      </c>
      <c r="B551" s="1431"/>
      <c r="C551" s="1444" t="str">
        <f>IF(Data!BV551="","",Data!BV551)</f>
        <v>kg</v>
      </c>
      <c r="D551" s="1444" t="str">
        <f>IF(Data!BW551="","",Data!BW551)</f>
        <v>kg</v>
      </c>
      <c r="E551" s="1444" t="str">
        <f>IF(Data!BX551="","",Data!BX551)</f>
        <v>kg</v>
      </c>
      <c r="F551" s="1444" t="str">
        <f>IF(Data!BY551="","",Data!BY551)</f>
        <v>kg</v>
      </c>
      <c r="G551" s="1431"/>
      <c r="H551" s="1533"/>
      <c r="I551" s="1533"/>
      <c r="J551" s="1533"/>
      <c r="K551" s="1533"/>
      <c r="L551" s="1431"/>
      <c r="M551" s="1427"/>
      <c r="N551" s="1427"/>
      <c r="O551" s="1427"/>
      <c r="P551" s="1427"/>
      <c r="Q551" s="1464"/>
      <c r="R551" s="1402"/>
      <c r="S551" s="1403"/>
      <c r="T551" s="1403"/>
      <c r="U551" s="1394">
        <v>551</v>
      </c>
      <c r="V551" s="1421"/>
    </row>
    <row r="552" spans="1:22" ht="15.75" customHeight="1">
      <c r="A552" s="1353" t="s">
        <v>293</v>
      </c>
      <c r="B552" s="1431"/>
      <c r="C552" s="1444" t="str">
        <f>IF(Data!BV552="","",Data!BV552)</f>
        <v/>
      </c>
      <c r="D552" s="1444" t="str">
        <f>IF(Data!BW552="","",Data!BW552)</f>
        <v/>
      </c>
      <c r="E552" s="1444" t="str">
        <f>IF(Data!BX552="","",Data!BX552)</f>
        <v/>
      </c>
      <c r="F552" s="1444" t="str">
        <f>IF(Data!BY552="","",Data!BY552)</f>
        <v/>
      </c>
      <c r="G552" s="1431"/>
      <c r="H552" s="1533">
        <f>IF(H$46="","",IF('Exp factors'!$B49="poor",'Exp factors'!$G$49*H$46,SUM(C552)*'Exp factors'!C$49))</f>
        <v>13.615804252244885</v>
      </c>
      <c r="I552" s="1533">
        <f>IF(I$46="","",IF('Exp factors'!$B49="poor",'Exp factors'!$G$49*I$46,SUM(D552)*'Exp factors'!D$49))</f>
        <v>13.615804252244885</v>
      </c>
      <c r="J552" s="1533">
        <f>IF(J$46="","",IF('Exp factors'!$B49="poor",'Exp factors'!$G$49*J$46,SUM(E552)*'Exp factors'!E$49))</f>
        <v>13.615804252244885</v>
      </c>
      <c r="K552" s="1533">
        <f>IF(K$46="","",IF('Exp factors'!$B49="poor",'Exp factors'!$G$49*K$46,SUM(F552)*'Exp factors'!F$49))</f>
        <v>15.317779783775496</v>
      </c>
      <c r="L552" s="1431"/>
      <c r="M552" s="1427"/>
      <c r="N552" s="1427"/>
      <c r="O552" s="1427"/>
      <c r="P552" s="1427"/>
      <c r="Q552" s="1464"/>
      <c r="R552" s="1402"/>
      <c r="S552" s="1403"/>
      <c r="T552" s="1403"/>
      <c r="U552" s="1394">
        <v>552</v>
      </c>
      <c r="V552" s="1421"/>
    </row>
    <row r="553" spans="1:22" ht="15.75" customHeight="1">
      <c r="A553" s="1511" t="s">
        <v>292</v>
      </c>
      <c r="B553" s="1431"/>
      <c r="C553" s="1444">
        <f>IF(Data!BV553="","",Data!BV553)</f>
        <v>4396.1399999999994</v>
      </c>
      <c r="D553" s="1444">
        <f>IF(Data!BW553="","",Data!BW553)</f>
        <v>4396.1399999999994</v>
      </c>
      <c r="E553" s="1444">
        <f>IF(Data!BX553="","",Data!BX553)</f>
        <v>4396.1399999999994</v>
      </c>
      <c r="F553" s="1444">
        <f>IF(Data!BY553="","",Data!BY553)</f>
        <v>4396.1399999999994</v>
      </c>
      <c r="G553" s="1431"/>
      <c r="H553" s="1427"/>
      <c r="I553" s="1427"/>
      <c r="J553" s="1427"/>
      <c r="K553" s="1427"/>
      <c r="L553" s="1431"/>
      <c r="M553" s="1449"/>
      <c r="N553" s="1449"/>
      <c r="O553" s="1449"/>
      <c r="P553" s="1449"/>
      <c r="Q553" s="1464"/>
      <c r="R553" s="1402"/>
      <c r="S553" s="1403"/>
      <c r="T553" s="1403"/>
      <c r="U553" s="1394">
        <v>553</v>
      </c>
      <c r="V553" s="1421"/>
    </row>
    <row r="554" spans="1:22" ht="15.75" customHeight="1">
      <c r="A554" s="1429" t="s">
        <v>252</v>
      </c>
      <c r="B554" s="1431"/>
      <c r="C554" s="1539" t="str">
        <f>IF(SUM(C552)=0,"",C552*C553/C$46/365/$P$1)</f>
        <v/>
      </c>
      <c r="D554" s="1539" t="str">
        <f>IF(SUM(D552)=0,"",D552*D553/D$46/365/$P$1)</f>
        <v/>
      </c>
      <c r="E554" s="1539" t="str">
        <f>IF(SUM(E552)=0,"",E552*E553/E$46/365/$P$1)</f>
        <v/>
      </c>
      <c r="F554" s="1539" t="str">
        <f>IF(SUM(F552)=0,"",F552*F553/F$46/365/$P$1)</f>
        <v/>
      </c>
      <c r="G554" s="1431"/>
      <c r="H554" s="1539">
        <f>IF(H$46=0,"",H552*SUM($D553)/H$46/365/$P$1)</f>
        <v>2.3294279928963192E-3</v>
      </c>
      <c r="I554" s="1539">
        <f>IF(I$46=0,"",I552*SUM($D553)/I$46/365/$P$1)</f>
        <v>2.3294279928963192E-3</v>
      </c>
      <c r="J554" s="1539">
        <f>IF(J$46=0,"",J552*SUM($D553)/J$46/365/$P$1)</f>
        <v>2.3294279928963192E-3</v>
      </c>
      <c r="K554" s="1539">
        <f>IF(K$46=0,"",K552*SUM($D553)/K$46/365/$P$1)</f>
        <v>2.3294279928963196E-3</v>
      </c>
      <c r="L554" s="1431"/>
      <c r="M554" s="1484">
        <f>IF(SUM(H554)=SUM(C554),"",SUM(H554)-SUM(C554))</f>
        <v>2.3294279928963192E-3</v>
      </c>
      <c r="N554" s="1484">
        <f>IF(SUM(I554)=SUM(D554),"",SUM(I554)-SUM(D554))</f>
        <v>2.3294279928963192E-3</v>
      </c>
      <c r="O554" s="1484">
        <f>IF(SUM(J554)=SUM(E554),"",SUM(J554)-SUM(E554))</f>
        <v>2.3294279928963192E-3</v>
      </c>
      <c r="P554" s="1484">
        <f>IF(SUM(K554)=SUM(F554),"",SUM(K554)-SUM(F554))</f>
        <v>2.3294279928963196E-3</v>
      </c>
      <c r="Q554" s="1464"/>
      <c r="R554" s="1402"/>
      <c r="S554" s="1403"/>
      <c r="T554" s="1403"/>
      <c r="U554" s="1394">
        <v>554</v>
      </c>
      <c r="V554" s="1421"/>
    </row>
    <row r="555" spans="1:22" ht="15.75" customHeight="1">
      <c r="A555" s="1532" t="s">
        <v>288</v>
      </c>
      <c r="B555" s="1431"/>
      <c r="C555" s="1444" t="str">
        <f>IF(Data!BV555="","",Data!BV555)</f>
        <v/>
      </c>
      <c r="D555" s="1444" t="str">
        <f>IF(Data!BW555="","",Data!BW555)</f>
        <v/>
      </c>
      <c r="E555" s="1444" t="str">
        <f>IF(Data!BX555="","",Data!BX555)</f>
        <v/>
      </c>
      <c r="F555" s="1444" t="str">
        <f>IF(Data!BY555="","",Data!BY555)</f>
        <v/>
      </c>
      <c r="G555" s="1431"/>
      <c r="H555" s="1536">
        <f>$I555</f>
        <v>41.423255813953475</v>
      </c>
      <c r="I555" s="1536">
        <f>IF(SUM($D555)=0,IF(SUM($C555)=0,IF(SUM($E555)=0,IF(SUM($F555)=0,'Exp factors'!$H$49,SUM($F555)),SUM($E555)),SUM($C555)),SUM($D555))</f>
        <v>41.423255813953475</v>
      </c>
      <c r="J555" s="1536">
        <f>$I555</f>
        <v>41.423255813953475</v>
      </c>
      <c r="K555" s="1536">
        <f>$I555</f>
        <v>41.423255813953475</v>
      </c>
      <c r="L555" s="1431"/>
      <c r="M555" s="1427"/>
      <c r="N555" s="1427"/>
      <c r="O555" s="1427"/>
      <c r="P555" s="1427"/>
      <c r="Q555" s="1464"/>
      <c r="R555" s="1402"/>
      <c r="S555" s="1403"/>
      <c r="T555" s="1403"/>
      <c r="U555" s="1394">
        <v>555</v>
      </c>
      <c r="V555" s="1421"/>
    </row>
    <row r="556" spans="1:22" ht="15.75" customHeight="1">
      <c r="A556" s="1429" t="s">
        <v>286</v>
      </c>
      <c r="B556" s="1431"/>
      <c r="C556" s="1540" t="str">
        <f>IF(C555="","",C552*C555)</f>
        <v/>
      </c>
      <c r="D556" s="1540" t="str">
        <f>IF(D555="","",D552*D555)</f>
        <v/>
      </c>
      <c r="E556" s="1540" t="str">
        <f>IF(E555="","",E552*E555)</f>
        <v/>
      </c>
      <c r="F556" s="1540" t="str">
        <f>IF(F555="","",F552*F555)</f>
        <v/>
      </c>
      <c r="G556" s="1431"/>
      <c r="H556" s="1540">
        <f>IF(H$46=0,"",IF($D555="",H552*H555,H552*$D555))</f>
        <v>564.01094265345534</v>
      </c>
      <c r="I556" s="1540">
        <f t="shared" ref="I556:K556" si="67">IF(I$46=0,"",IF($D555="",I552*I555,I552*$D555))</f>
        <v>564.01094265345534</v>
      </c>
      <c r="J556" s="1540">
        <f t="shared" si="67"/>
        <v>564.01094265345534</v>
      </c>
      <c r="K556" s="1540">
        <f t="shared" si="67"/>
        <v>634.51231048513728</v>
      </c>
      <c r="L556" s="1431"/>
      <c r="M556" s="1463">
        <f>IF(SUM(H556)=SUM(C556),"",SUM(H556)-SUM(C556))</f>
        <v>564.01094265345534</v>
      </c>
      <c r="N556" s="1463">
        <f>IF(SUM(I556)=SUM(D556),"",SUM(I556)-SUM(D556))</f>
        <v>564.01094265345534</v>
      </c>
      <c r="O556" s="1463">
        <f>IF(SUM(J556)=SUM(E556),"",SUM(J556)-SUM(E556))</f>
        <v>564.01094265345534</v>
      </c>
      <c r="P556" s="1463">
        <f>IF(SUM(K556)=SUM(F556),"",SUM(K556)-SUM(F556))</f>
        <v>634.51231048513728</v>
      </c>
      <c r="Q556" s="1464" t="str">
        <f>[1]ExpFactors!$I$63</f>
        <v>fpl</v>
      </c>
      <c r="R556" s="1402"/>
      <c r="S556" s="1403"/>
      <c r="T556" s="1403"/>
      <c r="U556" s="1394">
        <v>556</v>
      </c>
      <c r="V556" s="1421"/>
    </row>
    <row r="557" spans="1:22" ht="15.75" customHeight="1">
      <c r="A557" s="1541" t="str">
        <f>IF(Data!A557="","",Data!A557)</f>
        <v>Tomato purchase</v>
      </c>
      <c r="B557" s="1431"/>
      <c r="C557" s="1444" t="str">
        <f>IF(Data!BV557="","",Data!BV557)</f>
        <v/>
      </c>
      <c r="D557" s="1444" t="str">
        <f>IF(Data!BW557="","",Data!BW557)</f>
        <v/>
      </c>
      <c r="E557" s="1444" t="str">
        <f>IF(Data!BX557="","",Data!BX557)</f>
        <v/>
      </c>
      <c r="F557" s="1444" t="str">
        <f>IF(Data!BY557="","",Data!BY557)</f>
        <v/>
      </c>
      <c r="G557" s="1431"/>
      <c r="H557" s="1533"/>
      <c r="I557" s="1533"/>
      <c r="J557" s="1533"/>
      <c r="K557" s="1533"/>
      <c r="L557" s="1431"/>
      <c r="M557" s="1427"/>
      <c r="N557" s="1427"/>
      <c r="O557" s="1427"/>
      <c r="P557" s="1427"/>
      <c r="Q557" s="1464"/>
      <c r="R557" s="1402"/>
      <c r="S557" s="1403"/>
      <c r="T557" s="1403"/>
      <c r="U557" s="1394">
        <v>557</v>
      </c>
      <c r="V557" s="1421"/>
    </row>
    <row r="558" spans="1:22" ht="15.75" customHeight="1">
      <c r="A558" s="1353" t="s">
        <v>293</v>
      </c>
      <c r="B558" s="1431"/>
      <c r="C558" s="1444" t="str">
        <f>IF(Data!BV558="","",Data!BV558)</f>
        <v/>
      </c>
      <c r="D558" s="1444" t="str">
        <f>IF(Data!BW558="","",Data!BW558)</f>
        <v/>
      </c>
      <c r="E558" s="1444" t="str">
        <f>IF(Data!BX558="","",Data!BX558)</f>
        <v/>
      </c>
      <c r="F558" s="1444" t="str">
        <f>IF(Data!BY558="","",Data!BY558)</f>
        <v/>
      </c>
      <c r="G558" s="1431"/>
      <c r="H558" s="1533">
        <f>IF(H$46="","",IF('Exp factors'!$B55="poor",'Exp factors'!$G$55*H$46,SUM(C558)*'Exp factors'!C$55))</f>
        <v>36.533407093272281</v>
      </c>
      <c r="I558" s="1533">
        <f>IF(I$46="","",IF('Exp factors'!$B55="poor",'Exp factors'!$G$55*I$46,SUM(D558)*'Exp factors'!D$55))</f>
        <v>36.533407093272281</v>
      </c>
      <c r="J558" s="1533">
        <f>IF(J$46="","",IF('Exp factors'!$B55="poor",'Exp factors'!$G$55*J$46,SUM(E558)*'Exp factors'!E$55))</f>
        <v>36.533407093272281</v>
      </c>
      <c r="K558" s="1533">
        <f>IF(K$46="","",IF('Exp factors'!$B55="poor",'Exp factors'!$G$55*K$46,SUM(F558)*'Exp factors'!F$55))</f>
        <v>41.100082979931315</v>
      </c>
      <c r="L558" s="1431"/>
      <c r="M558" s="1427"/>
      <c r="N558" s="1427"/>
      <c r="O558" s="1427"/>
      <c r="P558" s="1427"/>
      <c r="Q558" s="1464"/>
      <c r="R558" s="1402"/>
      <c r="S558" s="1403"/>
      <c r="T558" s="1403"/>
      <c r="U558" s="1394">
        <v>558</v>
      </c>
      <c r="V558" s="1421"/>
    </row>
    <row r="559" spans="1:22" ht="15.75" customHeight="1">
      <c r="A559" s="1511" t="s">
        <v>292</v>
      </c>
      <c r="B559" s="1431"/>
      <c r="C559" s="1444">
        <f>IF(Data!BV559="","",Data!BV559)</f>
        <v>837.36</v>
      </c>
      <c r="D559" s="1444">
        <f>IF(Data!BW559="","",Data!BW559)</f>
        <v>837.36</v>
      </c>
      <c r="E559" s="1444">
        <f>IF(Data!BX559="","",Data!BX559)</f>
        <v>837.36</v>
      </c>
      <c r="F559" s="1444">
        <f>IF(Data!BY559="","",Data!BY559)</f>
        <v>837.36</v>
      </c>
      <c r="G559" s="1431"/>
      <c r="H559" s="1427"/>
      <c r="I559" s="1427"/>
      <c r="J559" s="1427"/>
      <c r="K559" s="1427"/>
      <c r="L559" s="1431"/>
      <c r="M559" s="1449"/>
      <c r="N559" s="1449"/>
      <c r="O559" s="1449"/>
      <c r="P559" s="1449"/>
      <c r="Q559" s="1464"/>
      <c r="R559" s="1402"/>
      <c r="S559" s="1403"/>
      <c r="T559" s="1403"/>
      <c r="U559" s="1394">
        <v>559</v>
      </c>
      <c r="V559" s="1421"/>
    </row>
    <row r="560" spans="1:22" ht="15.75" customHeight="1">
      <c r="A560" s="1429" t="s">
        <v>252</v>
      </c>
      <c r="B560" s="1431"/>
      <c r="C560" s="1539" t="str">
        <f>IF(SUM(C558)=0,"",C558*C559/C$46/365/$P$1)</f>
        <v/>
      </c>
      <c r="D560" s="1539" t="str">
        <f>IF(SUM(D558)=0,"",D558*D559/D$46/365/$P$1)</f>
        <v/>
      </c>
      <c r="E560" s="1539" t="str">
        <f>IF(SUM(E558)=0,"",E558*E559/E$46/365/$P$1)</f>
        <v/>
      </c>
      <c r="F560" s="1539" t="str">
        <f>IF(SUM(F558)=0,"",F558*F559/F$46/365/$P$1)</f>
        <v/>
      </c>
      <c r="G560" s="1431"/>
      <c r="H560" s="1539">
        <f>IF(H$46=0,"",H558*SUM($D559)/H$46/365/$P$1)</f>
        <v>1.190520460913079E-3</v>
      </c>
      <c r="I560" s="1539">
        <f>IF(I$46=0,"",I558*SUM($D559)/I$46/365/$P$1)</f>
        <v>1.190520460913079E-3</v>
      </c>
      <c r="J560" s="1539">
        <f>IF(J$46=0,"",J558*SUM($D559)/J$46/365/$P$1)</f>
        <v>1.190520460913079E-3</v>
      </c>
      <c r="K560" s="1539">
        <f>IF(K$46=0,"",K558*SUM($D559)/K$46/365/$P$1)</f>
        <v>1.1905204609130788E-3</v>
      </c>
      <c r="L560" s="1431"/>
      <c r="M560" s="1484">
        <f>IF(SUM(H560)=SUM(C560),"",SUM(H560)-SUM(C560))</f>
        <v>1.190520460913079E-3</v>
      </c>
      <c r="N560" s="1484">
        <f>IF(SUM(I560)=SUM(D560),"",SUM(I560)-SUM(D560))</f>
        <v>1.190520460913079E-3</v>
      </c>
      <c r="O560" s="1484">
        <f>IF(SUM(J560)=SUM(E560),"",SUM(J560)-SUM(E560))</f>
        <v>1.190520460913079E-3</v>
      </c>
      <c r="P560" s="1484">
        <f>IF(SUM(K560)=SUM(F560),"",SUM(K560)-SUM(F560))</f>
        <v>1.1905204609130788E-3</v>
      </c>
      <c r="Q560" s="1464"/>
      <c r="R560" s="1402"/>
      <c r="S560" s="1403"/>
      <c r="T560" s="1403"/>
      <c r="U560" s="1394">
        <v>560</v>
      </c>
      <c r="V560" s="1421"/>
    </row>
    <row r="561" spans="1:22" ht="15.75" customHeight="1">
      <c r="A561" s="1532" t="s">
        <v>288</v>
      </c>
      <c r="B561" s="1431"/>
      <c r="C561" s="1444" t="str">
        <f>IF(Data!BV561="","",Data!BV561)</f>
        <v/>
      </c>
      <c r="D561" s="1444" t="str">
        <f>IF(Data!BW561="","",Data!BW561)</f>
        <v/>
      </c>
      <c r="E561" s="1444" t="str">
        <f>IF(Data!BX561="","",Data!BX561)</f>
        <v/>
      </c>
      <c r="F561" s="1444" t="str">
        <f>IF(Data!BY561="","",Data!BY561)</f>
        <v/>
      </c>
      <c r="G561" s="1431"/>
      <c r="H561" s="1536">
        <f>$I561</f>
        <v>13.548061389337644</v>
      </c>
      <c r="I561" s="1536">
        <f>IF(SUM($D561)=0,IF(SUM($C561)=0,IF(SUM($E561)=0,IF(SUM($F561)=0,'Exp factors'!$H$55,SUM($F561)),SUM($E561)),SUM($C561)),SUM($D561))</f>
        <v>13.548061389337644</v>
      </c>
      <c r="J561" s="1536">
        <f>$I561</f>
        <v>13.548061389337644</v>
      </c>
      <c r="K561" s="1536">
        <f>$I561</f>
        <v>13.548061389337644</v>
      </c>
      <c r="L561" s="1431"/>
      <c r="M561" s="1427"/>
      <c r="N561" s="1427"/>
      <c r="O561" s="1427"/>
      <c r="P561" s="1427"/>
      <c r="Q561" s="1464"/>
      <c r="R561" s="1402"/>
      <c r="S561" s="1403"/>
      <c r="T561" s="1403"/>
      <c r="U561" s="1394">
        <v>561</v>
      </c>
      <c r="V561" s="1421"/>
    </row>
    <row r="562" spans="1:22" ht="15.75" customHeight="1">
      <c r="A562" s="1429" t="s">
        <v>286</v>
      </c>
      <c r="B562" s="1431"/>
      <c r="C562" s="1540" t="str">
        <f>IF(C561="","",C558*C561)</f>
        <v/>
      </c>
      <c r="D562" s="1540" t="str">
        <f>IF(D561="","",D558*D561)</f>
        <v/>
      </c>
      <c r="E562" s="1540" t="str">
        <f>IF(E561="","",E558*E561)</f>
        <v/>
      </c>
      <c r="F562" s="1540" t="str">
        <f>IF(F561="","",F558*F561)</f>
        <v/>
      </c>
      <c r="G562" s="1431"/>
      <c r="H562" s="1540">
        <f>IF(H$46=0,"",IF($D561="",H558*H561,H558*$D561))</f>
        <v>494.95684206131619</v>
      </c>
      <c r="I562" s="1540">
        <f t="shared" ref="I562:K562" si="68">IF(I$46=0,"",IF($D561="",I558*I561,I558*$D561))</f>
        <v>494.95684206131619</v>
      </c>
      <c r="J562" s="1540">
        <f t="shared" si="68"/>
        <v>494.95684206131619</v>
      </c>
      <c r="K562" s="1540">
        <f t="shared" si="68"/>
        <v>556.82644731898074</v>
      </c>
      <c r="L562" s="1431"/>
      <c r="M562" s="1463">
        <f>IF(SUM(H562)=SUM(C562),"",SUM(H562)-SUM(C562))</f>
        <v>494.95684206131619</v>
      </c>
      <c r="N562" s="1463">
        <f>IF(SUM(I562)=SUM(D562),"",SUM(I562)-SUM(D562))</f>
        <v>494.95684206131619</v>
      </c>
      <c r="O562" s="1463">
        <f>IF(SUM(J562)=SUM(E562),"",SUM(J562)-SUM(E562))</f>
        <v>494.95684206131619</v>
      </c>
      <c r="P562" s="1463">
        <f>IF(SUM(K562)=SUM(F562),"",SUM(K562)-SUM(F562))</f>
        <v>556.82644731898074</v>
      </c>
      <c r="Q562" s="1464" t="str">
        <f>[1]ExpFactors!$I$63</f>
        <v>fpl</v>
      </c>
      <c r="R562" s="1402"/>
      <c r="S562" s="1403"/>
      <c r="T562" s="1403"/>
      <c r="U562" s="1394">
        <v>562</v>
      </c>
      <c r="V562" s="1421"/>
    </row>
    <row r="563" spans="1:22" ht="15.75" customHeight="1">
      <c r="A563" s="1541" t="str">
        <f>IF(Data!A563="","",Data!A563)</f>
        <v>Onions purchase</v>
      </c>
      <c r="B563" s="1431"/>
      <c r="C563" s="1444" t="str">
        <f>IF(Data!BV563="","",Data!BV563)</f>
        <v/>
      </c>
      <c r="D563" s="1444" t="str">
        <f>IF(Data!BW563="","",Data!BW563)</f>
        <v/>
      </c>
      <c r="E563" s="1444" t="str">
        <f>IF(Data!BX563="","",Data!BX563)</f>
        <v/>
      </c>
      <c r="F563" s="1444" t="str">
        <f>IF(Data!BY563="","",Data!BY563)</f>
        <v/>
      </c>
      <c r="G563" s="1431"/>
      <c r="H563" s="1533"/>
      <c r="I563" s="1533"/>
      <c r="J563" s="1533"/>
      <c r="K563" s="1533"/>
      <c r="L563" s="1431"/>
      <c r="M563" s="1427"/>
      <c r="N563" s="1427"/>
      <c r="O563" s="1427"/>
      <c r="P563" s="1427"/>
      <c r="Q563" s="1464"/>
      <c r="R563" s="1402"/>
      <c r="S563" s="1403"/>
      <c r="T563" s="1403"/>
      <c r="U563" s="1394">
        <v>563</v>
      </c>
      <c r="V563" s="1421"/>
    </row>
    <row r="564" spans="1:22" ht="15.75" customHeight="1">
      <c r="A564" s="1353" t="s">
        <v>293</v>
      </c>
      <c r="B564" s="1431"/>
      <c r="C564" s="1444">
        <f>IF(Data!BV564="","",Data!BV564)</f>
        <v>120</v>
      </c>
      <c r="D564" s="1444">
        <f>IF(Data!BW564="","",Data!BW564)</f>
        <v>60</v>
      </c>
      <c r="E564" s="1444">
        <f>IF(Data!BX564="","",Data!BX564)</f>
        <v>120</v>
      </c>
      <c r="F564" s="1444">
        <f>IF(Data!BY564="","",Data!BY564)</f>
        <v>120</v>
      </c>
      <c r="G564" s="1431"/>
      <c r="H564" s="1533">
        <f>IF(H$46="","",IF('Exp factors'!$B56="poor",'Exp factors'!$G$56*H$46,SUM(C564)*'Exp factors'!C$56))</f>
        <v>32.517339755729161</v>
      </c>
      <c r="I564" s="1533">
        <f>IF(I$46="","",IF('Exp factors'!$B56="poor",'Exp factors'!$G$56*I$46,SUM(D564)*'Exp factors'!D$56))</f>
        <v>32.517339755729161</v>
      </c>
      <c r="J564" s="1533">
        <f>IF(J$46="","",IF('Exp factors'!$B56="poor",'Exp factors'!$G$56*J$46,SUM(E564)*'Exp factors'!E$56))</f>
        <v>32.517339755729161</v>
      </c>
      <c r="K564" s="1533">
        <f>IF(K$46="","",IF('Exp factors'!$B56="poor",'Exp factors'!$G$56*K$46,SUM(F564)*'Exp factors'!F$56))</f>
        <v>36.582007225195305</v>
      </c>
      <c r="L564" s="1431"/>
      <c r="M564" s="1427"/>
      <c r="N564" s="1427"/>
      <c r="O564" s="1427"/>
      <c r="P564" s="1427"/>
      <c r="Q564" s="1464"/>
      <c r="R564" s="1402"/>
      <c r="S564" s="1403"/>
      <c r="T564" s="1403"/>
      <c r="U564" s="1394">
        <v>564</v>
      </c>
      <c r="V564" s="1421"/>
    </row>
    <row r="565" spans="1:22" ht="15.75" customHeight="1">
      <c r="A565" s="1511" t="s">
        <v>292</v>
      </c>
      <c r="B565" s="1431"/>
      <c r="C565" s="1444">
        <f>IF(Data!BV565="","",Data!BV565)</f>
        <v>2009.664</v>
      </c>
      <c r="D565" s="1444">
        <f>IF(Data!BW565="","",Data!BW565)</f>
        <v>2009.664</v>
      </c>
      <c r="E565" s="1444">
        <f>IF(Data!BX565="","",Data!BX565)</f>
        <v>2009.664</v>
      </c>
      <c r="F565" s="1444">
        <f>IF(Data!BY565="","",Data!BY565)</f>
        <v>2009.664</v>
      </c>
      <c r="G565" s="1431"/>
      <c r="H565" s="1427"/>
      <c r="I565" s="1427"/>
      <c r="J565" s="1427"/>
      <c r="K565" s="1427"/>
      <c r="L565" s="1431"/>
      <c r="M565" s="1449"/>
      <c r="N565" s="1449"/>
      <c r="O565" s="1449"/>
      <c r="P565" s="1449"/>
      <c r="Q565" s="1464"/>
      <c r="R565" s="1402"/>
      <c r="S565" s="1403"/>
      <c r="T565" s="1403"/>
      <c r="U565" s="1394">
        <v>565</v>
      </c>
      <c r="V565" s="1421"/>
    </row>
    <row r="566" spans="1:22" ht="15.75" customHeight="1">
      <c r="A566" s="1429" t="s">
        <v>252</v>
      </c>
      <c r="B566" s="1431"/>
      <c r="C566" s="1539">
        <f>IF(SUM(C564)=0,"",C564*C565/C$46/365/$P$1)</f>
        <v>9.3851058530510581E-3</v>
      </c>
      <c r="D566" s="1539">
        <f>IF(SUM(D564)=0,"",D564*D565/D$46/365/$P$1)</f>
        <v>4.6925529265255291E-3</v>
      </c>
      <c r="E566" s="1539">
        <f>IF(SUM(E564)=0,"",E564*E565/E$46/365/$P$1)</f>
        <v>9.3851058530510581E-3</v>
      </c>
      <c r="F566" s="1539">
        <f>IF(SUM(F564)=0,"",F564*F565/F$46/365/$P$1)</f>
        <v>8.3423163138231626E-3</v>
      </c>
      <c r="G566" s="1431"/>
      <c r="H566" s="1539">
        <f>IF(H$46=0,"",H564*SUM($D565)/H$46/365/$P$1)</f>
        <v>2.54315563055953E-3</v>
      </c>
      <c r="I566" s="1539">
        <f>IF(I$46=0,"",I564*SUM($D565)/I$46/365/$P$1)</f>
        <v>2.54315563055953E-3</v>
      </c>
      <c r="J566" s="1539">
        <f>IF(J$46=0,"",J564*SUM($D565)/J$46/365/$P$1)</f>
        <v>2.54315563055953E-3</v>
      </c>
      <c r="K566" s="1539">
        <f>IF(K$46=0,"",K564*SUM($D565)/K$46/365/$P$1)</f>
        <v>2.54315563055953E-3</v>
      </c>
      <c r="L566" s="1431"/>
      <c r="M566" s="1484">
        <f>IF(SUM(H566)=SUM(C566),"",SUM(H566)-SUM(C566))</f>
        <v>-6.8419502224915281E-3</v>
      </c>
      <c r="N566" s="1484">
        <f>IF(SUM(I566)=SUM(D566),"",SUM(I566)-SUM(D566))</f>
        <v>-2.149397295965999E-3</v>
      </c>
      <c r="O566" s="1484">
        <f>IF(SUM(J566)=SUM(E566),"",SUM(J566)-SUM(E566))</f>
        <v>-6.8419502224915281E-3</v>
      </c>
      <c r="P566" s="1484">
        <f>IF(SUM(K566)=SUM(F566),"",SUM(K566)-SUM(F566))</f>
        <v>-5.7991606832636326E-3</v>
      </c>
      <c r="Q566" s="1464"/>
      <c r="R566" s="1402"/>
      <c r="S566" s="1403"/>
      <c r="T566" s="1403"/>
      <c r="U566" s="1394">
        <v>566</v>
      </c>
      <c r="V566" s="1421"/>
    </row>
    <row r="567" spans="1:22" ht="15.75" customHeight="1">
      <c r="A567" s="1532" t="s">
        <v>288</v>
      </c>
      <c r="B567" s="1431"/>
      <c r="C567" s="1444">
        <f>IF(Data!BV567="","",Data!BV567)</f>
        <v>7</v>
      </c>
      <c r="D567" s="1444">
        <f>IF(Data!BW567="","",Data!BW567)</f>
        <v>4</v>
      </c>
      <c r="E567" s="1444">
        <f>IF(Data!BX567="","",Data!BX567)</f>
        <v>4</v>
      </c>
      <c r="F567" s="1444">
        <f>IF(Data!BY567="","",Data!BY567)</f>
        <v>4</v>
      </c>
      <c r="G567" s="1431"/>
      <c r="H567" s="1536">
        <f>$I567</f>
        <v>4</v>
      </c>
      <c r="I567" s="1536">
        <f>IF(SUM($D567)=0,IF(SUM($C567)=0,IF(SUM($E567)=0,IF(SUM($F567)=0,'Exp factors'!$H$56,SUM($F567)),SUM($E567)),SUM($C567)),SUM($D567))</f>
        <v>4</v>
      </c>
      <c r="J567" s="1536">
        <f>$I567</f>
        <v>4</v>
      </c>
      <c r="K567" s="1536">
        <f>$I567</f>
        <v>4</v>
      </c>
      <c r="L567" s="1431"/>
      <c r="M567" s="1427"/>
      <c r="N567" s="1427"/>
      <c r="O567" s="1427"/>
      <c r="P567" s="1427"/>
      <c r="Q567" s="1464"/>
      <c r="R567" s="1402"/>
      <c r="S567" s="1403"/>
      <c r="T567" s="1403"/>
      <c r="U567" s="1394">
        <v>567</v>
      </c>
      <c r="V567" s="1421"/>
    </row>
    <row r="568" spans="1:22" ht="15.75" customHeight="1">
      <c r="A568" s="1429" t="s">
        <v>286</v>
      </c>
      <c r="B568" s="1431"/>
      <c r="C568" s="1540">
        <f>IF(C567="","",C564*C567)</f>
        <v>840</v>
      </c>
      <c r="D568" s="1540">
        <f>IF(D567="","",D564*D567)</f>
        <v>240</v>
      </c>
      <c r="E568" s="1540">
        <f>IF(E567="","",E564*E567)</f>
        <v>480</v>
      </c>
      <c r="F568" s="1540">
        <f>IF(F567="","",F564*F567)</f>
        <v>480</v>
      </c>
      <c r="G568" s="1431"/>
      <c r="H568" s="1540">
        <f>IF(H$46=0,"",IF($D567="",H564*H567,H564*$D567))</f>
        <v>130.06935902291664</v>
      </c>
      <c r="I568" s="1540">
        <f t="shared" ref="I568:K568" si="69">IF(I$46=0,"",IF($D567="",I564*I567,I564*$D567))</f>
        <v>130.06935902291664</v>
      </c>
      <c r="J568" s="1540">
        <f t="shared" si="69"/>
        <v>130.06935902291664</v>
      </c>
      <c r="K568" s="1540">
        <f t="shared" si="69"/>
        <v>146.32802890078122</v>
      </c>
      <c r="L568" s="1431"/>
      <c r="M568" s="1463">
        <f>IF(SUM(H568)=SUM(C568),"",SUM(H568)-SUM(C568))</f>
        <v>-709.93064097708339</v>
      </c>
      <c r="N568" s="1463">
        <f>IF(SUM(I568)=SUM(D568),"",SUM(I568)-SUM(D568))</f>
        <v>-109.93064097708336</v>
      </c>
      <c r="O568" s="1463">
        <f>IF(SUM(J568)=SUM(E568),"",SUM(J568)-SUM(E568))</f>
        <v>-349.93064097708339</v>
      </c>
      <c r="P568" s="1463">
        <f>IF(SUM(K568)=SUM(F568),"",SUM(K568)-SUM(F568))</f>
        <v>-333.67197109921881</v>
      </c>
      <c r="Q568" s="1464" t="str">
        <f>[1]ExpFactors!$I$63</f>
        <v>fpl</v>
      </c>
      <c r="R568" s="1402"/>
      <c r="S568" s="1403"/>
      <c r="T568" s="1403"/>
      <c r="U568" s="1394">
        <v>568</v>
      </c>
      <c r="V568" s="1421"/>
    </row>
    <row r="569" spans="1:22" ht="15.75" customHeight="1">
      <c r="A569" s="1541" t="str">
        <f>IF(Data!A569="","",Data!A569)</f>
        <v>Banana purchase</v>
      </c>
      <c r="B569" s="1431"/>
      <c r="C569" s="1444" t="str">
        <f>IF(Data!BV569="","",Data!BV569)</f>
        <v/>
      </c>
      <c r="D569" s="1444" t="str">
        <f>IF(Data!BW569="","",Data!BW569)</f>
        <v/>
      </c>
      <c r="E569" s="1444" t="str">
        <f>IF(Data!BX569="","",Data!BX569)</f>
        <v/>
      </c>
      <c r="F569" s="1444" t="str">
        <f>IF(Data!BY569="","",Data!BY569)</f>
        <v/>
      </c>
      <c r="G569" s="1431"/>
      <c r="H569" s="1533"/>
      <c r="I569" s="1533"/>
      <c r="J569" s="1533"/>
      <c r="K569" s="1533"/>
      <c r="L569" s="1431"/>
      <c r="M569" s="1427"/>
      <c r="N569" s="1427"/>
      <c r="O569" s="1427"/>
      <c r="P569" s="1427"/>
      <c r="Q569" s="1464"/>
      <c r="R569" s="1402"/>
      <c r="S569" s="1403"/>
      <c r="T569" s="1403"/>
      <c r="U569" s="1394">
        <v>569</v>
      </c>
      <c r="V569" s="1421"/>
    </row>
    <row r="570" spans="1:22" ht="15.75" customHeight="1">
      <c r="A570" s="1353" t="s">
        <v>293</v>
      </c>
      <c r="B570" s="1431"/>
      <c r="C570" s="1444" t="str">
        <f>IF(Data!BV570="","",Data!BV570)</f>
        <v/>
      </c>
      <c r="D570" s="1444" t="str">
        <f>IF(Data!BW570="","",Data!BW570)</f>
        <v/>
      </c>
      <c r="E570" s="1444" t="str">
        <f>IF(Data!BX570="","",Data!BX570)</f>
        <v/>
      </c>
      <c r="F570" s="1444" t="str">
        <f>IF(Data!BY570="","",Data!BY570)</f>
        <v/>
      </c>
      <c r="G570" s="1431"/>
      <c r="H570" s="1533">
        <f>IF(H$46="","",IF('Exp factors'!$B57="poor",'Exp factors'!$G$57*H$46,SUM(C570)*'Exp factors'!C$57))</f>
        <v>34.100811628108644</v>
      </c>
      <c r="I570" s="1533">
        <f>IF(I$46="","",IF('Exp factors'!$B57="poor",'Exp factors'!$G$57*I$46,SUM(D570)*'Exp factors'!D$57))</f>
        <v>34.100811628108644</v>
      </c>
      <c r="J570" s="1533">
        <f>IF(J$46="","",IF('Exp factors'!$B57="poor",'Exp factors'!$G$57*J$46,SUM(E570)*'Exp factors'!E$57))</f>
        <v>34.100811628108644</v>
      </c>
      <c r="K570" s="1533">
        <f>IF(K$46="","",IF('Exp factors'!$B57="poor",'Exp factors'!$G$57*K$46,SUM(F570)*'Exp factors'!F$57))</f>
        <v>38.363413081622227</v>
      </c>
      <c r="L570" s="1431"/>
      <c r="M570" s="1427"/>
      <c r="N570" s="1427"/>
      <c r="O570" s="1427"/>
      <c r="P570" s="1427"/>
      <c r="Q570" s="1464"/>
      <c r="R570" s="1402"/>
      <c r="S570" s="1403"/>
      <c r="T570" s="1403"/>
      <c r="U570" s="1394">
        <v>570</v>
      </c>
      <c r="V570" s="1421"/>
    </row>
    <row r="571" spans="1:22" ht="15.75" customHeight="1">
      <c r="A571" s="1511" t="s">
        <v>292</v>
      </c>
      <c r="B571" s="1431"/>
      <c r="C571" s="1456">
        <f>IF(Data!BV571="","",Data!BV571)</f>
        <v>4856.6880000000001</v>
      </c>
      <c r="D571" s="1456">
        <f>IF(Data!BW571="","",Data!BW571)</f>
        <v>4856.6880000000001</v>
      </c>
      <c r="E571" s="1456">
        <f>IF(Data!BX571="","",Data!BX571)</f>
        <v>4856.6880000000001</v>
      </c>
      <c r="F571" s="1456">
        <f>IF(Data!BY571="","",Data!BY571)</f>
        <v>4856.6880000000001</v>
      </c>
      <c r="G571" s="1431"/>
      <c r="H571" s="1427"/>
      <c r="I571" s="1427"/>
      <c r="J571" s="1427"/>
      <c r="K571" s="1427"/>
      <c r="L571" s="1431"/>
      <c r="M571" s="1449"/>
      <c r="N571" s="1449"/>
      <c r="O571" s="1449"/>
      <c r="P571" s="1449"/>
      <c r="Q571" s="1464"/>
      <c r="R571" s="1402"/>
      <c r="S571" s="1403"/>
      <c r="T571" s="1403"/>
      <c r="U571" s="1394">
        <v>571</v>
      </c>
      <c r="V571" s="1421"/>
    </row>
    <row r="572" spans="1:22" ht="15.75" customHeight="1">
      <c r="A572" s="1429" t="s">
        <v>252</v>
      </c>
      <c r="B572" s="1431"/>
      <c r="C572" s="1539" t="str">
        <f>IF(SUM(C570)=0,"",C570*C571/C$46/365/$P$1)</f>
        <v/>
      </c>
      <c r="D572" s="1539" t="str">
        <f>IF(SUM(D570)=0,"",D570*D571/D$46/365/$P$1)</f>
        <v/>
      </c>
      <c r="E572" s="1539" t="str">
        <f>IF(SUM(E570)=0,"",E570*E571/E$46/365/$P$1)</f>
        <v/>
      </c>
      <c r="F572" s="1539" t="str">
        <f>IF(SUM(F570)=0,"",F570*F571/F$46/365/$P$1)</f>
        <v/>
      </c>
      <c r="G572" s="1431"/>
      <c r="H572" s="1539">
        <f>IF(H$46=0,"",H570*SUM($D571)/H$46/365/$P$1)</f>
        <v>6.4452444981512964E-3</v>
      </c>
      <c r="I572" s="1539">
        <f>IF(I$46=0,"",I570*SUM($D571)/I$46/365/$P$1)</f>
        <v>6.4452444981512964E-3</v>
      </c>
      <c r="J572" s="1539">
        <f>IF(J$46=0,"",J570*SUM($D571)/J$46/365/$P$1)</f>
        <v>6.4452444981512964E-3</v>
      </c>
      <c r="K572" s="1539">
        <f>IF(K$46=0,"",K570*SUM($D571)/K$46/365/$P$1)</f>
        <v>6.4452444981512973E-3</v>
      </c>
      <c r="L572" s="1431"/>
      <c r="M572" s="1484">
        <f>IF(SUM(H572)=SUM(C572),"",SUM(H572)-SUM(C572))</f>
        <v>6.4452444981512964E-3</v>
      </c>
      <c r="N572" s="1484">
        <f>IF(SUM(I572)=SUM(D572),"",SUM(I572)-SUM(D572))</f>
        <v>6.4452444981512964E-3</v>
      </c>
      <c r="O572" s="1484">
        <f>IF(SUM(J572)=SUM(E572),"",SUM(J572)-SUM(E572))</f>
        <v>6.4452444981512964E-3</v>
      </c>
      <c r="P572" s="1484">
        <f>IF(SUM(K572)=SUM(F572),"",SUM(K572)-SUM(F572))</f>
        <v>6.4452444981512973E-3</v>
      </c>
      <c r="Q572" s="1464"/>
      <c r="R572" s="1402"/>
      <c r="S572" s="1403"/>
      <c r="T572" s="1403"/>
      <c r="U572" s="1394">
        <v>572</v>
      </c>
      <c r="V572" s="1421"/>
    </row>
    <row r="573" spans="1:22" ht="15.75" customHeight="1">
      <c r="A573" s="1532" t="s">
        <v>288</v>
      </c>
      <c r="B573" s="1431"/>
      <c r="C573" s="1444" t="str">
        <f>IF(Data!BV573="","",Data!BV573)</f>
        <v/>
      </c>
      <c r="D573" s="1444" t="str">
        <f>IF(Data!BW573="","",Data!BW573)</f>
        <v/>
      </c>
      <c r="E573" s="1444" t="str">
        <f>IF(Data!BX573="","",Data!BX573)</f>
        <v/>
      </c>
      <c r="F573" s="1444" t="str">
        <f>IF(Data!BY573="","",Data!BY573)</f>
        <v/>
      </c>
      <c r="G573" s="1431"/>
      <c r="H573" s="1536">
        <f>$I573</f>
        <v>5.9211901121304793</v>
      </c>
      <c r="I573" s="1536">
        <f>IF(SUM($D573)=0,IF(SUM($C573)=0,IF(SUM($E573)=0,IF(SUM($F573)=0,'Exp factors'!$H$57,SUM($F573)),SUM($E573)),SUM($C573)),SUM($D573))</f>
        <v>5.9211901121304793</v>
      </c>
      <c r="J573" s="1536">
        <f>$I573</f>
        <v>5.9211901121304793</v>
      </c>
      <c r="K573" s="1536">
        <f>$I573</f>
        <v>5.9211901121304793</v>
      </c>
      <c r="L573" s="1431"/>
      <c r="M573" s="1427"/>
      <c r="N573" s="1427"/>
      <c r="O573" s="1427"/>
      <c r="P573" s="1427"/>
      <c r="Q573" s="1464"/>
      <c r="R573" s="1402"/>
      <c r="S573" s="1403"/>
      <c r="T573" s="1403"/>
      <c r="U573" s="1394">
        <v>573</v>
      </c>
      <c r="V573" s="1421"/>
    </row>
    <row r="574" spans="1:22" ht="15.75" customHeight="1">
      <c r="A574" s="1429" t="s">
        <v>286</v>
      </c>
      <c r="B574" s="1431"/>
      <c r="C574" s="1540" t="str">
        <f>IF(C573="","",C570*C573)</f>
        <v/>
      </c>
      <c r="D574" s="1540" t="str">
        <f>IF(D573="","",D570*D573)</f>
        <v/>
      </c>
      <c r="E574" s="1540" t="str">
        <f>IF(E573="","",E570*E573)</f>
        <v/>
      </c>
      <c r="F574" s="1540" t="str">
        <f>IF(F573="","",F570*F573)</f>
        <v/>
      </c>
      <c r="G574" s="1431"/>
      <c r="H574" s="1540">
        <f>IF(H$46=0,"",IF($D573="",H570*H573,H570*$D573))</f>
        <v>201.91738862798098</v>
      </c>
      <c r="I574" s="1540">
        <f t="shared" ref="I574:K574" si="70">IF(I$46=0,"",IF($D573="",I570*I573,I570*$D573))</f>
        <v>201.91738862798098</v>
      </c>
      <c r="J574" s="1540">
        <f t="shared" si="70"/>
        <v>201.91738862798098</v>
      </c>
      <c r="K574" s="1540">
        <f t="shared" si="70"/>
        <v>227.1570622064786</v>
      </c>
      <c r="L574" s="1431"/>
      <c r="M574" s="1463">
        <f>IF(SUM(H574)=SUM(C574),"",SUM(H574)-SUM(C574))</f>
        <v>201.91738862798098</v>
      </c>
      <c r="N574" s="1463">
        <f>IF(SUM(I574)=SUM(D574),"",SUM(I574)-SUM(D574))</f>
        <v>201.91738862798098</v>
      </c>
      <c r="O574" s="1463">
        <f>IF(SUM(J574)=SUM(E574),"",SUM(J574)-SUM(E574))</f>
        <v>201.91738862798098</v>
      </c>
      <c r="P574" s="1463">
        <f>IF(SUM(K574)=SUM(F574),"",SUM(K574)-SUM(F574))</f>
        <v>227.1570622064786</v>
      </c>
      <c r="Q574" s="1464" t="str">
        <f>[1]ExpFactors!$I$63</f>
        <v>fpl</v>
      </c>
      <c r="R574" s="1402"/>
      <c r="S574" s="1403"/>
      <c r="T574" s="1403"/>
      <c r="U574" s="1394">
        <v>574</v>
      </c>
      <c r="V574" s="1421"/>
    </row>
    <row r="575" spans="1:22" ht="15.75" customHeight="1">
      <c r="A575" s="1541" t="str">
        <f>IF(Data!A575="","",Data!A575)</f>
        <v>Fresh cabbage purchase</v>
      </c>
      <c r="B575" s="1431"/>
      <c r="C575" s="1444" t="str">
        <f>IF(Data!BV575="","",Data!BV575)</f>
        <v/>
      </c>
      <c r="D575" s="1444" t="str">
        <f>IF(Data!BW575="","",Data!BW575)</f>
        <v/>
      </c>
      <c r="E575" s="1444" t="str">
        <f>IF(Data!BX575="","",Data!BX575)</f>
        <v/>
      </c>
      <c r="F575" s="1444" t="str">
        <f>IF(Data!BY575="","",Data!BY575)</f>
        <v/>
      </c>
      <c r="G575" s="1431"/>
      <c r="H575" s="1533">
        <f>IF(H$46="","",IF('Exp factors'!$B58="poor",'Exp factors'!$G$58*H$46/H576,SUM(C575)*'Exp factors'!C$58))</f>
        <v>3.875520439243894</v>
      </c>
      <c r="I575" s="1533">
        <f>IF(I$46="","",IF('Exp factors'!$B58="poor",'Exp factors'!$G$58*I$46/I576,SUM(D575)*'Exp factors'!D$58))</f>
        <v>3.875520439243894</v>
      </c>
      <c r="J575" s="1533">
        <f>IF(J$46="","",IF('Exp factors'!$B58="poor",'Exp factors'!$G$58*J$46/J576,SUM(E575)*'Exp factors'!E$58))</f>
        <v>3.875520439243894</v>
      </c>
      <c r="K575" s="1533">
        <f>IF(K$46="","",IF('Exp factors'!$B58="poor",'Exp factors'!$G$58*K$46/K576,SUM(F575)*'Exp factors'!F$58))</f>
        <v>4.359960494149381</v>
      </c>
      <c r="L575" s="1431"/>
      <c r="M575" s="1427"/>
      <c r="N575" s="1427"/>
      <c r="O575" s="1427"/>
      <c r="P575" s="1427"/>
      <c r="Q575" s="1464"/>
      <c r="R575" s="1402"/>
      <c r="S575" s="1403"/>
      <c r="T575" s="1403"/>
      <c r="U575" s="1394">
        <v>575</v>
      </c>
      <c r="V575" s="1421"/>
    </row>
    <row r="576" spans="1:22" ht="15.75" customHeight="1">
      <c r="A576" s="1429" t="s">
        <v>289</v>
      </c>
      <c r="B576" s="1431"/>
      <c r="C576" s="1444" t="str">
        <f>IF(Data!BV576="","",Data!BV576)</f>
        <v/>
      </c>
      <c r="D576" s="1444" t="str">
        <f>IF(Data!BW576="","",Data!BW576)</f>
        <v/>
      </c>
      <c r="E576" s="1444" t="str">
        <f>IF(Data!BX576="","",Data!BX576)</f>
        <v/>
      </c>
      <c r="F576" s="1444" t="str">
        <f>IF(Data!BY576="","",Data!BY576)</f>
        <v/>
      </c>
      <c r="G576" s="1431"/>
      <c r="H576" s="1534">
        <f>I576</f>
        <v>12</v>
      </c>
      <c r="I576" s="1534">
        <f>IF(SUM(D576)=0,IF(SUM(C576)=0,IF(SUM(E576)=0,IF(SUM(F576)=0,12,SUM(F576)),SUM(E576)),SUM(C576)),SUM(D576))</f>
        <v>12</v>
      </c>
      <c r="J576" s="1534">
        <f>I576</f>
        <v>12</v>
      </c>
      <c r="K576" s="1534">
        <f>I576</f>
        <v>12</v>
      </c>
      <c r="L576" s="1431"/>
      <c r="M576" s="1427"/>
      <c r="N576" s="1427"/>
      <c r="O576" s="1427"/>
      <c r="P576" s="1427"/>
      <c r="Q576" s="1464"/>
      <c r="R576" s="1402"/>
      <c r="S576" s="1403"/>
      <c r="T576" s="1403"/>
      <c r="U576" s="1394">
        <v>576</v>
      </c>
      <c r="V576" s="1421"/>
    </row>
    <row r="577" spans="1:22" ht="15.75" customHeight="1">
      <c r="A577" s="1511" t="s">
        <v>292</v>
      </c>
      <c r="B577" s="1431"/>
      <c r="C577" s="1456">
        <f>IF(Data!BV577="","",Data!BV577)</f>
        <v>962.96399999999994</v>
      </c>
      <c r="D577" s="1456">
        <f>IF(Data!BW577="","",Data!BW577)</f>
        <v>962.96399999999994</v>
      </c>
      <c r="E577" s="1456">
        <f>IF(Data!BX577="","",Data!BX577)</f>
        <v>962.96399999999994</v>
      </c>
      <c r="F577" s="1456">
        <f>IF(Data!BY577="","",Data!BY577)</f>
        <v>962.96399999999994</v>
      </c>
      <c r="G577" s="1431"/>
      <c r="H577" s="1427"/>
      <c r="I577" s="1427"/>
      <c r="J577" s="1427"/>
      <c r="K577" s="1427"/>
      <c r="L577" s="1431"/>
      <c r="M577" s="1449"/>
      <c r="N577" s="1449"/>
      <c r="O577" s="1449"/>
      <c r="P577" s="1449"/>
      <c r="Q577" s="1464"/>
      <c r="R577" s="1402"/>
      <c r="S577" s="1403"/>
      <c r="T577" s="1403"/>
      <c r="U577" s="1394">
        <v>577</v>
      </c>
      <c r="V577" s="1421"/>
    </row>
    <row r="578" spans="1:22" ht="15.75" customHeight="1">
      <c r="A578" s="1429" t="s">
        <v>252</v>
      </c>
      <c r="B578" s="1431"/>
      <c r="C578" s="1539" t="str">
        <f>IF(SUM(C575)=0,"",C575*C576*C577/C$46/365/$P$1)</f>
        <v/>
      </c>
      <c r="D578" s="1539" t="str">
        <f>IF(SUM(D575)=0,"",D575*D576*D577/D$46/365/$P$1)</f>
        <v/>
      </c>
      <c r="E578" s="1539" t="str">
        <f>IF(SUM(E575)=0,"",E575*E576*E577/E$46/365/$P$1)</f>
        <v/>
      </c>
      <c r="F578" s="1539" t="str">
        <f>IF(SUM(F575)=0,"",F575*F576*F577/F$46/365/$P$1)</f>
        <v/>
      </c>
      <c r="G578" s="1431"/>
      <c r="H578" s="1539">
        <f>IF(H$46=0,"",H575*H576*SUM($D577)/H$46/365/$P$1)</f>
        <v>1.7428331246525793E-3</v>
      </c>
      <c r="I578" s="1539">
        <f>IF(I$46=0,"",I575*I576*SUM($D577)/I$46/365/$P$1)</f>
        <v>1.7428331246525793E-3</v>
      </c>
      <c r="J578" s="1539">
        <f>IF(J$46=0,"",J575*J576*SUM($D577)/J$46/365/$P$1)</f>
        <v>1.7428331246525793E-3</v>
      </c>
      <c r="K578" s="1539">
        <f>IF(K$46=0,"",K575*K576*SUM($D577)/K$46/365/$P$1)</f>
        <v>1.7428331246525798E-3</v>
      </c>
      <c r="L578" s="1431"/>
      <c r="M578" s="1484">
        <f>IF(SUM(H578)=SUM(C578),"",SUM(H578)-SUM(C578))</f>
        <v>1.7428331246525793E-3</v>
      </c>
      <c r="N578" s="1484">
        <f>IF(SUM(I578)=SUM(D578),"",SUM(I578)-SUM(D578))</f>
        <v>1.7428331246525793E-3</v>
      </c>
      <c r="O578" s="1484">
        <f>IF(SUM(J578)=SUM(E578),"",SUM(J578)-SUM(E578))</f>
        <v>1.7428331246525793E-3</v>
      </c>
      <c r="P578" s="1484">
        <f>IF(SUM(K578)=SUM(F578),"",SUM(K578)-SUM(F578))</f>
        <v>1.7428331246525798E-3</v>
      </c>
      <c r="Q578" s="1464"/>
      <c r="R578" s="1402"/>
      <c r="S578" s="1403"/>
      <c r="T578" s="1403"/>
      <c r="U578" s="1394">
        <v>578</v>
      </c>
      <c r="V578" s="1421"/>
    </row>
    <row r="579" spans="1:22" ht="15.75" customHeight="1">
      <c r="A579" s="1532" t="s">
        <v>288</v>
      </c>
      <c r="B579" s="1431"/>
      <c r="C579" s="1444" t="str">
        <f>IF(Data!BV579="","",Data!BV579)</f>
        <v/>
      </c>
      <c r="D579" s="1444" t="str">
        <f>IF(Data!BW579="","",Data!BW579)</f>
        <v/>
      </c>
      <c r="E579" s="1444" t="str">
        <f>IF(Data!BX579="","",Data!BX579)</f>
        <v/>
      </c>
      <c r="F579" s="1444" t="str">
        <f>IF(Data!BY579="","",Data!BY579)</f>
        <v/>
      </c>
      <c r="G579" s="1431"/>
      <c r="H579" s="1536">
        <f>$I579</f>
        <v>8.9993857493857483</v>
      </c>
      <c r="I579" s="1536">
        <f>IF(SUM($D579)=0,IF(SUM($C579)=0,IF(SUM($E579)=0,IF(SUM($F579)=0,'Exp factors'!$H$58,SUM($F579)),SUM($E579)),SUM($C579)),SUM($D579))</f>
        <v>8.9993857493857483</v>
      </c>
      <c r="J579" s="1536">
        <f>$I579</f>
        <v>8.9993857493857483</v>
      </c>
      <c r="K579" s="1536">
        <f>$I579</f>
        <v>8.9993857493857483</v>
      </c>
      <c r="L579" s="1431"/>
      <c r="M579" s="1427"/>
      <c r="N579" s="1427"/>
      <c r="O579" s="1427"/>
      <c r="P579" s="1427"/>
      <c r="Q579" s="1464"/>
      <c r="R579" s="1402"/>
      <c r="S579" s="1403"/>
      <c r="T579" s="1403"/>
      <c r="U579" s="1394">
        <v>579</v>
      </c>
      <c r="V579" s="1421"/>
    </row>
    <row r="580" spans="1:22" ht="15.75" customHeight="1">
      <c r="A580" s="1429" t="s">
        <v>286</v>
      </c>
      <c r="B580" s="1431"/>
      <c r="C580" s="1540" t="str">
        <f>IF(C579="","",C575*C576*C579)</f>
        <v/>
      </c>
      <c r="D580" s="1540" t="str">
        <f>IF(D579="","",D575*D576*D579)</f>
        <v/>
      </c>
      <c r="E580" s="1540" t="str">
        <f>IF(E579="","",E575*E576*E579)</f>
        <v/>
      </c>
      <c r="F580" s="1540" t="str">
        <f>IF(F579="","",F575*F576*F579)</f>
        <v/>
      </c>
      <c r="G580" s="1431"/>
      <c r="H580" s="1540">
        <f>IF(H$46=0,"",H575*H576*H579)</f>
        <v>418.52764094861635</v>
      </c>
      <c r="I580" s="1540">
        <f t="shared" ref="I580:K580" si="71">IF(I$46=0,"",I575*I576*I579)</f>
        <v>418.52764094861635</v>
      </c>
      <c r="J580" s="1540">
        <f t="shared" si="71"/>
        <v>418.52764094861635</v>
      </c>
      <c r="K580" s="1540">
        <f t="shared" si="71"/>
        <v>470.84359606719346</v>
      </c>
      <c r="L580" s="1431"/>
      <c r="M580" s="1463">
        <f>IF(SUM(H580)=SUM(C580),"",SUM(H580)-SUM(C580))</f>
        <v>418.52764094861635</v>
      </c>
      <c r="N580" s="1463">
        <f>IF(SUM(I580)=SUM(D580),"",SUM(I580)-SUM(D580))</f>
        <v>418.52764094861635</v>
      </c>
      <c r="O580" s="1463">
        <f>IF(SUM(J580)=SUM(E580),"",SUM(J580)-SUM(E580))</f>
        <v>418.52764094861635</v>
      </c>
      <c r="P580" s="1463">
        <f>IF(SUM(K580)=SUM(F580),"",SUM(K580)-SUM(F580))</f>
        <v>470.84359606719346</v>
      </c>
      <c r="Q580" s="1464" t="str">
        <f>[1]ExpFactors!$I$63</f>
        <v>fpl</v>
      </c>
      <c r="R580" s="1402"/>
      <c r="S580" s="1403"/>
      <c r="T580" s="1403"/>
      <c r="U580" s="1394">
        <v>580</v>
      </c>
      <c r="V580" s="1421"/>
    </row>
    <row r="581" spans="1:22" ht="15.75" customHeight="1">
      <c r="A581" s="1541" t="str">
        <f>IF(Data!A581="","",Data!A581)</f>
        <v>Burger purchase</v>
      </c>
      <c r="B581" s="1431"/>
      <c r="C581" s="1444" t="str">
        <f>IF(Data!BV581="","",Data!BV581)</f>
        <v/>
      </c>
      <c r="D581" s="1444" t="str">
        <f>IF(Data!BW581="","",Data!BW581)</f>
        <v/>
      </c>
      <c r="E581" s="1444" t="str">
        <f>IF(Data!BX581="","",Data!BX581)</f>
        <v/>
      </c>
      <c r="F581" s="1444" t="str">
        <f>IF(Data!BY581="","",Data!BY581)</f>
        <v/>
      </c>
      <c r="G581" s="1431"/>
      <c r="H581" s="1533">
        <f>IF(H$46="","",IF('Exp factors'!$B59="poor",'Exp factors'!$G$59*H$46/H582,SUM(C581)*'Exp factors'!C$59))</f>
        <v>3.4662905418105794</v>
      </c>
      <c r="I581" s="1533">
        <f>IF(I$46="","",IF('Exp factors'!$B59="poor",'Exp factors'!$G$59*I$46/I582,SUM(D581)*'Exp factors'!D$59))</f>
        <v>3.4662905418105794</v>
      </c>
      <c r="J581" s="1533">
        <f>IF(J$46="","",IF('Exp factors'!$B59="poor",'Exp factors'!$G$59*J$46/J582,SUM(E581)*'Exp factors'!E$59))</f>
        <v>3.4662905418105794</v>
      </c>
      <c r="K581" s="1533">
        <f>IF(K$46="","",IF('Exp factors'!$B59="poor",'Exp factors'!$G$59*K$46/K582,SUM(F581)*'Exp factors'!F$59))</f>
        <v>3.8995768595369018</v>
      </c>
      <c r="L581" s="1431"/>
      <c r="M581" s="1427"/>
      <c r="N581" s="1427"/>
      <c r="O581" s="1427"/>
      <c r="P581" s="1427"/>
      <c r="Q581" s="1464"/>
      <c r="R581" s="1402"/>
      <c r="S581" s="1403"/>
      <c r="T581" s="1403"/>
      <c r="U581" s="1394">
        <v>581</v>
      </c>
      <c r="V581" s="1421"/>
    </row>
    <row r="582" spans="1:22" ht="15.75" customHeight="1">
      <c r="A582" s="1429" t="s">
        <v>289</v>
      </c>
      <c r="B582" s="1431"/>
      <c r="C582" s="1444" t="str">
        <f>IF(Data!BV582="","",Data!BV582)</f>
        <v/>
      </c>
      <c r="D582" s="1444" t="str">
        <f>IF(Data!BW582="","",Data!BW582)</f>
        <v/>
      </c>
      <c r="E582" s="1444" t="str">
        <f>IF(Data!BX582="","",Data!BX582)</f>
        <v/>
      </c>
      <c r="F582" s="1444" t="str">
        <f>IF(Data!BY582="","",Data!BY582)</f>
        <v/>
      </c>
      <c r="G582" s="1431"/>
      <c r="H582" s="1534">
        <f>I582</f>
        <v>12</v>
      </c>
      <c r="I582" s="1534">
        <f>IF(SUM(D582)=0,IF(SUM(C582)=0,IF(SUM(E582)=0,IF(SUM(F582)=0,12,SUM(F582)),SUM(E582)),SUM(C582)),SUM(D582))</f>
        <v>12</v>
      </c>
      <c r="J582" s="1534">
        <f>I582</f>
        <v>12</v>
      </c>
      <c r="K582" s="1534">
        <f>I582</f>
        <v>12</v>
      </c>
      <c r="L582" s="1431"/>
      <c r="M582" s="1427"/>
      <c r="N582" s="1427"/>
      <c r="O582" s="1427"/>
      <c r="P582" s="1427"/>
      <c r="Q582" s="1464"/>
      <c r="R582" s="1402"/>
      <c r="S582" s="1403"/>
      <c r="T582" s="1403"/>
      <c r="U582" s="1394">
        <v>582</v>
      </c>
      <c r="V582" s="1421"/>
    </row>
    <row r="583" spans="1:22" ht="15.75" customHeight="1">
      <c r="A583" s="1511" t="s">
        <v>292</v>
      </c>
      <c r="B583" s="1431"/>
      <c r="C583" s="1456">
        <f>IF(Data!BV583="","",Data!BV583)</f>
        <v>11178.755999999999</v>
      </c>
      <c r="D583" s="1456">
        <f>IF(Data!BW583="","",Data!BW583)</f>
        <v>11178.755999999999</v>
      </c>
      <c r="E583" s="1456">
        <f>IF(Data!BX583="","",Data!BX583)</f>
        <v>11178.755999999999</v>
      </c>
      <c r="F583" s="1456">
        <f>IF(Data!BY583="","",Data!BY583)</f>
        <v>11178.755999999999</v>
      </c>
      <c r="G583" s="1431"/>
      <c r="H583" s="1427"/>
      <c r="I583" s="1427"/>
      <c r="J583" s="1427"/>
      <c r="K583" s="1427"/>
      <c r="L583" s="1431"/>
      <c r="M583" s="1449"/>
      <c r="N583" s="1449"/>
      <c r="O583" s="1449"/>
      <c r="P583" s="1449"/>
      <c r="Q583" s="1464"/>
      <c r="R583" s="1402"/>
      <c r="S583" s="1403"/>
      <c r="T583" s="1403"/>
      <c r="U583" s="1394">
        <v>583</v>
      </c>
      <c r="V583" s="1421"/>
    </row>
    <row r="584" spans="1:22" ht="15.75" customHeight="1">
      <c r="A584" s="1429" t="s">
        <v>252</v>
      </c>
      <c r="B584" s="1431"/>
      <c r="C584" s="1539" t="str">
        <f>IF(SUM(C581)=0,"",C581*C582*C583/C$46/365/$P$1)</f>
        <v/>
      </c>
      <c r="D584" s="1539" t="str">
        <f>IF(SUM(D581)=0,"",D581*D582*D583/D$46/365/$P$1)</f>
        <v/>
      </c>
      <c r="E584" s="1539" t="str">
        <f>IF(SUM(E581)=0,"",E581*E582*E583/E$46/365/$P$1)</f>
        <v/>
      </c>
      <c r="F584" s="1539" t="str">
        <f>IF(SUM(F581)=0,"",F581*F582*F583/F$46/365/$P$1)</f>
        <v/>
      </c>
      <c r="G584" s="1431"/>
      <c r="H584" s="1539">
        <f>IF(H$46=0,"",H581*H582*SUM($D583)/H$46/365/$P$1)</f>
        <v>1.8095648906604107E-2</v>
      </c>
      <c r="I584" s="1539">
        <f>IF(I$46=0,"",I581*I582*SUM($D583)/I$46/365/$P$1)</f>
        <v>1.8095648906604107E-2</v>
      </c>
      <c r="J584" s="1539">
        <f>IF(J$46=0,"",J581*J582*SUM($D583)/J$46/365/$P$1)</f>
        <v>1.8095648906604107E-2</v>
      </c>
      <c r="K584" s="1539">
        <f>IF(K$46=0,"",K581*K582*SUM($D583)/K$46/365/$P$1)</f>
        <v>1.8095648906604107E-2</v>
      </c>
      <c r="L584" s="1431"/>
      <c r="M584" s="1484">
        <f>IF(SUM(H584)=SUM(C584),"",SUM(H584)-SUM(C584))</f>
        <v>1.8095648906604107E-2</v>
      </c>
      <c r="N584" s="1484">
        <f>IF(SUM(I584)=SUM(D584),"",SUM(I584)-SUM(D584))</f>
        <v>1.8095648906604107E-2</v>
      </c>
      <c r="O584" s="1484">
        <f>IF(SUM(J584)=SUM(E584),"",SUM(J584)-SUM(E584))</f>
        <v>1.8095648906604107E-2</v>
      </c>
      <c r="P584" s="1484">
        <f>IF(SUM(K584)=SUM(F584),"",SUM(K584)-SUM(F584))</f>
        <v>1.8095648906604107E-2</v>
      </c>
      <c r="Q584" s="1464"/>
      <c r="R584" s="1402"/>
      <c r="S584" s="1403"/>
      <c r="T584" s="1403"/>
      <c r="U584" s="1394">
        <v>584</v>
      </c>
      <c r="V584" s="1421"/>
    </row>
    <row r="585" spans="1:22" ht="15.75" customHeight="1">
      <c r="A585" s="1532" t="s">
        <v>288</v>
      </c>
      <c r="B585" s="1431"/>
      <c r="C585" s="1444" t="str">
        <f>IF(Data!BV585="","",Data!BV585)</f>
        <v/>
      </c>
      <c r="D585" s="1444" t="str">
        <f>IF(Data!BW585="","",Data!BW585)</f>
        <v/>
      </c>
      <c r="E585" s="1444" t="str">
        <f>IF(Data!BX585="","",Data!BX585)</f>
        <v/>
      </c>
      <c r="F585" s="1444" t="str">
        <f>IF(Data!BY585="","",Data!BY585)</f>
        <v/>
      </c>
      <c r="G585" s="1431"/>
      <c r="H585" s="1536">
        <f>$I585</f>
        <v>58.337174721189591</v>
      </c>
      <c r="I585" s="1536">
        <f>IF(SUM($D585)=0,IF(SUM($C585)=0,IF(SUM($E585)=0,IF(SUM($F585)=0,'Exp factors'!$H$59,SUM($F585)),SUM($E585)),SUM($C585)),SUM($D585))</f>
        <v>58.337174721189591</v>
      </c>
      <c r="J585" s="1536">
        <f>$I585</f>
        <v>58.337174721189591</v>
      </c>
      <c r="K585" s="1536">
        <f>$I585</f>
        <v>58.337174721189591</v>
      </c>
      <c r="L585" s="1431"/>
      <c r="M585" s="1427"/>
      <c r="N585" s="1427"/>
      <c r="O585" s="1427"/>
      <c r="P585" s="1427"/>
      <c r="Q585" s="1464"/>
      <c r="R585" s="1402"/>
      <c r="S585" s="1403"/>
      <c r="T585" s="1403"/>
      <c r="U585" s="1394">
        <v>585</v>
      </c>
      <c r="V585" s="1421"/>
    </row>
    <row r="586" spans="1:22" ht="15.75" customHeight="1">
      <c r="A586" s="1429" t="s">
        <v>286</v>
      </c>
      <c r="B586" s="1431"/>
      <c r="C586" s="1540" t="str">
        <f>IF(C585="","",C581*C582*C585)</f>
        <v/>
      </c>
      <c r="D586" s="1540" t="str">
        <f>IF(D585="","",D581*D582*D585)</f>
        <v/>
      </c>
      <c r="E586" s="1540" t="str">
        <f>IF(E585="","",E581*E582*E585)</f>
        <v/>
      </c>
      <c r="F586" s="1540" t="str">
        <f>IF(F585="","",F581*F582*F585)</f>
        <v/>
      </c>
      <c r="G586" s="1431"/>
      <c r="H586" s="1540">
        <f>IF(H$46=0,"",H581*H582*H585)</f>
        <v>2426.5631636641283</v>
      </c>
      <c r="I586" s="1540">
        <f t="shared" ref="I586" si="72">IF(I$46=0,"",I581*I582*I585)</f>
        <v>2426.5631636641283</v>
      </c>
      <c r="J586" s="1540">
        <f t="shared" ref="J586" si="73">IF(J$46=0,"",J581*J582*J585)</f>
        <v>2426.5631636641283</v>
      </c>
      <c r="K586" s="1540">
        <f t="shared" ref="K586" si="74">IF(K$46=0,"",K581*K582*K585)</f>
        <v>2729.8835591221446</v>
      </c>
      <c r="L586" s="1431"/>
      <c r="M586" s="1463">
        <f>IF(SUM(H586)=SUM(C586),"",SUM(H586)-SUM(C586))</f>
        <v>2426.5631636641283</v>
      </c>
      <c r="N586" s="1463">
        <f>IF(SUM(I586)=SUM(D586),"",SUM(I586)-SUM(D586))</f>
        <v>2426.5631636641283</v>
      </c>
      <c r="O586" s="1463">
        <f>IF(SUM(J586)=SUM(E586),"",SUM(J586)-SUM(E586))</f>
        <v>2426.5631636641283</v>
      </c>
      <c r="P586" s="1463">
        <f>IF(SUM(K586)=SUM(F586),"",SUM(K586)-SUM(F586))</f>
        <v>2729.8835591221446</v>
      </c>
      <c r="Q586" s="1464" t="str">
        <f>[1]ExpFactors!$I$63</f>
        <v>fpl</v>
      </c>
      <c r="R586" s="1402"/>
      <c r="S586" s="1403"/>
      <c r="T586" s="1403"/>
      <c r="U586" s="1394">
        <v>586</v>
      </c>
      <c r="V586" s="1421"/>
    </row>
    <row r="587" spans="1:22" ht="15.75" customHeight="1">
      <c r="A587" s="1541" t="str">
        <f>IF(Data!A587="","",Data!A587)</f>
        <v>Powdered soup purchase</v>
      </c>
      <c r="B587" s="1431"/>
      <c r="C587" s="1444" t="str">
        <f>IF(Data!BV587="","",Data!BV587)</f>
        <v/>
      </c>
      <c r="D587" s="1444" t="str">
        <f>IF(Data!BW587="","",Data!BW587)</f>
        <v/>
      </c>
      <c r="E587" s="1444" t="str">
        <f>IF(Data!BX587="","",Data!BX587)</f>
        <v/>
      </c>
      <c r="F587" s="1444">
        <f>IF(Data!BY587="","",Data!BY587)</f>
        <v>1</v>
      </c>
      <c r="G587" s="1431"/>
      <c r="H587" s="1533">
        <f>IF(H$46="","",IF('Exp factors'!$B60="poor",'Exp factors'!$G$60*H$46/H588,SUM(C587)*'Exp factors'!C$60))</f>
        <v>0.28434800043521419</v>
      </c>
      <c r="I587" s="1533">
        <f>IF(I$46="","",IF('Exp factors'!$B60="poor",'Exp factors'!$G$60*I$46/I588,SUM(D587)*'Exp factors'!D$60))</f>
        <v>0.28434800043521419</v>
      </c>
      <c r="J587" s="1533">
        <f>IF(J$46="","",IF('Exp factors'!$B60="poor",'Exp factors'!$G$60*J$46/J588,SUM(E587)*'Exp factors'!E$60))</f>
        <v>0.28434800043521419</v>
      </c>
      <c r="K587" s="1533">
        <f>IF(K$46="","",IF('Exp factors'!$B60="poor",'Exp factors'!$G$60*K$46/K588,SUM(F587)*'Exp factors'!F$60))</f>
        <v>0.31989150048961595</v>
      </c>
      <c r="L587" s="1431"/>
      <c r="M587" s="1427"/>
      <c r="N587" s="1427"/>
      <c r="O587" s="1427"/>
      <c r="P587" s="1427"/>
      <c r="Q587" s="1464"/>
      <c r="R587" s="1402"/>
      <c r="S587" s="1403"/>
      <c r="T587" s="1403"/>
      <c r="U587" s="1394">
        <v>587</v>
      </c>
      <c r="V587" s="1421"/>
    </row>
    <row r="588" spans="1:22" ht="15.75" customHeight="1">
      <c r="A588" s="1429" t="s">
        <v>289</v>
      </c>
      <c r="B588" s="1431"/>
      <c r="C588" s="1444" t="str">
        <f>IF(Data!BV588="","",Data!BV588)</f>
        <v/>
      </c>
      <c r="D588" s="1444" t="str">
        <f>IF(Data!BW588="","",Data!BW588)</f>
        <v/>
      </c>
      <c r="E588" s="1444" t="str">
        <f>IF(Data!BX588="","",Data!BX588)</f>
        <v/>
      </c>
      <c r="F588" s="1444">
        <f>IF(Data!BY588="","",Data!BY588)</f>
        <v>12</v>
      </c>
      <c r="G588" s="1431"/>
      <c r="H588" s="1534">
        <f>I588</f>
        <v>12</v>
      </c>
      <c r="I588" s="1534">
        <f>IF(SUM(D588)=0,IF(SUM(C588)=0,IF(SUM(E588)=0,IF(SUM(F588)=0,12,SUM(F588)),SUM(E588)),SUM(C588)),SUM(D588))</f>
        <v>12</v>
      </c>
      <c r="J588" s="1534">
        <f>I588</f>
        <v>12</v>
      </c>
      <c r="K588" s="1534">
        <f>I588</f>
        <v>12</v>
      </c>
      <c r="L588" s="1431"/>
      <c r="M588" s="1427"/>
      <c r="N588" s="1427"/>
      <c r="O588" s="1427"/>
      <c r="P588" s="1427"/>
      <c r="Q588" s="1464"/>
      <c r="R588" s="1402"/>
      <c r="S588" s="1403"/>
      <c r="T588" s="1403"/>
      <c r="U588" s="1394">
        <v>588</v>
      </c>
      <c r="V588" s="1421"/>
    </row>
    <row r="589" spans="1:22" ht="15.75" customHeight="1">
      <c r="A589" s="1511" t="s">
        <v>292</v>
      </c>
      <c r="B589" s="1431"/>
      <c r="C589" s="1456">
        <f>IF(Data!BV589="","",Data!BV589)</f>
        <v>13908.5496</v>
      </c>
      <c r="D589" s="1456">
        <f>IF(Data!BW589="","",Data!BW589)</f>
        <v>13908.5496</v>
      </c>
      <c r="E589" s="1456">
        <f>IF(Data!BX589="","",Data!BX589)</f>
        <v>13908.5496</v>
      </c>
      <c r="F589" s="1456">
        <f>IF(Data!BY589="","",Data!BY589)</f>
        <v>13908.5496</v>
      </c>
      <c r="G589" s="1431"/>
      <c r="H589" s="1427"/>
      <c r="I589" s="1427"/>
      <c r="J589" s="1427"/>
      <c r="K589" s="1427"/>
      <c r="L589" s="1431"/>
      <c r="M589" s="1449"/>
      <c r="N589" s="1449"/>
      <c r="O589" s="1449"/>
      <c r="P589" s="1449"/>
      <c r="Q589" s="1464"/>
      <c r="R589" s="1402"/>
      <c r="S589" s="1403"/>
      <c r="T589" s="1403"/>
      <c r="U589" s="1394">
        <v>589</v>
      </c>
      <c r="V589" s="1421"/>
    </row>
    <row r="590" spans="1:22" ht="15.75" customHeight="1">
      <c r="A590" s="1429" t="s">
        <v>252</v>
      </c>
      <c r="B590" s="1431"/>
      <c r="C590" s="1539" t="str">
        <f>IF(SUM(C587)=0,"",C587*C588*C589/C$46/365/$P$1)</f>
        <v/>
      </c>
      <c r="D590" s="1539" t="str">
        <f>IF(SUM(D587)=0,"",D587*D588*D589/D$46/365/$P$1)</f>
        <v/>
      </c>
      <c r="E590" s="1539" t="str">
        <f>IF(SUM(E587)=0,"",E587*E588*E589/E$46/365/$P$1)</f>
        <v/>
      </c>
      <c r="F590" s="1539">
        <f>IF(SUM(F587)=0,"",F587*F588*F589/F$46/365/$P$1)</f>
        <v>5.7735780821917817E-3</v>
      </c>
      <c r="G590" s="1431"/>
      <c r="H590" s="1539">
        <f>IF(H$46=0,"",H587*H588*SUM($D589)/H$46/365/$P$1)</f>
        <v>1.8469185559062884E-3</v>
      </c>
      <c r="I590" s="1539">
        <f>IF(I$46=0,"",I587*I588*SUM($D589)/I$46/365/$P$1)</f>
        <v>1.8469185559062884E-3</v>
      </c>
      <c r="J590" s="1539">
        <f>IF(J$46=0,"",J587*J588*SUM($D589)/J$46/365/$P$1)</f>
        <v>1.8469185559062884E-3</v>
      </c>
      <c r="K590" s="1539">
        <f>IF(K$46=0,"",K587*K588*SUM($D589)/K$46/365/$P$1)</f>
        <v>1.8469185559062884E-3</v>
      </c>
      <c r="L590" s="1431"/>
      <c r="M590" s="1484">
        <f>IF(SUM(H590)=SUM(C590),"",SUM(H590)-SUM(C590))</f>
        <v>1.8469185559062884E-3</v>
      </c>
      <c r="N590" s="1484">
        <f>IF(SUM(I590)=SUM(D590),"",SUM(I590)-SUM(D590))</f>
        <v>1.8469185559062884E-3</v>
      </c>
      <c r="O590" s="1484">
        <f>IF(SUM(J590)=SUM(E590),"",SUM(J590)-SUM(E590))</f>
        <v>1.8469185559062884E-3</v>
      </c>
      <c r="P590" s="1484">
        <f>IF(SUM(K590)=SUM(F590),"",SUM(K590)-SUM(F590))</f>
        <v>-3.9266595262854934E-3</v>
      </c>
      <c r="Q590" s="1464"/>
      <c r="R590" s="1402"/>
      <c r="S590" s="1403"/>
      <c r="T590" s="1403"/>
      <c r="U590" s="1394">
        <v>590</v>
      </c>
      <c r="V590" s="1421"/>
    </row>
    <row r="591" spans="1:22" ht="15.75" customHeight="1">
      <c r="A591" s="1532" t="s">
        <v>288</v>
      </c>
      <c r="B591" s="1431"/>
      <c r="C591" s="1444" t="str">
        <f>IF(Data!BV591="","",Data!BV591)</f>
        <v/>
      </c>
      <c r="D591" s="1444" t="str">
        <f>IF(Data!BW591="","",Data!BW591)</f>
        <v/>
      </c>
      <c r="E591" s="1444" t="str">
        <f>IF(Data!BX591="","",Data!BX591)</f>
        <v/>
      </c>
      <c r="F591" s="1444">
        <f>IF(Data!BY591="","",Data!BY591)</f>
        <v>15</v>
      </c>
      <c r="G591" s="1431"/>
      <c r="H591" s="1536">
        <f>$I591</f>
        <v>15</v>
      </c>
      <c r="I591" s="1536">
        <f>IF(SUM($D591)=0,IF(SUM($C591)=0,IF(SUM($E591)=0,IF(SUM($F591)=0,'Exp factors'!$H$60,SUM($F591)),SUM($E591)),SUM($C591)),SUM($D591))</f>
        <v>15</v>
      </c>
      <c r="J591" s="1536">
        <f>$I591</f>
        <v>15</v>
      </c>
      <c r="K591" s="1536">
        <f>$I591</f>
        <v>15</v>
      </c>
      <c r="L591" s="1431"/>
      <c r="M591" s="1427"/>
      <c r="N591" s="1427"/>
      <c r="O591" s="1427"/>
      <c r="P591" s="1427"/>
      <c r="Q591" s="1464"/>
      <c r="R591" s="1402"/>
      <c r="S591" s="1403"/>
      <c r="T591" s="1403"/>
      <c r="U591" s="1394">
        <v>591</v>
      </c>
      <c r="V591" s="1421"/>
    </row>
    <row r="592" spans="1:22" ht="15.75" customHeight="1">
      <c r="A592" s="1429" t="s">
        <v>286</v>
      </c>
      <c r="B592" s="1431"/>
      <c r="C592" s="1540" t="str">
        <f>IF(C591="","",C587*C588*C591)</f>
        <v/>
      </c>
      <c r="D592" s="1540" t="str">
        <f>IF(D591="","",D587*D588*D591)</f>
        <v/>
      </c>
      <c r="E592" s="1540" t="str">
        <f>IF(E591="","",E587*E588*E591)</f>
        <v/>
      </c>
      <c r="F592" s="1540">
        <f>IF(F591="","",F587*F588*F591)</f>
        <v>180</v>
      </c>
      <c r="G592" s="1431"/>
      <c r="H592" s="1540">
        <f>IF(H$46=0,"",H587*H588*H591)</f>
        <v>51.182640078338558</v>
      </c>
      <c r="I592" s="1540">
        <f t="shared" ref="I592" si="75">IF(I$46=0,"",I587*I588*I591)</f>
        <v>51.182640078338558</v>
      </c>
      <c r="J592" s="1540">
        <f t="shared" ref="J592" si="76">IF(J$46=0,"",J587*J588*J591)</f>
        <v>51.182640078338558</v>
      </c>
      <c r="K592" s="1540">
        <f t="shared" ref="K592" si="77">IF(K$46=0,"",K587*K588*K591)</f>
        <v>57.580470088130873</v>
      </c>
      <c r="L592" s="1431"/>
      <c r="M592" s="1463">
        <f>IF(SUM(H592)=SUM(C592),"",SUM(H592)-SUM(C592))</f>
        <v>51.182640078338558</v>
      </c>
      <c r="N592" s="1463">
        <f>IF(SUM(I592)=SUM(D592),"",SUM(I592)-SUM(D592))</f>
        <v>51.182640078338558</v>
      </c>
      <c r="O592" s="1463">
        <f>IF(SUM(J592)=SUM(E592),"",SUM(J592)-SUM(E592))</f>
        <v>51.182640078338558</v>
      </c>
      <c r="P592" s="1463">
        <f>IF(SUM(K592)=SUM(F592),"",SUM(K592)-SUM(F592))</f>
        <v>-122.41952991186912</v>
      </c>
      <c r="Q592" s="1464" t="str">
        <f>[1]ExpFactors!$I$63</f>
        <v>fpl</v>
      </c>
      <c r="R592" s="1402"/>
      <c r="S592" s="1403"/>
      <c r="T592" s="1403"/>
      <c r="U592" s="1394">
        <v>592</v>
      </c>
      <c r="V592" s="1421"/>
    </row>
    <row r="593" spans="1:22" ht="15.75" customHeight="1">
      <c r="A593" s="1500" t="str">
        <f>IF(Data!A593="","",Data!A593)</f>
        <v>Dark green vegetable purchase</v>
      </c>
      <c r="B593" s="1431"/>
      <c r="C593" s="1444" t="str">
        <f>IF(Data!BV593="","",Data!BV593)</f>
        <v>kg</v>
      </c>
      <c r="D593" s="1444" t="str">
        <f>IF(Data!BW593="","",Data!BW593)</f>
        <v>kg</v>
      </c>
      <c r="E593" s="1444" t="str">
        <f>IF(Data!BX593="","",Data!BX593)</f>
        <v>kg</v>
      </c>
      <c r="F593" s="1444" t="str">
        <f>IF(Data!BY593="","",Data!BY593)</f>
        <v>kg</v>
      </c>
      <c r="G593" s="1431"/>
      <c r="H593" s="1427"/>
      <c r="I593" s="1427"/>
      <c r="J593" s="1427"/>
      <c r="K593" s="1427"/>
      <c r="L593" s="1431"/>
      <c r="M593" s="1427"/>
      <c r="N593" s="1427"/>
      <c r="O593" s="1427"/>
      <c r="P593" s="1427"/>
      <c r="Q593" s="1464"/>
      <c r="R593" s="1378"/>
      <c r="S593" s="1378"/>
      <c r="T593" s="1378"/>
      <c r="U593" s="1394">
        <v>593</v>
      </c>
      <c r="V593" s="1421"/>
    </row>
    <row r="594" spans="1:22" ht="15.75" customHeight="1">
      <c r="A594" s="1429" t="s">
        <v>293</v>
      </c>
      <c r="B594" s="1431"/>
      <c r="C594" s="1444" t="str">
        <f>IF(Data!BV594="","",Data!BV594)</f>
        <v/>
      </c>
      <c r="D594" s="1444" t="str">
        <f>IF(Data!BW594="","",Data!BW594)</f>
        <v/>
      </c>
      <c r="E594" s="1444" t="str">
        <f>IF(Data!BX594="","",Data!BX594)</f>
        <v/>
      </c>
      <c r="F594" s="1444" t="str">
        <f>IF(Data!BY594="","",Data!BY594)</f>
        <v/>
      </c>
      <c r="G594" s="1431"/>
      <c r="H594" s="1533">
        <f>IF(H$46="","",IF('Exp factors'!$B65="poor",'Exp factors'!$G$65*H$46/H595,SUM(C594)*'Exp factors'!C$65))</f>
        <v>0</v>
      </c>
      <c r="I594" s="1533">
        <f>IF(I$46="","",IF('Exp factors'!$B65="poor",'Exp factors'!$G$65*I$46/I595,SUM(D594)*'Exp factors'!D$65))</f>
        <v>0</v>
      </c>
      <c r="J594" s="1533">
        <f>IF(J$46="","",IF('Exp factors'!$B65="poor",'Exp factors'!$G$65*J$46/J595,SUM(E594)*'Exp factors'!E$65))</f>
        <v>0</v>
      </c>
      <c r="K594" s="1533">
        <f>IF(K$46="","",IF('Exp factors'!$B65="poor",'Exp factors'!$G$65*K$46/K595,SUM(F594)*'Exp factors'!F$65))</f>
        <v>0</v>
      </c>
      <c r="L594" s="1431"/>
      <c r="M594" s="1427"/>
      <c r="N594" s="1427"/>
      <c r="O594" s="1427"/>
      <c r="P594" s="1427"/>
      <c r="Q594" s="1464"/>
      <c r="R594" s="1402"/>
      <c r="S594" s="1403"/>
      <c r="T594" s="1403"/>
      <c r="U594" s="1394">
        <v>594</v>
      </c>
      <c r="V594" s="1421"/>
    </row>
    <row r="595" spans="1:22" ht="15.75" customHeight="1">
      <c r="A595" s="1429" t="s">
        <v>289</v>
      </c>
      <c r="B595" s="1433"/>
      <c r="C595" s="1444" t="str">
        <f>IF(Data!BV595="","",Data!BV595)</f>
        <v/>
      </c>
      <c r="D595" s="1444" t="str">
        <f>IF(Data!BW595="","",Data!BW595)</f>
        <v/>
      </c>
      <c r="E595" s="1444" t="str">
        <f>IF(Data!BX595="","",Data!BX595)</f>
        <v/>
      </c>
      <c r="F595" s="1444" t="str">
        <f>IF(Data!BY595="","",Data!BY595)</f>
        <v/>
      </c>
      <c r="G595" s="1431"/>
      <c r="H595" s="1534">
        <f>I595</f>
        <v>12</v>
      </c>
      <c r="I595" s="1534">
        <f>IF(SUM(D595)=0,IF(SUM(C595)=0,IF(SUM(E595)=0,IF(SUM(F595)=0,12,SUM(F595)),SUM(E595)),SUM(C595)),SUM(D595))</f>
        <v>12</v>
      </c>
      <c r="J595" s="1534">
        <f>I595</f>
        <v>12</v>
      </c>
      <c r="K595" s="1534">
        <f>I595</f>
        <v>12</v>
      </c>
      <c r="L595" s="1431"/>
      <c r="M595" s="1427"/>
      <c r="N595" s="1427"/>
      <c r="O595" s="1427"/>
      <c r="P595" s="1427"/>
      <c r="Q595" s="1464"/>
      <c r="R595" s="1402"/>
      <c r="S595" s="1403"/>
      <c r="T595" s="1403"/>
      <c r="U595" s="1394">
        <v>595</v>
      </c>
      <c r="V595" s="1421"/>
    </row>
    <row r="596" spans="1:22" ht="15.75" customHeight="1">
      <c r="A596" s="1511" t="s">
        <v>292</v>
      </c>
      <c r="B596" s="1433"/>
      <c r="C596" s="1456">
        <f>IF(Data!BV596="","",Data!BV596)</f>
        <v>1381.644</v>
      </c>
      <c r="D596" s="1456">
        <f>IF(Data!BW596="","",Data!BW596)</f>
        <v>1381.644</v>
      </c>
      <c r="E596" s="1456">
        <f>IF(Data!BX596="","",Data!BX596)</f>
        <v>1381.644</v>
      </c>
      <c r="F596" s="1456">
        <f>IF(Data!BY596="","",Data!BY596)</f>
        <v>1381.644</v>
      </c>
      <c r="G596" s="1431"/>
      <c r="H596" s="1427"/>
      <c r="I596" s="1427"/>
      <c r="J596" s="1427"/>
      <c r="K596" s="1427"/>
      <c r="L596" s="1431"/>
      <c r="M596" s="1449"/>
      <c r="N596" s="1449"/>
      <c r="O596" s="1449"/>
      <c r="P596" s="1449"/>
      <c r="Q596" s="1464"/>
      <c r="R596" s="1402"/>
      <c r="S596" s="1403"/>
      <c r="T596" s="1403"/>
      <c r="U596" s="1394">
        <v>596</v>
      </c>
      <c r="V596" s="1421"/>
    </row>
    <row r="597" spans="1:22" ht="15.75" customHeight="1">
      <c r="A597" s="1429" t="s">
        <v>252</v>
      </c>
      <c r="B597" s="1433"/>
      <c r="C597" s="1483" t="str">
        <f>IF(C594="","",C594*C595*C596/C$46/365/$P$1)</f>
        <v/>
      </c>
      <c r="D597" s="1483" t="str">
        <f>IF(D594="","",D594*D595*D596/D$46/365/$P$1)</f>
        <v/>
      </c>
      <c r="E597" s="1483" t="str">
        <f>IF(E594="","",E594*E595*E596/E$46/365/$P$1)</f>
        <v/>
      </c>
      <c r="F597" s="1483" t="str">
        <f>IF(F594="","",F594*F595*F596/F$46/365/$P$1)</f>
        <v/>
      </c>
      <c r="G597" s="1443"/>
      <c r="H597" s="1483">
        <f>IF(H$46=0,"",H594*H595*SUM($D596)/H$46/365/$P$1)</f>
        <v>0</v>
      </c>
      <c r="I597" s="1483">
        <f>IF(I$46=0,"",I594*I595*SUM($D596)/I$46/365/$P$1)</f>
        <v>0</v>
      </c>
      <c r="J597" s="1483">
        <f>IF(J$46=0,"",J594*J595*SUM($D596)/J$46/365/$P$1)</f>
        <v>0</v>
      </c>
      <c r="K597" s="1483">
        <f>IF(K$46=0,"",K594*K595*SUM($D596)/K$46/365/$P$1)</f>
        <v>0</v>
      </c>
      <c r="L597" s="1443"/>
      <c r="M597" s="1484" t="str">
        <f>IF(SUM(H597)=SUM(C597),"",SUM(H597)-SUM(C597))</f>
        <v/>
      </c>
      <c r="N597" s="1484" t="str">
        <f>IF(SUM(I597)=SUM(D597),"",SUM(I597)-SUM(D597))</f>
        <v/>
      </c>
      <c r="O597" s="1484" t="str">
        <f>IF(SUM(J597)=SUM(E597),"",SUM(J597)-SUM(E597))</f>
        <v/>
      </c>
      <c r="P597" s="1484" t="str">
        <f>IF(SUM(K597)=SUM(F597),"",SUM(K597)-SUM(F597))</f>
        <v/>
      </c>
      <c r="Q597" s="1464"/>
      <c r="R597" s="1392"/>
      <c r="S597" s="1393"/>
      <c r="T597" s="1393"/>
      <c r="U597" s="1394">
        <v>597</v>
      </c>
      <c r="V597" s="1421"/>
    </row>
    <row r="598" spans="1:22" ht="15.75" customHeight="1">
      <c r="A598" s="1532" t="s">
        <v>288</v>
      </c>
      <c r="B598" s="1431"/>
      <c r="C598" s="1444" t="str">
        <f>IF(Data!BV598="","",Data!BV598)</f>
        <v/>
      </c>
      <c r="D598" s="1444" t="str">
        <f>IF(Data!BW598="","",Data!BW598)</f>
        <v/>
      </c>
      <c r="E598" s="1444" t="str">
        <f>IF(Data!BX598="","",Data!BX598)</f>
        <v/>
      </c>
      <c r="F598" s="1444" t="str">
        <f>IF(Data!BY598="","",Data!BY598)</f>
        <v/>
      </c>
      <c r="G598" s="1431"/>
      <c r="H598" s="1427"/>
      <c r="I598" s="1427"/>
      <c r="J598" s="1427"/>
      <c r="K598" s="1427"/>
      <c r="L598" s="1431"/>
      <c r="M598" s="1427"/>
      <c r="N598" s="1427"/>
      <c r="O598" s="1427"/>
      <c r="P598" s="1427"/>
      <c r="Q598" s="1464"/>
      <c r="R598" s="1445"/>
      <c r="S598" s="1446"/>
      <c r="T598" s="1446"/>
      <c r="U598" s="1394">
        <v>598</v>
      </c>
      <c r="V598" s="1421"/>
    </row>
    <row r="599" spans="1:22" ht="15.75" customHeight="1">
      <c r="A599" s="1429" t="s">
        <v>286</v>
      </c>
      <c r="B599" s="1431"/>
      <c r="C599" s="1479" t="str">
        <f>IF(C598="","",C594*C595*C598)</f>
        <v/>
      </c>
      <c r="D599" s="1479" t="str">
        <f>IF(D598="","",D594*D595*D598)</f>
        <v/>
      </c>
      <c r="E599" s="1479" t="str">
        <f>IF(E598="","",E594*E595*E598)</f>
        <v/>
      </c>
      <c r="F599" s="1479" t="str">
        <f>IF(F598="","",F594*F595*F598)</f>
        <v/>
      </c>
      <c r="G599" s="1431"/>
      <c r="H599" s="1542">
        <f>IF(H$46=0,"",H594*H595*SUM($D598))</f>
        <v>0</v>
      </c>
      <c r="I599" s="1542">
        <f>IF(I$46=0,"",I594*I595*SUM($D598))</f>
        <v>0</v>
      </c>
      <c r="J599" s="1542">
        <f>IF(J$46=0,"",J594*J595*SUM($D598))</f>
        <v>0</v>
      </c>
      <c r="K599" s="1542">
        <f>IF(K$46=0,"",K594*K595*SUM($D598))</f>
        <v>0</v>
      </c>
      <c r="L599" s="1431"/>
      <c r="M599" s="1463" t="str">
        <f>IF(SUM(H599)=SUM(C599),"",SUM(H599)-SUM(C599))</f>
        <v/>
      </c>
      <c r="N599" s="1463" t="str">
        <f>IF(SUM(I599)=SUM(D599),"",SUM(I599)-SUM(D599))</f>
        <v/>
      </c>
      <c r="O599" s="1463" t="str">
        <f>IF(SUM(J599)=SUM(E599),"",SUM(J599)-SUM(E599))</f>
        <v/>
      </c>
      <c r="P599" s="1463" t="str">
        <f>IF(SUM(K599)=SUM(F599),"",SUM(K599)-SUM(F599))</f>
        <v/>
      </c>
      <c r="Q599" s="1464" t="str">
        <f>[1]ExpFactors!$I$65</f>
        <v>des</v>
      </c>
      <c r="R599" s="1402"/>
      <c r="S599" s="1403"/>
      <c r="T599" s="1403"/>
      <c r="U599" s="1394">
        <v>599</v>
      </c>
      <c r="V599" s="1421"/>
    </row>
    <row r="600" spans="1:22" ht="15.75" customHeight="1">
      <c r="A600" s="1543" t="str">
        <f>IF(Data!A600="","",Data!A600)</f>
        <v>Atchar purchase</v>
      </c>
      <c r="B600" s="1431"/>
      <c r="C600" s="1479"/>
      <c r="D600" s="1479"/>
      <c r="E600" s="1479"/>
      <c r="F600" s="1479"/>
      <c r="G600" s="1431"/>
      <c r="H600" s="1533"/>
      <c r="I600" s="1533"/>
      <c r="J600" s="1533"/>
      <c r="K600" s="1533"/>
      <c r="L600" s="1431"/>
      <c r="M600" s="1427"/>
      <c r="N600" s="1427"/>
      <c r="O600" s="1427"/>
      <c r="P600" s="1427"/>
      <c r="Q600" s="1464"/>
      <c r="R600" s="1402"/>
      <c r="S600" s="1403"/>
      <c r="T600" s="1403"/>
      <c r="U600" s="1394">
        <v>600</v>
      </c>
      <c r="V600" s="1421"/>
    </row>
    <row r="601" spans="1:22" ht="15.75" customHeight="1">
      <c r="A601" s="1544" t="s">
        <v>293</v>
      </c>
      <c r="B601" s="1431"/>
      <c r="C601" s="1444" t="str">
        <f>IF(Data!BV601="","",Data!BV601)</f>
        <v/>
      </c>
      <c r="D601" s="1444" t="str">
        <f>IF(Data!BW601="","",Data!BW601)</f>
        <v/>
      </c>
      <c r="E601" s="1444" t="str">
        <f>IF(Data!BX601="","",Data!BX601)</f>
        <v/>
      </c>
      <c r="F601" s="1444" t="str">
        <f>IF(Data!BY601="","",Data!BY601)</f>
        <v/>
      </c>
      <c r="G601" s="1431"/>
      <c r="H601" s="1533">
        <f>IF(H$46="","",IF('Exp factors'!$B63="poor",'Exp factors'!$G$63*H$46,SUM(C601)*'Exp factors'!C$63))</f>
        <v>4.5361222771040683</v>
      </c>
      <c r="I601" s="1533">
        <f>IF(I$46="","",IF('Exp factors'!$B63="poor",'Exp factors'!$G$63*I$46,SUM(D601)*'Exp factors'!D$63))</f>
        <v>4.5361222771040683</v>
      </c>
      <c r="J601" s="1533">
        <f>IF(J$46="","",IF('Exp factors'!$B63="poor",'Exp factors'!$G$63*J$46,SUM(E601)*'Exp factors'!E$63))</f>
        <v>4.5361222771040683</v>
      </c>
      <c r="K601" s="1533">
        <f>IF(K$46="","",IF('Exp factors'!$B63="poor",'Exp factors'!$G$63*K$46,SUM(F601)*'Exp factors'!F$63))</f>
        <v>5.1031375617420771</v>
      </c>
      <c r="L601" s="1431"/>
      <c r="M601" s="1427"/>
      <c r="N601" s="1427"/>
      <c r="O601" s="1427"/>
      <c r="P601" s="1427"/>
      <c r="Q601" s="1464"/>
      <c r="R601" s="1402"/>
      <c r="S601" s="1403"/>
      <c r="T601" s="1403"/>
      <c r="U601" s="1394">
        <v>601</v>
      </c>
      <c r="V601" s="1421"/>
    </row>
    <row r="602" spans="1:22" ht="15.75" customHeight="1">
      <c r="A602" s="1511" t="s">
        <v>292</v>
      </c>
      <c r="B602" s="1431"/>
      <c r="C602" s="1456">
        <f>IF(Data!BV602="","",Data!BV602)</f>
        <v>9068.6088</v>
      </c>
      <c r="D602" s="1456">
        <f>IF(Data!BW602="","",Data!BW602)</f>
        <v>9068.6088</v>
      </c>
      <c r="E602" s="1456">
        <f>IF(Data!BX602="","",Data!BX602)</f>
        <v>9068.6088</v>
      </c>
      <c r="F602" s="1456">
        <f>IF(Data!BY602="","",Data!BY602)</f>
        <v>9068.6088</v>
      </c>
      <c r="G602" s="1431"/>
      <c r="H602" s="1427"/>
      <c r="I602" s="1427"/>
      <c r="J602" s="1427"/>
      <c r="K602" s="1427"/>
      <c r="L602" s="1431"/>
      <c r="M602" s="1449"/>
      <c r="N602" s="1449"/>
      <c r="O602" s="1449"/>
      <c r="P602" s="1449"/>
      <c r="Q602" s="1464"/>
      <c r="R602" s="1402"/>
      <c r="S602" s="1403"/>
      <c r="T602" s="1403"/>
      <c r="U602" s="1394">
        <v>602</v>
      </c>
      <c r="V602" s="1421"/>
    </row>
    <row r="603" spans="1:22" ht="15.75" customHeight="1">
      <c r="A603" s="1429" t="s">
        <v>252</v>
      </c>
      <c r="B603" s="1431"/>
      <c r="C603" s="1539" t="str">
        <f>IF(C601="","",C601*C602/C$46/365/$P$1)</f>
        <v/>
      </c>
      <c r="D603" s="1539" t="str">
        <f>IF(D601="","",D601*D602/D$46/365/$P$1)</f>
        <v/>
      </c>
      <c r="E603" s="1539" t="str">
        <f>IF(E601="","",E601*E602/E$46/365/$P$1)</f>
        <v/>
      </c>
      <c r="F603" s="1539" t="str">
        <f>IF(F601="","",F601*F602/F$46/365/$P$1)</f>
        <v/>
      </c>
      <c r="G603" s="1431"/>
      <c r="H603" s="1539">
        <f>IF(OR(H$46=0,H601=""),"",H601*SUM($D602)/H$46/365/$P$1)</f>
        <v>1.6008841220431971E-3</v>
      </c>
      <c r="I603" s="1539">
        <f>IF(OR(I$46=0,I601=""),"",I601*SUM($D602)/I$46/365/$P$1)</f>
        <v>1.6008841220431971E-3</v>
      </c>
      <c r="J603" s="1539">
        <f>IF(OR(J$46=0,J601=""),"",J601*SUM($D602)/J$46/365/$P$1)</f>
        <v>1.6008841220431971E-3</v>
      </c>
      <c r="K603" s="1539">
        <f>IF(OR(K$46=0,K601=""),"",K601*SUM($D602)/K$46/365/$P$1)</f>
        <v>1.6008841220431971E-3</v>
      </c>
      <c r="L603" s="1431"/>
      <c r="M603" s="1484">
        <f>IF(SUM(H603)=SUM(C603),"",SUM(H603)-SUM(C603))</f>
        <v>1.6008841220431971E-3</v>
      </c>
      <c r="N603" s="1484">
        <f>IF(SUM(I603)=SUM(D603),"",SUM(I603)-SUM(D603))</f>
        <v>1.6008841220431971E-3</v>
      </c>
      <c r="O603" s="1484">
        <f>IF(SUM(J603)=SUM(E603),"",SUM(J603)-SUM(E603))</f>
        <v>1.6008841220431971E-3</v>
      </c>
      <c r="P603" s="1484">
        <f>IF(SUM(K603)=SUM(F603),"",SUM(K603)-SUM(F603))</f>
        <v>1.6008841220431971E-3</v>
      </c>
      <c r="Q603" s="1464"/>
      <c r="R603" s="1402"/>
      <c r="S603" s="1403"/>
      <c r="T603" s="1403"/>
      <c r="U603" s="1394">
        <v>603</v>
      </c>
      <c r="V603" s="1421"/>
    </row>
    <row r="604" spans="1:22" ht="15.75" customHeight="1">
      <c r="A604" s="1532" t="s">
        <v>288</v>
      </c>
      <c r="B604" s="1431"/>
      <c r="C604" s="1444" t="str">
        <f>IF(Data!BV604="","",Data!BV604)</f>
        <v/>
      </c>
      <c r="D604" s="1444" t="str">
        <f>IF(Data!BW604="","",Data!BW604)</f>
        <v/>
      </c>
      <c r="E604" s="1444" t="str">
        <f>IF(Data!BX604="","",Data!BX604)</f>
        <v/>
      </c>
      <c r="F604" s="1444" t="str">
        <f>IF(Data!BY604="","",Data!BY604)</f>
        <v/>
      </c>
      <c r="G604" s="1431"/>
      <c r="H604" s="1536">
        <f>$I604</f>
        <v>49.094871794871793</v>
      </c>
      <c r="I604" s="1536">
        <f>IF(SUM($D604)=0,IF(SUM($C604)=0,IF(SUM($E604)=0,IF(SUM($F604)=0,'Exp factors'!$H$63,SUM($F604)),SUM($E604)),SUM($C604)),SUM($D604))</f>
        <v>49.094871794871793</v>
      </c>
      <c r="J604" s="1536">
        <f>$I604</f>
        <v>49.094871794871793</v>
      </c>
      <c r="K604" s="1536">
        <f>$I604</f>
        <v>49.094871794871793</v>
      </c>
      <c r="L604" s="1431"/>
      <c r="M604" s="1427"/>
      <c r="N604" s="1427"/>
      <c r="O604" s="1427"/>
      <c r="P604" s="1427"/>
      <c r="Q604" s="1464"/>
      <c r="R604" s="1402"/>
      <c r="S604" s="1403"/>
      <c r="T604" s="1403"/>
      <c r="U604" s="1394">
        <v>604</v>
      </c>
      <c r="V604" s="1421"/>
    </row>
    <row r="605" spans="1:22" ht="15.75" customHeight="1">
      <c r="A605" s="1429" t="s">
        <v>286</v>
      </c>
      <c r="B605" s="1431"/>
      <c r="C605" s="1540" t="str">
        <f>IF(C604="","",C601*C604)</f>
        <v/>
      </c>
      <c r="D605" s="1540" t="str">
        <f>IF(D604="","",D601*D604)</f>
        <v/>
      </c>
      <c r="E605" s="1540" t="str">
        <f>IF(E604="","",E601*E604)</f>
        <v/>
      </c>
      <c r="F605" s="1540" t="str">
        <f>IF(F604="","",F601*F604)</f>
        <v/>
      </c>
      <c r="G605" s="1431"/>
      <c r="H605" s="1540">
        <f>IF(H$46=0,"",IF($D604="",H601*H604,H601*$D604))</f>
        <v>222.70034164028613</v>
      </c>
      <c r="I605" s="1540">
        <f t="shared" ref="I605:K605" si="78">IF(I$46=0,"",IF($D604="",I601*I604,I601*$D604))</f>
        <v>222.70034164028613</v>
      </c>
      <c r="J605" s="1540">
        <f t="shared" si="78"/>
        <v>222.70034164028613</v>
      </c>
      <c r="K605" s="1540">
        <f t="shared" si="78"/>
        <v>250.53788434532191</v>
      </c>
      <c r="L605" s="1431"/>
      <c r="M605" s="1463">
        <f>IF(SUM(H605)=SUM(C605),"",SUM(H605)-SUM(C605))</f>
        <v>222.70034164028613</v>
      </c>
      <c r="N605" s="1463">
        <f>IF(SUM(I605)=SUM(D605),"",SUM(I605)-SUM(D605))</f>
        <v>222.70034164028613</v>
      </c>
      <c r="O605" s="1463">
        <f>IF(SUM(J605)=SUM(E605),"",SUM(J605)-SUM(E605))</f>
        <v>222.70034164028613</v>
      </c>
      <c r="P605" s="1463">
        <f>IF(SUM(K605)=SUM(F605),"",SUM(K605)-SUM(F605))</f>
        <v>250.53788434532191</v>
      </c>
      <c r="Q605" s="1464" t="str">
        <f>[1]ExpFactors!$I$63</f>
        <v>fpl</v>
      </c>
      <c r="R605" s="1402"/>
      <c r="S605" s="1403"/>
      <c r="T605" s="1403"/>
      <c r="U605" s="1394">
        <v>605</v>
      </c>
      <c r="V605" s="1421"/>
    </row>
    <row r="606" spans="1:22" ht="15.75" customHeight="1">
      <c r="A606" s="1543" t="str">
        <f>IF(Data!A606="","",Data!A606)</f>
        <v>Whitener (Cremora) purchase</v>
      </c>
      <c r="B606" s="1431"/>
      <c r="C606" s="1479"/>
      <c r="D606" s="1479"/>
      <c r="E606" s="1479"/>
      <c r="F606" s="1479"/>
      <c r="G606" s="1431"/>
      <c r="H606" s="1533"/>
      <c r="I606" s="1533"/>
      <c r="J606" s="1533"/>
      <c r="K606" s="1533"/>
      <c r="L606" s="1431"/>
      <c r="M606" s="1427"/>
      <c r="N606" s="1427"/>
      <c r="O606" s="1427"/>
      <c r="P606" s="1427"/>
      <c r="Q606" s="1464"/>
      <c r="R606" s="1402"/>
      <c r="S606" s="1403"/>
      <c r="T606" s="1403"/>
      <c r="U606" s="1394">
        <v>606</v>
      </c>
      <c r="V606" s="1421"/>
    </row>
    <row r="607" spans="1:22" ht="15.75" customHeight="1">
      <c r="A607" s="1544" t="s">
        <v>293</v>
      </c>
      <c r="B607" s="1431"/>
      <c r="C607" s="1444" t="str">
        <f>IF(Data!BV607="","",Data!BV607)</f>
        <v/>
      </c>
      <c r="D607" s="1444" t="str">
        <f>IF(Data!BW607="","",Data!BW607)</f>
        <v/>
      </c>
      <c r="E607" s="1444" t="str">
        <f>IF(Data!BX607="","",Data!BX607)</f>
        <v/>
      </c>
      <c r="F607" s="1444" t="str">
        <f>IF(Data!BY607="","",Data!BY607)</f>
        <v/>
      </c>
      <c r="G607" s="1431"/>
      <c r="H607" s="1533">
        <f>IF(H$46="","",IF('Exp factors'!$B64="poor",'Exp factors'!$G$64*H$46,SUM(C607)*'Exp factors'!C$64))</f>
        <v>8.2803576561381718</v>
      </c>
      <c r="I607" s="1533">
        <f>IF(I$46="","",IF('Exp factors'!$B64="poor",'Exp factors'!$G$64*I$46,SUM(D607)*'Exp factors'!D$64))</f>
        <v>8.2803576561381718</v>
      </c>
      <c r="J607" s="1533">
        <f>IF(J$46="","",IF('Exp factors'!$B64="poor",'Exp factors'!$G$64*J$46,SUM(E607)*'Exp factors'!E$64))</f>
        <v>8.2803576561381718</v>
      </c>
      <c r="K607" s="1533">
        <f>IF(K$46="","",IF('Exp factors'!$B64="poor",'Exp factors'!$G$64*K$46,SUM(F607)*'Exp factors'!F$64))</f>
        <v>9.3154023631554423</v>
      </c>
      <c r="L607" s="1431"/>
      <c r="M607" s="1427"/>
      <c r="N607" s="1427"/>
      <c r="O607" s="1427"/>
      <c r="P607" s="1427"/>
      <c r="Q607" s="1464"/>
      <c r="R607" s="1402"/>
      <c r="S607" s="1403"/>
      <c r="T607" s="1403"/>
      <c r="U607" s="1394">
        <v>607</v>
      </c>
      <c r="V607" s="1421"/>
    </row>
    <row r="608" spans="1:22" ht="15.75" customHeight="1">
      <c r="A608" s="1511" t="s">
        <v>292</v>
      </c>
      <c r="B608" s="1431"/>
      <c r="C608" s="1444">
        <f>IF(Data!BV608="","",Data!BV608)</f>
        <v>22901.795999999998</v>
      </c>
      <c r="D608" s="1444">
        <f>IF(Data!BW608="","",Data!BW608)</f>
        <v>22901.795999999998</v>
      </c>
      <c r="E608" s="1444">
        <f>IF(Data!BX608="","",Data!BX608)</f>
        <v>22901.795999999998</v>
      </c>
      <c r="F608" s="1444">
        <f>IF(Data!BY608="","",Data!BY608)</f>
        <v>22901.795999999998</v>
      </c>
      <c r="G608" s="1431"/>
      <c r="H608" s="1427"/>
      <c r="I608" s="1427"/>
      <c r="J608" s="1427"/>
      <c r="K608" s="1427"/>
      <c r="L608" s="1431"/>
      <c r="M608" s="1449"/>
      <c r="N608" s="1449"/>
      <c r="O608" s="1449"/>
      <c r="P608" s="1449"/>
      <c r="Q608" s="1464"/>
      <c r="R608" s="1402"/>
      <c r="S608" s="1403"/>
      <c r="T608" s="1403"/>
      <c r="U608" s="1394">
        <v>608</v>
      </c>
      <c r="V608" s="1421"/>
    </row>
    <row r="609" spans="1:22" ht="15.75" customHeight="1">
      <c r="A609" s="1429" t="s">
        <v>252</v>
      </c>
      <c r="B609" s="1431"/>
      <c r="C609" s="1539" t="str">
        <f>IF(C607="","",C607*C608/C$46/365/$P$1)</f>
        <v/>
      </c>
      <c r="D609" s="1539" t="str">
        <f>IF(D607="","",D607*D608/D$46/365/$P$1)</f>
        <v/>
      </c>
      <c r="E609" s="1539" t="str">
        <f>IF(E607="","",E607*E608/E$46/365/$P$1)</f>
        <v/>
      </c>
      <c r="F609" s="1539" t="str">
        <f>IF(F607="","",F607*F608/F$46/365/$P$1)</f>
        <v/>
      </c>
      <c r="G609" s="1431"/>
      <c r="H609" s="1539">
        <f>IF(OR(H$46=0,H607=""),"",H607*SUM($D608)/H$46/365/$P$1)</f>
        <v>7.37994481039518E-3</v>
      </c>
      <c r="I609" s="1539">
        <f>IF(OR(I$46=0,I607=""),"",I607*SUM($D608)/I$46/365/$P$1)</f>
        <v>7.37994481039518E-3</v>
      </c>
      <c r="J609" s="1539">
        <f>IF(OR(J$46=0,J607=""),"",J607*SUM($D608)/J$46/365/$P$1)</f>
        <v>7.37994481039518E-3</v>
      </c>
      <c r="K609" s="1539">
        <f>IF(OR(K$46=0,K607=""),"",K607*SUM($D608)/K$46/365/$P$1)</f>
        <v>7.37994481039518E-3</v>
      </c>
      <c r="L609" s="1431"/>
      <c r="M609" s="1484">
        <f>IF(SUM(H609)=SUM(C609),"",SUM(H609)-SUM(C609))</f>
        <v>7.37994481039518E-3</v>
      </c>
      <c r="N609" s="1484">
        <f>IF(SUM(I609)=SUM(D609),"",SUM(I609)-SUM(D609))</f>
        <v>7.37994481039518E-3</v>
      </c>
      <c r="O609" s="1484">
        <f>IF(SUM(J609)=SUM(E609),"",SUM(J609)-SUM(E609))</f>
        <v>7.37994481039518E-3</v>
      </c>
      <c r="P609" s="1484">
        <f>IF(SUM(K609)=SUM(F609),"",SUM(K609)-SUM(F609))</f>
        <v>7.37994481039518E-3</v>
      </c>
      <c r="Q609" s="1464"/>
      <c r="R609" s="1402"/>
      <c r="S609" s="1403"/>
      <c r="T609" s="1403"/>
      <c r="U609" s="1394">
        <v>609</v>
      </c>
      <c r="V609" s="1421"/>
    </row>
    <row r="610" spans="1:22" ht="15.75" customHeight="1">
      <c r="A610" s="1532" t="s">
        <v>288</v>
      </c>
      <c r="B610" s="1431"/>
      <c r="C610" s="1444" t="str">
        <f>IF(Data!BV610="","",Data!BV610)</f>
        <v/>
      </c>
      <c r="D610" s="1444" t="str">
        <f>IF(Data!BW610="","",Data!BW610)</f>
        <v/>
      </c>
      <c r="E610" s="1444" t="str">
        <f>IF(Data!BX610="","",Data!BX610)</f>
        <v/>
      </c>
      <c r="F610" s="1444" t="str">
        <f>IF(Data!BY610="","",Data!BY610)</f>
        <v/>
      </c>
      <c r="G610" s="1431"/>
      <c r="H610" s="1536">
        <f>$I610</f>
        <v>31.162500000000001</v>
      </c>
      <c r="I610" s="1536">
        <f>IF(SUM($D610)=0,IF(SUM($C610)=0,IF(SUM($E610)=0,IF(SUM($F610)=0,'Exp factors'!$H$64,SUM($F610)),SUM($E610)),SUM($C610)),SUM($D610))</f>
        <v>31.162500000000001</v>
      </c>
      <c r="J610" s="1536">
        <f>$I610</f>
        <v>31.162500000000001</v>
      </c>
      <c r="K610" s="1536">
        <f>$I610</f>
        <v>31.162500000000001</v>
      </c>
      <c r="L610" s="1431"/>
      <c r="M610" s="1427"/>
      <c r="N610" s="1427"/>
      <c r="O610" s="1427"/>
      <c r="P610" s="1427"/>
      <c r="Q610" s="1464"/>
      <c r="R610" s="1402"/>
      <c r="S610" s="1403"/>
      <c r="T610" s="1403"/>
      <c r="U610" s="1394">
        <v>610</v>
      </c>
      <c r="V610" s="1421"/>
    </row>
    <row r="611" spans="1:22" ht="15.75" customHeight="1">
      <c r="A611" s="1429" t="s">
        <v>286</v>
      </c>
      <c r="B611" s="1431"/>
      <c r="C611" s="1540" t="str">
        <f>IF(C610="","",C607*C610)</f>
        <v/>
      </c>
      <c r="D611" s="1540" t="str">
        <f>IF(D610="","",D607*D610)</f>
        <v/>
      </c>
      <c r="E611" s="1540" t="str">
        <f>IF(E610="","",E607*E610)</f>
        <v/>
      </c>
      <c r="F611" s="1540" t="str">
        <f>IF(F610="","",F607*F610)</f>
        <v/>
      </c>
      <c r="G611" s="1431"/>
      <c r="H611" s="1540">
        <f>IF(H$46=0,"",IF($D610="",H607*H610,H607*$D610))</f>
        <v>258.0366454594058</v>
      </c>
      <c r="I611" s="1540">
        <f t="shared" ref="I611:K611" si="79">IF(I$46=0,"",IF($D610="",I607*I610,I607*$D610))</f>
        <v>258.0366454594058</v>
      </c>
      <c r="J611" s="1540">
        <f t="shared" si="79"/>
        <v>258.0366454594058</v>
      </c>
      <c r="K611" s="1540">
        <f t="shared" si="79"/>
        <v>290.29122614183149</v>
      </c>
      <c r="L611" s="1431"/>
      <c r="M611" s="1463">
        <f>IF(SUM(H611)=SUM(C611),"",SUM(H611)-SUM(C611))</f>
        <v>258.0366454594058</v>
      </c>
      <c r="N611" s="1463">
        <f>IF(SUM(I611)=SUM(D611),"",SUM(I611)-SUM(D611))</f>
        <v>258.0366454594058</v>
      </c>
      <c r="O611" s="1463">
        <f>IF(SUM(J611)=SUM(E611),"",SUM(J611)-SUM(E611))</f>
        <v>258.0366454594058</v>
      </c>
      <c r="P611" s="1463">
        <f>IF(SUM(K611)=SUM(F611),"",SUM(K611)-SUM(F611))</f>
        <v>290.29122614183149</v>
      </c>
      <c r="Q611" s="1464" t="str">
        <f>[1]ExpFactors!$I$64</f>
        <v>fpl</v>
      </c>
      <c r="R611" s="1402"/>
      <c r="S611" s="1403"/>
      <c r="T611" s="1403"/>
      <c r="U611" s="1394">
        <v>611</v>
      </c>
      <c r="V611" s="1421"/>
    </row>
    <row r="612" spans="1:22" ht="15.75" customHeight="1">
      <c r="A612" s="1500" t="str">
        <f>IF(Data!A612="","",Data!A612)</f>
        <v>Fruit (oranges) purchase</v>
      </c>
      <c r="B612" s="1431"/>
      <c r="C612" s="1479"/>
      <c r="D612" s="1479"/>
      <c r="E612" s="1479"/>
      <c r="F612" s="1479"/>
      <c r="G612" s="1431"/>
      <c r="H612" s="1427"/>
      <c r="I612" s="1427"/>
      <c r="J612" s="1427"/>
      <c r="K612" s="1427"/>
      <c r="L612" s="1431"/>
      <c r="M612" s="1427"/>
      <c r="N612" s="1427"/>
      <c r="O612" s="1427"/>
      <c r="P612" s="1427"/>
      <c r="Q612" s="1464"/>
      <c r="R612" s="1402"/>
      <c r="S612" s="1403"/>
      <c r="T612" s="1403"/>
      <c r="U612" s="1394">
        <v>612</v>
      </c>
      <c r="V612" s="1421"/>
    </row>
    <row r="613" spans="1:22" ht="15.75" customHeight="1">
      <c r="A613" s="1544" t="s">
        <v>293</v>
      </c>
      <c r="B613" s="1431"/>
      <c r="C613" s="1444" t="str">
        <f>IF(Data!BV613="","",Data!BV613)</f>
        <v/>
      </c>
      <c r="D613" s="1444" t="str">
        <f>IF(Data!BW613="","",Data!BW613)</f>
        <v/>
      </c>
      <c r="E613" s="1444" t="str">
        <f>IF(Data!BX613="","",Data!BX613)</f>
        <v/>
      </c>
      <c r="F613" s="1444" t="str">
        <f>IF(Data!BY613="","",Data!BY613)</f>
        <v/>
      </c>
      <c r="G613" s="1431"/>
      <c r="H613" s="1533"/>
      <c r="I613" s="1533"/>
      <c r="J613" s="1533"/>
      <c r="K613" s="1533"/>
      <c r="L613" s="1431"/>
      <c r="M613" s="1427"/>
      <c r="N613" s="1427"/>
      <c r="O613" s="1427"/>
      <c r="P613" s="1427"/>
      <c r="Q613" s="1464"/>
      <c r="R613" s="1402"/>
      <c r="S613" s="1403"/>
      <c r="T613" s="1403"/>
      <c r="U613" s="1394">
        <v>613</v>
      </c>
      <c r="V613" s="1421"/>
    </row>
    <row r="614" spans="1:22" ht="15.75" customHeight="1">
      <c r="A614" s="1511" t="s">
        <v>292</v>
      </c>
      <c r="B614" s="1431"/>
      <c r="C614" s="1444">
        <f>IF(Data!BV614="","",Data!BV614)</f>
        <v>2219.0039999999999</v>
      </c>
      <c r="D614" s="1444">
        <f>IF(Data!BW614="","",Data!BW614)</f>
        <v>2219.0039999999999</v>
      </c>
      <c r="E614" s="1444">
        <f>IF(Data!BX614="","",Data!BX614)</f>
        <v>2219.0039999999999</v>
      </c>
      <c r="F614" s="1444">
        <f>IF(Data!BY614="","",Data!BY614)</f>
        <v>2219.0039999999999</v>
      </c>
      <c r="G614" s="1431"/>
      <c r="H614" s="1533">
        <f>IF(H$46="","",IF('Exp factors'!$B68="poor",'Exp factors'!$G$68*H$46,SUM(C614)*'Exp factors'!C$68))</f>
        <v>0</v>
      </c>
      <c r="I614" s="1533">
        <f>IF(I$46="","",IF('Exp factors'!$B68="poor",'Exp factors'!$G$68*I$46,SUM(D614)*'Exp factors'!D$68))</f>
        <v>0</v>
      </c>
      <c r="J614" s="1533">
        <f>IF(J$46="","",IF('Exp factors'!$B68="poor",'Exp factors'!$G$68*J$46,SUM(E614)*'Exp factors'!E$68))</f>
        <v>0</v>
      </c>
      <c r="K614" s="1533">
        <f>IF(K$46="","",IF('Exp factors'!$B68="poor",'Exp factors'!$G$68*K$46,SUM(F614)*'Exp factors'!F$68))</f>
        <v>0</v>
      </c>
      <c r="L614" s="1431"/>
      <c r="M614" s="1449"/>
      <c r="N614" s="1449"/>
      <c r="O614" s="1449"/>
      <c r="P614" s="1449"/>
      <c r="Q614" s="1464"/>
      <c r="R614" s="1402"/>
      <c r="S614" s="1403"/>
      <c r="T614" s="1403"/>
      <c r="U614" s="1394">
        <v>614</v>
      </c>
      <c r="V614" s="1421"/>
    </row>
    <row r="615" spans="1:22" ht="15.75" customHeight="1">
      <c r="A615" s="1429" t="s">
        <v>252</v>
      </c>
      <c r="B615" s="1431"/>
      <c r="C615" s="1483" t="str">
        <f>IF(C613="","",C613*C614/C$46/365/$P$1)</f>
        <v/>
      </c>
      <c r="D615" s="1483" t="str">
        <f>IF(D613="","",D613*D614/D$46/365/$P$1)</f>
        <v/>
      </c>
      <c r="E615" s="1483" t="str">
        <f>IF(E613="","",E613*E614/E$46/365/$P$1)</f>
        <v/>
      </c>
      <c r="F615" s="1483" t="str">
        <f>IF(F613="","",F613*F614/F$46/365/$P$1)</f>
        <v/>
      </c>
      <c r="G615" s="1431"/>
      <c r="H615" s="1483" t="str">
        <f>IF(OR(H$46=0,H613=""),"",H613*SUM($D614)/H$46/365/$P$1)</f>
        <v/>
      </c>
      <c r="I615" s="1483" t="str">
        <f>IF(OR(I$46=0,I613=""),"",I613*SUM($D614)/I$46/365/$P$1)</f>
        <v/>
      </c>
      <c r="J615" s="1483" t="str">
        <f>IF(OR(J$46=0,J613=""),"",J613*SUM($D614)/J$46/365/$P$1)</f>
        <v/>
      </c>
      <c r="K615" s="1483" t="str">
        <f>IF(OR(K$46=0,K613=""),"",K613*SUM($D614)/K$46/365/$P$1)</f>
        <v/>
      </c>
      <c r="L615" s="1431"/>
      <c r="M615" s="1484" t="str">
        <f>IF(SUM(H615)=SUM(C615),"",SUM(H615)-SUM(C615))</f>
        <v/>
      </c>
      <c r="N615" s="1484" t="str">
        <f>IF(SUM(I615)=SUM(D615),"",SUM(I615)-SUM(D615))</f>
        <v/>
      </c>
      <c r="O615" s="1484" t="str">
        <f>IF(SUM(J615)=SUM(E615),"",SUM(J615)-SUM(E615))</f>
        <v/>
      </c>
      <c r="P615" s="1484" t="str">
        <f>IF(SUM(K615)=SUM(F615),"",SUM(K615)-SUM(F615))</f>
        <v/>
      </c>
      <c r="Q615" s="1464"/>
      <c r="R615" s="1402"/>
      <c r="S615" s="1403"/>
      <c r="T615" s="1403"/>
      <c r="U615" s="1394">
        <v>615</v>
      </c>
      <c r="V615" s="1421"/>
    </row>
    <row r="616" spans="1:22" ht="15.75" customHeight="1">
      <c r="A616" s="1532" t="s">
        <v>288</v>
      </c>
      <c r="B616" s="1431"/>
      <c r="C616" s="1444" t="str">
        <f>IF(Data!BV616="","",Data!BV616)</f>
        <v/>
      </c>
      <c r="D616" s="1444" t="str">
        <f>IF(Data!BW616="","",Data!BW616)</f>
        <v/>
      </c>
      <c r="E616" s="1444" t="str">
        <f>IF(Data!BX616="","",Data!BX616)</f>
        <v/>
      </c>
      <c r="F616" s="1444" t="str">
        <f>IF(Data!BY616="","",Data!BY616)</f>
        <v/>
      </c>
      <c r="G616" s="1431"/>
      <c r="H616" s="1427">
        <f>$I616</f>
        <v>0</v>
      </c>
      <c r="I616" s="1427">
        <f>IF(SUM($D616)=0,IF(SUM($C616)=0,IF(SUM($E616)=0,IF(SUM($F616)=0,'Exp factors'!$H$68,SUM($F616)),SUM($E616)),SUM($C616)),SUM($D616))</f>
        <v>0</v>
      </c>
      <c r="J616" s="1427">
        <f>$I616</f>
        <v>0</v>
      </c>
      <c r="K616" s="1427">
        <f>$I616</f>
        <v>0</v>
      </c>
      <c r="L616" s="1431"/>
      <c r="M616" s="1427"/>
      <c r="N616" s="1427"/>
      <c r="O616" s="1427"/>
      <c r="P616" s="1427"/>
      <c r="Q616" s="1464"/>
      <c r="R616" s="1402"/>
      <c r="S616" s="1403"/>
      <c r="T616" s="1403"/>
      <c r="U616" s="1394">
        <v>616</v>
      </c>
      <c r="V616" s="1421"/>
    </row>
    <row r="617" spans="1:22" ht="15.75" customHeight="1">
      <c r="A617" s="1429" t="s">
        <v>286</v>
      </c>
      <c r="B617" s="1431"/>
      <c r="C617" s="1479" t="str">
        <f>IF(C616="","",C613*C616)</f>
        <v/>
      </c>
      <c r="D617" s="1479" t="str">
        <f>IF(D616="","",D613*D616)</f>
        <v/>
      </c>
      <c r="E617" s="1479" t="str">
        <f>IF(E616="","",E613*E616)</f>
        <v/>
      </c>
      <c r="F617" s="1479" t="str">
        <f>IF(F616="","",F613*F616)</f>
        <v/>
      </c>
      <c r="G617" s="1431"/>
      <c r="H617" s="1479">
        <f>IF(H$46=0,"",IF($D616="",H613*H616,H613*$D616))</f>
        <v>0</v>
      </c>
      <c r="I617" s="1479">
        <f t="shared" ref="I617:K617" si="80">IF(I$46=0,"",IF($D616="",I613*I616,I613*$D616))</f>
        <v>0</v>
      </c>
      <c r="J617" s="1479">
        <f t="shared" si="80"/>
        <v>0</v>
      </c>
      <c r="K617" s="1479">
        <f t="shared" si="80"/>
        <v>0</v>
      </c>
      <c r="L617" s="1431"/>
      <c r="M617" s="1463" t="str">
        <f>IF(SUM(H617)=SUM(C617),"",SUM(H617)-SUM(C617))</f>
        <v/>
      </c>
      <c r="N617" s="1463" t="str">
        <f>IF(SUM(I617)=SUM(D617),"",SUM(I617)-SUM(D617))</f>
        <v/>
      </c>
      <c r="O617" s="1463" t="str">
        <f>IF(SUM(J617)=SUM(E617),"",SUM(J617)-SUM(E617))</f>
        <v/>
      </c>
      <c r="P617" s="1463" t="str">
        <f>IF(SUM(K617)=SUM(F617),"",SUM(K617)-SUM(F617))</f>
        <v/>
      </c>
      <c r="Q617" s="1464" t="str">
        <f>[1]ExpFactors!$I$68</f>
        <v>des</v>
      </c>
      <c r="R617" s="1402"/>
      <c r="S617" s="1403"/>
      <c r="T617" s="1403"/>
      <c r="U617" s="1394">
        <v>617</v>
      </c>
      <c r="V617" s="1421"/>
    </row>
    <row r="618" spans="1:22" ht="15.75" customHeight="1">
      <c r="A618" s="1543" t="str">
        <f>IF(Data!A618="","",Data!A618)</f>
        <v>Aerated cold drinks purchase</v>
      </c>
      <c r="B618" s="1431"/>
      <c r="C618" s="1479"/>
      <c r="D618" s="1479"/>
      <c r="E618" s="1479"/>
      <c r="F618" s="1479"/>
      <c r="G618" s="1431"/>
      <c r="H618" s="1533"/>
      <c r="I618" s="1533"/>
      <c r="J618" s="1533"/>
      <c r="K618" s="1533"/>
      <c r="L618" s="1431"/>
      <c r="M618" s="1427"/>
      <c r="N618" s="1427"/>
      <c r="O618" s="1427"/>
      <c r="P618" s="1427"/>
      <c r="Q618" s="1464"/>
      <c r="R618" s="1402"/>
      <c r="S618" s="1403"/>
      <c r="T618" s="1403"/>
      <c r="U618" s="1394">
        <v>618</v>
      </c>
      <c r="V618" s="1421"/>
    </row>
    <row r="619" spans="1:22" ht="15.75" customHeight="1">
      <c r="A619" s="1544" t="s">
        <v>293</v>
      </c>
      <c r="B619" s="1431"/>
      <c r="C619" s="1444" t="str">
        <f>IF(Data!BV619="","",Data!BV619)</f>
        <v/>
      </c>
      <c r="D619" s="1444" t="str">
        <f>IF(Data!BW619="","",Data!BW619)</f>
        <v/>
      </c>
      <c r="E619" s="1444" t="str">
        <f>IF(Data!BX619="","",Data!BX619)</f>
        <v/>
      </c>
      <c r="F619" s="1444" t="str">
        <f>IF(Data!BY619="","",Data!BY619)</f>
        <v/>
      </c>
      <c r="G619" s="1431"/>
      <c r="H619" s="1533">
        <f>IF(H$46="","",IF('Exp factors'!$B43="poor",'Exp factors'!$G$43*H$46,SUM(C619)*'Exp factors'!C$43))</f>
        <v>120.78211858648042</v>
      </c>
      <c r="I619" s="1533">
        <f>IF(I$46="","",IF('Exp factors'!$B43="poor",'Exp factors'!$G$43*I$46,SUM(D619)*'Exp factors'!D$43))</f>
        <v>120.78211858648042</v>
      </c>
      <c r="J619" s="1533">
        <f>IF(J$46="","",IF('Exp factors'!$B43="poor",'Exp factors'!$G$43*J$46,SUM(E619)*'Exp factors'!E$43))</f>
        <v>120.78211858648042</v>
      </c>
      <c r="K619" s="1533">
        <f>IF(K$46="","",IF('Exp factors'!$B43="poor",'Exp factors'!$G$43*K$46,SUM(F619)*'Exp factors'!F$43))</f>
        <v>135.87988340979047</v>
      </c>
      <c r="L619" s="1431"/>
      <c r="M619" s="1427"/>
      <c r="N619" s="1427"/>
      <c r="O619" s="1427"/>
      <c r="P619" s="1427"/>
      <c r="Q619" s="1464"/>
      <c r="R619" s="1402"/>
      <c r="S619" s="1403"/>
      <c r="T619" s="1403"/>
      <c r="U619" s="1394">
        <v>619</v>
      </c>
      <c r="V619" s="1421"/>
    </row>
    <row r="620" spans="1:22" ht="15.75" customHeight="1">
      <c r="A620" s="1511" t="s">
        <v>292</v>
      </c>
      <c r="B620" s="1431"/>
      <c r="C620" s="1488">
        <f>IF(Data!BV620="","",Data!BV620)</f>
        <v>1800.3239999999998</v>
      </c>
      <c r="D620" s="1488">
        <f>IF(Data!BW620="","",Data!BW620)</f>
        <v>1800.3239999999998</v>
      </c>
      <c r="E620" s="1488">
        <f>IF(Data!BX620="","",Data!BX620)</f>
        <v>1800.3239999999998</v>
      </c>
      <c r="F620" s="1488">
        <f>IF(Data!BY620="","",Data!BY620)</f>
        <v>1800.3239999999998</v>
      </c>
      <c r="G620" s="1431"/>
      <c r="H620" s="1427"/>
      <c r="I620" s="1427"/>
      <c r="J620" s="1427"/>
      <c r="K620" s="1427"/>
      <c r="L620" s="1431"/>
      <c r="M620" s="1449"/>
      <c r="N620" s="1449"/>
      <c r="O620" s="1449"/>
      <c r="P620" s="1449"/>
      <c r="Q620" s="1464"/>
      <c r="R620" s="1402"/>
      <c r="S620" s="1403"/>
      <c r="T620" s="1403"/>
      <c r="U620" s="1394">
        <v>620</v>
      </c>
      <c r="V620" s="1421"/>
    </row>
    <row r="621" spans="1:22" ht="15.75" customHeight="1">
      <c r="A621" s="1429" t="s">
        <v>252</v>
      </c>
      <c r="B621" s="1431"/>
      <c r="C621" s="1539" t="str">
        <f>IF(C619="","",C619*C620/C$46/365/$P$1)</f>
        <v/>
      </c>
      <c r="D621" s="1539" t="str">
        <f>IF(D619="","",D619*D620/D$46/365/$P$1)</f>
        <v/>
      </c>
      <c r="E621" s="1539" t="str">
        <f>IF(E619="","",E619*E620/E$46/365/$P$1)</f>
        <v/>
      </c>
      <c r="F621" s="1539" t="str">
        <f>IF(F619="","",F619*F620/F$46/365/$P$1)</f>
        <v/>
      </c>
      <c r="G621" s="1431"/>
      <c r="H621" s="1539">
        <f>IF(OR(H$46=0,H619=""),"",H619*SUM($D620)/H$46/365/$P$1)</f>
        <v>8.4622877826154574E-3</v>
      </c>
      <c r="I621" s="1539">
        <f>IF(OR(I$46=0,I619=""),"",I619*SUM($D620)/I$46/365/$P$1)</f>
        <v>8.4622877826154574E-3</v>
      </c>
      <c r="J621" s="1539">
        <f>IF(OR(J$46=0,J619=""),"",J619*SUM($D620)/J$46/365/$P$1)</f>
        <v>8.4622877826154574E-3</v>
      </c>
      <c r="K621" s="1539">
        <f>IF(OR(K$46=0,K619=""),"",K619*SUM($D620)/K$46/365/$P$1)</f>
        <v>8.4622877826154574E-3</v>
      </c>
      <c r="L621" s="1431"/>
      <c r="M621" s="1484">
        <f>IF(SUM(H621)=SUM(C621),"",SUM(H621)-SUM(C621))</f>
        <v>8.4622877826154574E-3</v>
      </c>
      <c r="N621" s="1484">
        <f>IF(SUM(I621)=SUM(D621),"",SUM(I621)-SUM(D621))</f>
        <v>8.4622877826154574E-3</v>
      </c>
      <c r="O621" s="1484">
        <f>IF(SUM(J621)=SUM(E621),"",SUM(J621)-SUM(E621))</f>
        <v>8.4622877826154574E-3</v>
      </c>
      <c r="P621" s="1484">
        <f>IF(SUM(K621)=SUM(F621),"",SUM(K621)-SUM(F621))</f>
        <v>8.4622877826154574E-3</v>
      </c>
      <c r="Q621" s="1464"/>
      <c r="R621" s="1402"/>
      <c r="S621" s="1403"/>
      <c r="T621" s="1403"/>
      <c r="U621" s="1394">
        <v>621</v>
      </c>
      <c r="V621" s="1421"/>
    </row>
    <row r="622" spans="1:22" ht="15.75" customHeight="1">
      <c r="A622" s="1532" t="s">
        <v>288</v>
      </c>
      <c r="B622" s="1431"/>
      <c r="C622" s="1444" t="str">
        <f>IF(Data!BV622="","",Data!BV622)</f>
        <v/>
      </c>
      <c r="D622" s="1444" t="str">
        <f>IF(Data!BW622="","",Data!BW622)</f>
        <v/>
      </c>
      <c r="E622" s="1444" t="str">
        <f>IF(Data!BX622="","",Data!BX622)</f>
        <v/>
      </c>
      <c r="F622" s="1444" t="str">
        <f>IF(Data!BY622="","",Data!BY622)</f>
        <v/>
      </c>
      <c r="G622" s="1431"/>
      <c r="H622" s="1536">
        <f>$I622</f>
        <v>13.123144876325089</v>
      </c>
      <c r="I622" s="1536">
        <f>IF(SUM($D622)=0,IF(SUM($C622)=0,IF(SUM($E622)=0,IF(SUM($F622)=0,'Exp factors'!$H$43,SUM($F622)),SUM($E622)),SUM($C622)),SUM($D622))</f>
        <v>13.123144876325089</v>
      </c>
      <c r="J622" s="1536">
        <f>$I622</f>
        <v>13.123144876325089</v>
      </c>
      <c r="K622" s="1536">
        <f>$I622</f>
        <v>13.123144876325089</v>
      </c>
      <c r="L622" s="1431"/>
      <c r="M622" s="1427"/>
      <c r="N622" s="1427"/>
      <c r="O622" s="1427"/>
      <c r="P622" s="1427"/>
      <c r="Q622" s="1464"/>
      <c r="R622" s="1402"/>
      <c r="S622" s="1403"/>
      <c r="T622" s="1403"/>
      <c r="U622" s="1394">
        <v>622</v>
      </c>
      <c r="V622" s="1421"/>
    </row>
    <row r="623" spans="1:22" ht="15.75" customHeight="1">
      <c r="A623" s="1429" t="s">
        <v>286</v>
      </c>
      <c r="B623" s="1431"/>
      <c r="C623" s="1540" t="str">
        <f>IF(C622="","",C619*C622)</f>
        <v/>
      </c>
      <c r="D623" s="1540" t="str">
        <f>IF(D622="","",D619*D622)</f>
        <v/>
      </c>
      <c r="E623" s="1540" t="str">
        <f>IF(E622="","",E619*E622)</f>
        <v/>
      </c>
      <c r="F623" s="1540" t="str">
        <f>IF(F622="","",F619*F622)</f>
        <v/>
      </c>
      <c r="G623" s="1431"/>
      <c r="H623" s="1540">
        <f>IF(H$46=0,"",IF($D622="",H619*H622,H619*$D622))</f>
        <v>1585.0412406798598</v>
      </c>
      <c r="I623" s="1540">
        <f t="shared" ref="I623:K623" si="81">IF(I$46=0,"",IF($D622="",I619*I622,I619*$D622))</f>
        <v>1585.0412406798598</v>
      </c>
      <c r="J623" s="1540">
        <f t="shared" si="81"/>
        <v>1585.0412406798598</v>
      </c>
      <c r="K623" s="1540">
        <f t="shared" si="81"/>
        <v>1783.1713957648421</v>
      </c>
      <c r="L623" s="1431"/>
      <c r="M623" s="1463">
        <f>IF(SUM(H623)=SUM(C623),"",SUM(H623)-SUM(C623))</f>
        <v>1585.0412406798598</v>
      </c>
      <c r="N623" s="1463">
        <f>IF(SUM(I623)=SUM(D623),"",SUM(I623)-SUM(D623))</f>
        <v>1585.0412406798598</v>
      </c>
      <c r="O623" s="1463">
        <f>IF(SUM(J623)=SUM(E623),"",SUM(J623)-SUM(E623))</f>
        <v>1585.0412406798598</v>
      </c>
      <c r="P623" s="1463">
        <f>IF(SUM(K623)=SUM(F623),"",SUM(K623)-SUM(F623))</f>
        <v>1783.1713957648421</v>
      </c>
      <c r="Q623" s="1464" t="str">
        <f>[1]ExpFactors!$I$43</f>
        <v>fpl</v>
      </c>
      <c r="R623" s="1402"/>
      <c r="S623" s="1403"/>
      <c r="T623" s="1403"/>
      <c r="U623" s="1394">
        <v>623</v>
      </c>
      <c r="V623" s="1421"/>
    </row>
    <row r="624" spans="1:22" ht="15.75" customHeight="1">
      <c r="A624" s="1500" t="str">
        <f>IF(Data!A624="","",Data!A624)</f>
        <v>Butternut</v>
      </c>
      <c r="B624" s="1431"/>
      <c r="C624" s="1479"/>
      <c r="D624" s="1479"/>
      <c r="E624" s="1479"/>
      <c r="F624" s="1479"/>
      <c r="G624" s="1431"/>
      <c r="H624" s="1533"/>
      <c r="I624" s="1533"/>
      <c r="J624" s="1533"/>
      <c r="K624" s="1533"/>
      <c r="L624" s="1431"/>
      <c r="M624" s="1427"/>
      <c r="N624" s="1427"/>
      <c r="O624" s="1427"/>
      <c r="P624" s="1427"/>
      <c r="Q624" s="1464"/>
      <c r="R624" s="1402"/>
      <c r="S624" s="1403"/>
      <c r="T624" s="1403"/>
      <c r="U624" s="1394">
        <v>624</v>
      </c>
      <c r="V624" s="1421"/>
    </row>
    <row r="625" spans="1:22" ht="15.75" customHeight="1">
      <c r="A625" s="1544" t="s">
        <v>293</v>
      </c>
      <c r="B625" s="1431"/>
      <c r="C625" s="1444" t="str">
        <f>IF(Data!BV625="","",Data!BV625)</f>
        <v/>
      </c>
      <c r="D625" s="1444" t="str">
        <f>IF(Data!BW625="","",Data!BW625)</f>
        <v/>
      </c>
      <c r="E625" s="1444" t="str">
        <f>IF(Data!BX625="","",Data!BX625)</f>
        <v/>
      </c>
      <c r="F625" s="1444" t="str">
        <f>IF(Data!BY625="","",Data!BY625)</f>
        <v/>
      </c>
      <c r="G625" s="1431"/>
      <c r="H625" s="1533">
        <f>IF(H$46="","",IF('Exp factors'!$B66="poor",'Exp factors'!$G$66*H$46,SUM(C625)*'Exp factors'!C$66))</f>
        <v>0</v>
      </c>
      <c r="I625" s="1533">
        <f>IF(I$46="","",IF('Exp factors'!$B66="poor",'Exp factors'!$G$66*I$46,SUM(D625)*'Exp factors'!D$66))</f>
        <v>0</v>
      </c>
      <c r="J625" s="1533">
        <f>IF(J$46="","",IF('Exp factors'!$B66="poor",'Exp factors'!$G$66*J$46,SUM(E625)*'Exp factors'!E$66))</f>
        <v>0</v>
      </c>
      <c r="K625" s="1533">
        <f>IF(K$46="","",IF('Exp factors'!$B66="poor",'Exp factors'!$G$66*K$46,SUM(F625)*'Exp factors'!F$66))</f>
        <v>0</v>
      </c>
      <c r="L625" s="1431"/>
      <c r="M625" s="1427"/>
      <c r="N625" s="1427"/>
      <c r="O625" s="1427"/>
      <c r="P625" s="1427"/>
      <c r="Q625" s="1464"/>
      <c r="R625" s="1402"/>
      <c r="S625" s="1403"/>
      <c r="T625" s="1403"/>
      <c r="U625" s="1394">
        <v>625</v>
      </c>
      <c r="V625" s="1421"/>
    </row>
    <row r="626" spans="1:22" ht="15.75" customHeight="1">
      <c r="A626" s="1511" t="s">
        <v>292</v>
      </c>
      <c r="B626" s="1431"/>
      <c r="C626" s="1444">
        <f>IF(Data!BV626="","",Data!BV626)</f>
        <v>1510</v>
      </c>
      <c r="D626" s="1444">
        <f>IF(Data!BW626="","",Data!BW626)</f>
        <v>1510</v>
      </c>
      <c r="E626" s="1444">
        <f>IF(Data!BX626="","",Data!BX626)</f>
        <v>1510</v>
      </c>
      <c r="F626" s="1444">
        <f>IF(Data!BY626="","",Data!BY626)</f>
        <v>1510</v>
      </c>
      <c r="G626" s="1431"/>
      <c r="H626" s="1427"/>
      <c r="I626" s="1427"/>
      <c r="J626" s="1427"/>
      <c r="K626" s="1427"/>
      <c r="L626" s="1431"/>
      <c r="M626" s="1449"/>
      <c r="N626" s="1449"/>
      <c r="O626" s="1449"/>
      <c r="P626" s="1449"/>
      <c r="Q626" s="1464"/>
      <c r="R626" s="1402"/>
      <c r="S626" s="1403"/>
      <c r="T626" s="1403"/>
      <c r="U626" s="1394">
        <v>626</v>
      </c>
      <c r="V626" s="1421"/>
    </row>
    <row r="627" spans="1:22" ht="15.75" customHeight="1">
      <c r="A627" s="1429" t="s">
        <v>252</v>
      </c>
      <c r="B627" s="1431"/>
      <c r="C627" s="1483" t="str">
        <f>IF(C625="","",C625*C626/C$46/365/$P$1)</f>
        <v/>
      </c>
      <c r="D627" s="1483" t="str">
        <f>IF(D625="","",D625*D626/D$46/365/$P$1)</f>
        <v/>
      </c>
      <c r="E627" s="1483" t="str">
        <f>IF(E625="","",E625*E626/E$46/365/$P$1)</f>
        <v/>
      </c>
      <c r="F627" s="1483" t="str">
        <f>IF(F625="","",F625*F626/F$46/365/$P$1)</f>
        <v/>
      </c>
      <c r="G627" s="1431"/>
      <c r="H627" s="1483">
        <f>IF(OR(H$46=0,H625=""),"",H625*SUM($D626)/H$46/365/$P$1)</f>
        <v>0</v>
      </c>
      <c r="I627" s="1483">
        <f>IF(OR(I$46=0,I625=""),"",I625*SUM($D626)/I$46/365/$P$1)</f>
        <v>0</v>
      </c>
      <c r="J627" s="1483">
        <f>IF(OR(J$46=0,J625=""),"",J625*SUM($D626)/J$46/365/$P$1)</f>
        <v>0</v>
      </c>
      <c r="K627" s="1483">
        <f>IF(OR(K$46=0,K625=""),"",K625*SUM($D626)/K$46/365/$P$1)</f>
        <v>0</v>
      </c>
      <c r="L627" s="1431"/>
      <c r="M627" s="1484" t="str">
        <f>IF(SUM(H627)=SUM(C627),"",SUM(H627)-SUM(C627))</f>
        <v/>
      </c>
      <c r="N627" s="1484" t="str">
        <f>IF(SUM(I627)=SUM(D627),"",SUM(I627)-SUM(D627))</f>
        <v/>
      </c>
      <c r="O627" s="1484" t="str">
        <f>IF(SUM(J627)=SUM(E627),"",SUM(J627)-SUM(E627))</f>
        <v/>
      </c>
      <c r="P627" s="1484" t="str">
        <f>IF(SUM(K627)=SUM(F627),"",SUM(K627)-SUM(F627))</f>
        <v/>
      </c>
      <c r="Q627" s="1464"/>
      <c r="R627" s="1402"/>
      <c r="S627" s="1403"/>
      <c r="T627" s="1403"/>
      <c r="U627" s="1394">
        <v>627</v>
      </c>
      <c r="V627" s="1421"/>
    </row>
    <row r="628" spans="1:22" ht="15.75" customHeight="1">
      <c r="A628" s="1532" t="s">
        <v>288</v>
      </c>
      <c r="B628" s="1431"/>
      <c r="C628" s="1444" t="str">
        <f>IF(Data!BV628="","",Data!BV628)</f>
        <v/>
      </c>
      <c r="D628" s="1444" t="str">
        <f>IF(Data!BW628="","",Data!BW628)</f>
        <v/>
      </c>
      <c r="E628" s="1444" t="str">
        <f>IF(Data!BX628="","",Data!BX628)</f>
        <v/>
      </c>
      <c r="F628" s="1444" t="str">
        <f>IF(Data!BY628="","",Data!BY628)</f>
        <v/>
      </c>
      <c r="G628" s="1431"/>
      <c r="H628" s="1427"/>
      <c r="I628" s="1427"/>
      <c r="J628" s="1427"/>
      <c r="K628" s="1427"/>
      <c r="L628" s="1431"/>
      <c r="M628" s="1427"/>
      <c r="N628" s="1427"/>
      <c r="O628" s="1427"/>
      <c r="P628" s="1427"/>
      <c r="Q628" s="1464"/>
      <c r="R628" s="1402"/>
      <c r="S628" s="1403"/>
      <c r="T628" s="1403"/>
      <c r="U628" s="1394">
        <v>628</v>
      </c>
      <c r="V628" s="1421"/>
    </row>
    <row r="629" spans="1:22" ht="15.75" customHeight="1">
      <c r="A629" s="1429" t="s">
        <v>286</v>
      </c>
      <c r="B629" s="1431"/>
      <c r="C629" s="1479" t="str">
        <f>IF(C628="","",C625*C628)</f>
        <v/>
      </c>
      <c r="D629" s="1479" t="str">
        <f>IF(D628="","",D625*D628)</f>
        <v/>
      </c>
      <c r="E629" s="1479" t="str">
        <f>IF(E628="","",E625*E628)</f>
        <v/>
      </c>
      <c r="F629" s="1479" t="str">
        <f>IF(F628="","",F625*F628)</f>
        <v/>
      </c>
      <c r="G629" s="1431"/>
      <c r="H629" s="1479">
        <f>IF(H$46=0,"",IF($D628="",H625*[1]ExpFactors!$H$66,H625*$D628))</f>
        <v>0</v>
      </c>
      <c r="I629" s="1479">
        <f>IF(I$46=0,"",IF($D628="",I625*[1]ExpFactors!$H$66,I625*$D628))</f>
        <v>0</v>
      </c>
      <c r="J629" s="1479">
        <f>IF(J$46=0,"",IF($D628="",J625*[1]ExpFactors!$H$66,J625*$D628))</f>
        <v>0</v>
      </c>
      <c r="K629" s="1479">
        <f>IF(K$46=0,"",IF($D628="",K625*[1]ExpFactors!$H$66,K625*$D628))</f>
        <v>0</v>
      </c>
      <c r="L629" s="1431"/>
      <c r="M629" s="1463" t="str">
        <f>IF(SUM(H629)=SUM(C629),"",SUM(H629)-SUM(C629))</f>
        <v/>
      </c>
      <c r="N629" s="1463" t="str">
        <f>IF(SUM(I629)=SUM(D629),"",SUM(I629)-SUM(D629))</f>
        <v/>
      </c>
      <c r="O629" s="1463" t="str">
        <f>IF(SUM(J629)=SUM(E629),"",SUM(J629)-SUM(E629))</f>
        <v/>
      </c>
      <c r="P629" s="1463" t="str">
        <f>IF(SUM(K629)=SUM(F629),"",SUM(K629)-SUM(F629))</f>
        <v/>
      </c>
      <c r="Q629" s="1464" t="str">
        <f>[1]ExpFactors!$I$66</f>
        <v>des</v>
      </c>
      <c r="R629" s="1402"/>
      <c r="S629" s="1403"/>
      <c r="T629" s="1403"/>
      <c r="U629" s="1394">
        <v>629</v>
      </c>
      <c r="V629" s="1421"/>
    </row>
    <row r="630" spans="1:22" ht="15.75" customHeight="1">
      <c r="A630" s="1529" t="str">
        <f>IF(Data!A630="","",Data!A630)</f>
        <v xml:space="preserve">Baking flour </v>
      </c>
      <c r="B630" s="1431"/>
      <c r="C630" s="1479"/>
      <c r="D630" s="1479"/>
      <c r="E630" s="1479"/>
      <c r="F630" s="1479"/>
      <c r="G630" s="1431"/>
      <c r="H630" s="1533"/>
      <c r="I630" s="1533"/>
      <c r="J630" s="1533"/>
      <c r="K630" s="1533"/>
      <c r="L630" s="1431"/>
      <c r="M630" s="1427"/>
      <c r="N630" s="1427"/>
      <c r="O630" s="1427"/>
      <c r="P630" s="1427"/>
      <c r="Q630" s="1464"/>
      <c r="R630" s="1402"/>
      <c r="S630" s="1403"/>
      <c r="T630" s="1403"/>
      <c r="U630" s="1394">
        <v>630</v>
      </c>
      <c r="V630" s="1421"/>
    </row>
    <row r="631" spans="1:22" ht="15.75" customHeight="1">
      <c r="A631" s="1544" t="s">
        <v>293</v>
      </c>
      <c r="B631" s="1431"/>
      <c r="C631" s="1444">
        <f>IF(Data!BV631="","",Data!BV631)</f>
        <v>120</v>
      </c>
      <c r="D631" s="1444">
        <f>IF(Data!BW631="","",Data!BW631)</f>
        <v>120</v>
      </c>
      <c r="E631" s="1444">
        <f>IF(Data!BX631="","",Data!BX631)</f>
        <v>120</v>
      </c>
      <c r="F631" s="1444">
        <f>IF(Data!BY631="","",Data!BY631)</f>
        <v>120</v>
      </c>
      <c r="G631" s="1431"/>
      <c r="H631" s="1533">
        <f>IF(H$46="","",IF('Exp factors'!$B67="poor",'Exp factors'!$G$67*H$46,SUM(C631)*'Exp factors'!C$67))</f>
        <v>0</v>
      </c>
      <c r="I631" s="1533">
        <f>IF(I$46="","",IF('Exp factors'!$B67="poor",'Exp factors'!$G$67*I$46,SUM(D631)*'Exp factors'!D$67))</f>
        <v>0</v>
      </c>
      <c r="J631" s="1533">
        <f>IF(J$46="","",IF('Exp factors'!$B67="poor",'Exp factors'!$G$67*J$46,SUM(E631)*'Exp factors'!E$67))</f>
        <v>0</v>
      </c>
      <c r="K631" s="1533">
        <f>IF(K$46="","",IF('Exp factors'!$B67="poor",'Exp factors'!$G$67*K$46,SUM(F631)*'Exp factors'!F$67))</f>
        <v>0</v>
      </c>
      <c r="L631" s="1431"/>
      <c r="M631" s="1427"/>
      <c r="N631" s="1427"/>
      <c r="O631" s="1427"/>
      <c r="P631" s="1427"/>
      <c r="Q631" s="1464"/>
      <c r="R631" s="1402"/>
      <c r="S631" s="1403"/>
      <c r="T631" s="1403"/>
      <c r="U631" s="1394">
        <v>631</v>
      </c>
      <c r="V631" s="1421"/>
    </row>
    <row r="632" spans="1:22" ht="15.75" customHeight="1">
      <c r="A632" s="1511" t="s">
        <v>292</v>
      </c>
      <c r="B632" s="1431"/>
      <c r="C632" s="1444">
        <f>IF(Data!BV632="","",Data!BV632)</f>
        <v>14486.328</v>
      </c>
      <c r="D632" s="1444">
        <f>IF(Data!BW632="","",Data!BW632)</f>
        <v>14486.328</v>
      </c>
      <c r="E632" s="1444">
        <f>IF(Data!BX632="","",Data!BX632)</f>
        <v>14486.328</v>
      </c>
      <c r="F632" s="1444">
        <f>IF(Data!BY632="","",Data!BY632)</f>
        <v>14486.328</v>
      </c>
      <c r="G632" s="1431"/>
      <c r="H632" s="1427"/>
      <c r="I632" s="1427"/>
      <c r="J632" s="1427"/>
      <c r="K632" s="1427"/>
      <c r="L632" s="1431"/>
      <c r="M632" s="1449"/>
      <c r="N632" s="1449"/>
      <c r="O632" s="1449"/>
      <c r="P632" s="1449"/>
      <c r="Q632" s="1464"/>
      <c r="R632" s="1402"/>
      <c r="S632" s="1403"/>
      <c r="T632" s="1403"/>
      <c r="U632" s="1394">
        <v>632</v>
      </c>
      <c r="V632" s="1421"/>
    </row>
    <row r="633" spans="1:22" ht="15.75" customHeight="1">
      <c r="A633" s="1429" t="s">
        <v>252</v>
      </c>
      <c r="B633" s="1431"/>
      <c r="C633" s="1530">
        <f>IF(C631="","",C631*C632/C$46/365/$P$1)</f>
        <v>6.7650971357409703E-2</v>
      </c>
      <c r="D633" s="1530">
        <f>IF(D631="","",D631*D632/D$46/365/$P$1)</f>
        <v>6.7650971357409703E-2</v>
      </c>
      <c r="E633" s="1530">
        <f>IF(E631="","",E631*E632/E$46/365/$P$1)</f>
        <v>6.7650971357409703E-2</v>
      </c>
      <c r="F633" s="1530">
        <f>IF(F631="","",F631*F632/F$46/365/$P$1)</f>
        <v>6.0134196762141955E-2</v>
      </c>
      <c r="G633" s="1431"/>
      <c r="H633" s="1530">
        <f>IF(OR(H$46=0,H631=""),"",H631*SUM($D632)/H$46/365/$P$1)</f>
        <v>0</v>
      </c>
      <c r="I633" s="1530">
        <f>IF(OR(I$46=0,I631=""),"",I631*SUM($D632)/I$46/365/$P$1)</f>
        <v>0</v>
      </c>
      <c r="J633" s="1530">
        <f>IF(OR(J$46=0,J631=""),"",J631*SUM($D632)/J$46/365/$P$1)</f>
        <v>0</v>
      </c>
      <c r="K633" s="1530">
        <f>IF(OR(K$46=0,K631=""),"",K631*SUM($D632)/K$46/365/$P$1)</f>
        <v>0</v>
      </c>
      <c r="L633" s="1431"/>
      <c r="M633" s="1530">
        <f>IF(SUM(H633)=SUM(C633),"",SUM(H633)-SUM(C633))</f>
        <v>-6.7650971357409703E-2</v>
      </c>
      <c r="N633" s="1530">
        <f>IF(SUM(I633)=SUM(D633),"",SUM(I633)-SUM(D633))</f>
        <v>-6.7650971357409703E-2</v>
      </c>
      <c r="O633" s="1530">
        <f>IF(SUM(J633)=SUM(E633),"",SUM(J633)-SUM(E633))</f>
        <v>-6.7650971357409703E-2</v>
      </c>
      <c r="P633" s="1530">
        <f>IF(SUM(K633)=SUM(F633),"",SUM(K633)-SUM(F633))</f>
        <v>-6.0134196762141955E-2</v>
      </c>
      <c r="Q633" s="1464"/>
      <c r="R633" s="1402"/>
      <c r="S633" s="1403"/>
      <c r="T633" s="1403"/>
      <c r="U633" s="1394">
        <v>633</v>
      </c>
      <c r="V633" s="1421"/>
    </row>
    <row r="634" spans="1:22" ht="15.75" customHeight="1">
      <c r="A634" s="1532" t="s">
        <v>288</v>
      </c>
      <c r="B634" s="1431"/>
      <c r="C634" s="1444">
        <f>IF(Data!BV634="","",Data!BV634)</f>
        <v>7</v>
      </c>
      <c r="D634" s="1444">
        <f>IF(Data!BW634="","",Data!BW634)</f>
        <v>7</v>
      </c>
      <c r="E634" s="1444">
        <f>IF(Data!BX634="","",Data!BX634)</f>
        <v>7</v>
      </c>
      <c r="F634" s="1444">
        <f>IF(Data!BY634="","",Data!BY634)</f>
        <v>7</v>
      </c>
      <c r="G634" s="1431"/>
      <c r="H634" s="1427">
        <f>$I634</f>
        <v>7</v>
      </c>
      <c r="I634" s="1427">
        <f>IF(SUM($D634)=0,IF(SUM($C634)=0,IF(SUM($E634)=0,IF(SUM($F634)=0,'Exp factors'!$H$69,SUM($F634)),SUM($E634)),SUM($C634)),SUM($D634))</f>
        <v>7</v>
      </c>
      <c r="J634" s="1427">
        <f>$I634</f>
        <v>7</v>
      </c>
      <c r="K634" s="1427">
        <f>$I634</f>
        <v>7</v>
      </c>
      <c r="L634" s="1431"/>
      <c r="M634" s="1427"/>
      <c r="N634" s="1427"/>
      <c r="O634" s="1427"/>
      <c r="P634" s="1427"/>
      <c r="Q634" s="1464"/>
      <c r="R634" s="1402"/>
      <c r="S634" s="1403"/>
      <c r="T634" s="1403"/>
      <c r="U634" s="1394">
        <v>634</v>
      </c>
      <c r="V634" s="1421"/>
    </row>
    <row r="635" spans="1:22" ht="15.75" customHeight="1">
      <c r="A635" s="1429" t="s">
        <v>286</v>
      </c>
      <c r="B635" s="1431"/>
      <c r="C635" s="1537">
        <f>IF(C634="","",C631*C634)</f>
        <v>840</v>
      </c>
      <c r="D635" s="1537">
        <f>IF(D634="","",D631*D634)</f>
        <v>840</v>
      </c>
      <c r="E635" s="1537">
        <f>IF(E634="","",E631*E634)</f>
        <v>840</v>
      </c>
      <c r="F635" s="1537">
        <f>IF(F634="","",F631*F634)</f>
        <v>840</v>
      </c>
      <c r="G635" s="1431"/>
      <c r="H635" s="1479">
        <f>IF(H$46=0,"",IF($D634="",H631*H634,H631*$D634))</f>
        <v>0</v>
      </c>
      <c r="I635" s="1479">
        <f t="shared" ref="I635:K635" si="82">IF(I$46=0,"",IF($D634="",I631*I634,I631*$D634))</f>
        <v>0</v>
      </c>
      <c r="J635" s="1479">
        <f t="shared" si="82"/>
        <v>0</v>
      </c>
      <c r="K635" s="1479">
        <f t="shared" si="82"/>
        <v>0</v>
      </c>
      <c r="L635" s="1431"/>
      <c r="M635" s="1537">
        <f>IF(SUM(H635)=SUM(C635),"",SUM(H635)-SUM(C635))</f>
        <v>-840</v>
      </c>
      <c r="N635" s="1537">
        <f>IF(SUM(I635)=SUM(D635),"",SUM(I635)-SUM(D635))</f>
        <v>-840</v>
      </c>
      <c r="O635" s="1537">
        <f>IF(SUM(J635)=SUM(E635),"",SUM(J635)-SUM(E635))</f>
        <v>-840</v>
      </c>
      <c r="P635" s="1537">
        <f>IF(SUM(K635)=SUM(F635),"",SUM(K635)-SUM(F635))</f>
        <v>-840</v>
      </c>
      <c r="Q635" s="1464" t="str">
        <f>[1]ExpFactors!$I$67</f>
        <v>des</v>
      </c>
      <c r="R635" s="1402"/>
      <c r="S635" s="1403"/>
      <c r="T635" s="1403"/>
      <c r="U635" s="1394">
        <v>635</v>
      </c>
      <c r="V635" s="1421"/>
    </row>
    <row r="636" spans="1:22" ht="15.75" customHeight="1">
      <c r="A636" s="1545" t="str">
        <f>IF(Data!A636="","",Data!A636)</f>
        <v>Other purchase -- see Data 4</v>
      </c>
      <c r="B636" s="1431"/>
      <c r="C636" s="1444" t="str">
        <f>IF(Data!BV636="","",Data!BV636)</f>
        <v/>
      </c>
      <c r="D636" s="1444" t="str">
        <f>IF(Data!BW636="","",Data!BW636)</f>
        <v/>
      </c>
      <c r="E636" s="1444" t="str">
        <f>IF(Data!BX636="","",Data!BX636)</f>
        <v/>
      </c>
      <c r="F636" s="1444" t="str">
        <f>IF(Data!BY636="","",Data!BY636)</f>
        <v/>
      </c>
      <c r="G636" s="1431"/>
      <c r="H636" s="1427"/>
      <c r="I636" s="1427"/>
      <c r="J636" s="1427"/>
      <c r="K636" s="1427"/>
      <c r="L636" s="1431"/>
      <c r="M636" s="1427"/>
      <c r="N636" s="1427"/>
      <c r="O636" s="1427"/>
      <c r="P636" s="1427"/>
      <c r="Q636" s="1464"/>
      <c r="R636" s="1378"/>
      <c r="S636" s="1378"/>
      <c r="T636" s="1378"/>
      <c r="U636" s="1394">
        <v>636</v>
      </c>
      <c r="V636" s="1421"/>
    </row>
    <row r="637" spans="1:22" ht="15.75" hidden="1" customHeight="1">
      <c r="A637" s="1429" t="s">
        <v>293</v>
      </c>
      <c r="B637" s="1433"/>
      <c r="C637" s="1444" t="str">
        <f>IF(Data!BV637="","",Data!BV637)</f>
        <v/>
      </c>
      <c r="D637" s="1444" t="str">
        <f>IF(Data!BW637="","",Data!BW637)</f>
        <v/>
      </c>
      <c r="E637" s="1444" t="str">
        <f>IF(Data!BX637="","",Data!BX637)</f>
        <v/>
      </c>
      <c r="F637" s="1444" t="str">
        <f>IF(Data!BY637="","",Data!BY637)</f>
        <v/>
      </c>
      <c r="G637" s="1431"/>
      <c r="H637" s="1533">
        <f>IF(H$46="","",IF('Exp factors'!$B69="poor",'Exp factors'!$G$69*H$46/H638,SUM(C637)*'Exp factors'!C$69))</f>
        <v>0</v>
      </c>
      <c r="I637" s="1533">
        <f>IF(I$46="","",IF('Exp factors'!$B69="poor",'Exp factors'!$G$69*I$46/I638,SUM(D637)*'Exp factors'!D$69))</f>
        <v>0</v>
      </c>
      <c r="J637" s="1533">
        <f>IF(J$46="","",IF('Exp factors'!$B69="poor",'Exp factors'!$G$69*J$46/J638,SUM(E637)*'Exp factors'!E$69))</f>
        <v>0</v>
      </c>
      <c r="K637" s="1533">
        <f>IF(K$46="","",IF('Exp factors'!$B69="poor",'Exp factors'!$G$69*K$46/K638,SUM(F637)*'Exp factors'!F$69))</f>
        <v>0</v>
      </c>
      <c r="L637" s="1431"/>
      <c r="M637" s="1427"/>
      <c r="N637" s="1427"/>
      <c r="O637" s="1427"/>
      <c r="P637" s="1427"/>
      <c r="Q637" s="1464"/>
      <c r="R637" s="1402"/>
      <c r="S637" s="1403"/>
      <c r="T637" s="1403"/>
      <c r="U637" s="1394">
        <v>637</v>
      </c>
      <c r="V637" s="1421"/>
    </row>
    <row r="638" spans="1:22" ht="15.75" hidden="1" customHeight="1">
      <c r="A638" s="1429" t="s">
        <v>289</v>
      </c>
      <c r="B638" s="1431"/>
      <c r="C638" s="1444" t="str">
        <f>IF(Data!BV638="","",Data!BV638)</f>
        <v/>
      </c>
      <c r="D638" s="1444" t="str">
        <f>IF(Data!BW638="","",Data!BW638)</f>
        <v/>
      </c>
      <c r="E638" s="1444" t="str">
        <f>IF(Data!BX638="","",Data!BX638)</f>
        <v/>
      </c>
      <c r="F638" s="1444" t="str">
        <f>IF(Data!BY638="","",Data!BY638)</f>
        <v/>
      </c>
      <c r="G638" s="1431"/>
      <c r="H638" s="1534">
        <f>I638</f>
        <v>0</v>
      </c>
      <c r="I638" s="1534">
        <f>SUM(D638)</f>
        <v>0</v>
      </c>
      <c r="J638" s="1534">
        <f>I638</f>
        <v>0</v>
      </c>
      <c r="K638" s="1534">
        <f>I638</f>
        <v>0</v>
      </c>
      <c r="L638" s="1431"/>
      <c r="M638" s="1427"/>
      <c r="N638" s="1427"/>
      <c r="O638" s="1427"/>
      <c r="P638" s="1427"/>
      <c r="Q638" s="1464"/>
      <c r="R638" s="1402"/>
      <c r="S638" s="1403"/>
      <c r="T638" s="1403"/>
      <c r="U638" s="1394">
        <v>638</v>
      </c>
      <c r="V638" s="1421"/>
    </row>
    <row r="639" spans="1:22" ht="15.75" hidden="1" customHeight="1">
      <c r="A639" s="1511" t="s">
        <v>292</v>
      </c>
      <c r="B639" s="1431"/>
      <c r="C639" s="1444" t="str">
        <f>IF(Data!BV639="","",Data!BV639)</f>
        <v/>
      </c>
      <c r="D639" s="1444" t="str">
        <f>IF(Data!BW639="","",Data!BW639)</f>
        <v/>
      </c>
      <c r="E639" s="1444" t="str">
        <f>IF(Data!BX639="","",Data!BX639)</f>
        <v/>
      </c>
      <c r="F639" s="1444" t="str">
        <f>IF(Data!BY639="","",Data!BY639)</f>
        <v/>
      </c>
      <c r="G639" s="1431"/>
      <c r="H639" s="1427"/>
      <c r="I639" s="1427"/>
      <c r="J639" s="1427"/>
      <c r="K639" s="1427"/>
      <c r="L639" s="1431"/>
      <c r="M639" s="1449"/>
      <c r="N639" s="1449"/>
      <c r="O639" s="1449"/>
      <c r="P639" s="1449"/>
      <c r="Q639" s="1464"/>
      <c r="R639" s="1402"/>
      <c r="S639" s="1403"/>
      <c r="T639" s="1403"/>
      <c r="U639" s="1394">
        <v>639</v>
      </c>
      <c r="V639" s="1421"/>
    </row>
    <row r="640" spans="1:22" ht="15.75" customHeight="1">
      <c r="A640" s="1429" t="s">
        <v>252</v>
      </c>
      <c r="B640" s="1431"/>
      <c r="C640" s="1354">
        <f>'Data 4'!BV73</f>
        <v>3.314115504358655E-2</v>
      </c>
      <c r="D640" s="1354">
        <f>'Data 4'!BW73</f>
        <v>3.314115504358655E-2</v>
      </c>
      <c r="E640" s="1354">
        <f>'Data 4'!BX73</f>
        <v>3.314115504358655E-2</v>
      </c>
      <c r="F640" s="1354">
        <f>'Data 4'!BY73</f>
        <v>2.7003904109589038E-2</v>
      </c>
      <c r="G640" s="1443"/>
      <c r="H640" s="1483">
        <f>IF(H$46=0,"",H637*H638*SUM($D639)/H$46/365/$P$1)</f>
        <v>0</v>
      </c>
      <c r="I640" s="1483">
        <f>IF(I$46=0,"",I637*I638*SUM($D639)/I$46/365/$P$1)</f>
        <v>0</v>
      </c>
      <c r="J640" s="1483">
        <f>IF(J$46=0,"",J637*J638*SUM($D639)/J$46/365/$P$1)</f>
        <v>0</v>
      </c>
      <c r="K640" s="1483">
        <f>IF(K$46=0,"",K637*K638*SUM($D639)/K$46/365/$P$1)</f>
        <v>0</v>
      </c>
      <c r="L640" s="1443"/>
      <c r="M640" s="1484">
        <f>IF(SUM(H640)=SUM(C640),"",SUM(H640)-SUM(C640))</f>
        <v>-3.314115504358655E-2</v>
      </c>
      <c r="N640" s="1484">
        <f>IF(SUM(I640)=SUM(D640),"",SUM(I640)-SUM(D640))</f>
        <v>-3.314115504358655E-2</v>
      </c>
      <c r="O640" s="1484">
        <f>IF(SUM(J640)=SUM(E640),"",SUM(J640)-SUM(E640))</f>
        <v>-3.314115504358655E-2</v>
      </c>
      <c r="P640" s="1484">
        <f>IF(SUM(K640)=SUM(F640),"",SUM(K640)-SUM(F640))</f>
        <v>-2.7003904109589038E-2</v>
      </c>
      <c r="Q640" s="1464"/>
      <c r="R640" s="1392"/>
      <c r="S640" s="1393"/>
      <c r="T640" s="1393"/>
      <c r="U640" s="1394">
        <v>640</v>
      </c>
      <c r="V640" s="1421"/>
    </row>
    <row r="641" spans="1:22" ht="15.75" hidden="1" customHeight="1">
      <c r="A641" s="1532" t="s">
        <v>288</v>
      </c>
      <c r="B641" s="1431"/>
      <c r="C641" s="1444" t="str">
        <f>IF(Data!BV641="","",Data!BV641)</f>
        <v/>
      </c>
      <c r="D641" s="1444" t="str">
        <f>IF(Data!BW641="","",Data!BW641)</f>
        <v/>
      </c>
      <c r="E641" s="1444" t="str">
        <f>IF(Data!BX641="","",Data!BX641)</f>
        <v/>
      </c>
      <c r="F641" s="1444" t="str">
        <f>IF(Data!BY641="","",Data!BY641)</f>
        <v/>
      </c>
      <c r="G641" s="1431"/>
      <c r="H641" s="1427"/>
      <c r="I641" s="1427"/>
      <c r="J641" s="1427"/>
      <c r="K641" s="1427"/>
      <c r="L641" s="1431"/>
      <c r="M641" s="1427"/>
      <c r="N641" s="1427"/>
      <c r="O641" s="1427"/>
      <c r="P641" s="1427"/>
      <c r="Q641" s="1464"/>
      <c r="R641" s="1445"/>
      <c r="S641" s="1446"/>
      <c r="T641" s="1446"/>
      <c r="U641" s="1394">
        <v>641</v>
      </c>
      <c r="V641" s="1421"/>
    </row>
    <row r="642" spans="1:22" ht="15.75" customHeight="1">
      <c r="A642" s="1429" t="s">
        <v>286</v>
      </c>
      <c r="B642" s="1432"/>
      <c r="C642" s="1355">
        <f>'Data 4'!BV74</f>
        <v>2160</v>
      </c>
      <c r="D642" s="1355">
        <f>'Data 4'!BW74</f>
        <v>2160</v>
      </c>
      <c r="E642" s="1355">
        <f>'Data 4'!BX74</f>
        <v>2160</v>
      </c>
      <c r="F642" s="1355">
        <f>'Data 4'!BY74</f>
        <v>1277</v>
      </c>
      <c r="G642" s="1431"/>
      <c r="H642" s="1479">
        <f>IF(H$46=0,"",IF($D641="",H637*H638*[1]ExpFactors!$H$69,H637*H638*$D641))</f>
        <v>0</v>
      </c>
      <c r="I642" s="1479">
        <f>IF(I$46=0,"",IF($D641="",I637*I638*[1]ExpFactors!$H$69,I637*I638*$D641))</f>
        <v>0</v>
      </c>
      <c r="J642" s="1479">
        <f>IF(J$46=0,"",IF($D641="",J637*J638*[1]ExpFactors!$H$69,J637*J638*$D641))</f>
        <v>0</v>
      </c>
      <c r="K642" s="1479">
        <f>IF(K$46=0,"",IF($D641="",K637*K638*[1]ExpFactors!$H$69,K637*K638*$D641))</f>
        <v>0</v>
      </c>
      <c r="L642" s="1431"/>
      <c r="M642" s="1463">
        <f>IF(SUM(H642)=SUM(C642),"",SUM(H642)-SUM(C642))</f>
        <v>-2160</v>
      </c>
      <c r="N642" s="1463">
        <f>IF(SUM(I642)=SUM(D642),"",SUM(I642)-SUM(D642))</f>
        <v>-2160</v>
      </c>
      <c r="O642" s="1463">
        <f>IF(SUM(J642)=SUM(E642),"",SUM(J642)-SUM(E642))</f>
        <v>-2160</v>
      </c>
      <c r="P642" s="1463">
        <f>IF(SUM(K642)=SUM(F642),"",SUM(K642)-SUM(F642))</f>
        <v>-1277</v>
      </c>
      <c r="Q642" s="1464" t="str">
        <f>[1]ExpFactors!$I$69</f>
        <v>dis</v>
      </c>
      <c r="R642" s="1402"/>
      <c r="S642" s="1403"/>
      <c r="T642" s="1403"/>
      <c r="U642" s="1394">
        <v>642</v>
      </c>
      <c r="V642" s="1421"/>
    </row>
    <row r="643" spans="1:22" ht="15.75" customHeight="1">
      <c r="A643" s="1546" t="s">
        <v>295</v>
      </c>
      <c r="B643" s="1433"/>
      <c r="C643" s="1547"/>
      <c r="D643" s="1547"/>
      <c r="E643" s="1547"/>
      <c r="F643" s="1466"/>
      <c r="G643" s="1516"/>
      <c r="H643" s="1427"/>
      <c r="I643" s="1427"/>
      <c r="J643" s="1427"/>
      <c r="K643" s="1427"/>
      <c r="L643" s="1516"/>
      <c r="M643" s="1502"/>
      <c r="N643" s="1502"/>
      <c r="O643" s="1502"/>
      <c r="P643" s="1502"/>
      <c r="Q643" s="1464"/>
      <c r="R643" s="1378"/>
      <c r="S643" s="1378"/>
      <c r="T643" s="1378"/>
      <c r="U643" s="1394">
        <v>643</v>
      </c>
      <c r="V643" s="1421"/>
    </row>
    <row r="644" spans="1:22" ht="15.75" customHeight="1">
      <c r="A644" s="1500" t="str">
        <f>IF(Data!A644="","",Data!A644)</f>
        <v>Labour: Land clearing, construction, herding, slaughtering</v>
      </c>
      <c r="B644" s="1433"/>
      <c r="C644" s="1444" t="str">
        <f>IF(Data!BV644="","",Data!BV644)</f>
        <v/>
      </c>
      <c r="D644" s="1444" t="str">
        <f>IF(Data!BW644="","",Data!BW644)</f>
        <v/>
      </c>
      <c r="E644" s="1444" t="str">
        <f>IF(Data!BX644="","",Data!BX644)</f>
        <v/>
      </c>
      <c r="F644" s="1444" t="str">
        <f>IF(Data!BY644="","",Data!BY644)</f>
        <v/>
      </c>
      <c r="G644" s="1433"/>
      <c r="H644" s="1427"/>
      <c r="I644" s="1427"/>
      <c r="J644" s="1427"/>
      <c r="K644" s="1427"/>
      <c r="L644" s="1433"/>
      <c r="M644" s="1427"/>
      <c r="N644" s="1427"/>
      <c r="O644" s="1427"/>
      <c r="P644" s="1427"/>
      <c r="Q644" s="1464"/>
      <c r="R644" s="1378"/>
      <c r="S644" s="1378"/>
      <c r="T644" s="1378"/>
      <c r="U644" s="1394">
        <v>644</v>
      </c>
      <c r="V644" s="1421"/>
    </row>
    <row r="645" spans="1:22" ht="15.75" customHeight="1">
      <c r="A645" s="1429" t="s">
        <v>297</v>
      </c>
      <c r="B645" s="1433"/>
      <c r="C645" s="1444" t="str">
        <f>IF(Data!BV645="","",Data!BV645)</f>
        <v/>
      </c>
      <c r="D645" s="1444">
        <f>IF(Data!BW645="","",Data!BW645)</f>
        <v>2</v>
      </c>
      <c r="E645" s="1444" t="str">
        <f>IF(Data!BX645="","",Data!BX645)</f>
        <v/>
      </c>
      <c r="F645" s="1444" t="str">
        <f>IF(Data!BY645="","",Data!BY645)</f>
        <v/>
      </c>
      <c r="G645" s="1433"/>
      <c r="H645" s="1548" t="str">
        <f>IF(SUM(C645)&gt;0,C645*'Exp factors'!C$28,"")</f>
        <v/>
      </c>
      <c r="I645" s="1548">
        <f>IF(SUM(D645)&gt;0,D645*'Exp factors'!D$28,"")</f>
        <v>2</v>
      </c>
      <c r="J645" s="1548" t="str">
        <f>IF(SUM(E645)&gt;0,E645*'Exp factors'!E$28,"")</f>
        <v/>
      </c>
      <c r="K645" s="1548" t="str">
        <f>IF(SUM(F645)&gt;0,F645*'Exp factors'!F$28,"")</f>
        <v/>
      </c>
      <c r="L645" s="1433"/>
      <c r="M645" s="1427"/>
      <c r="N645" s="1427"/>
      <c r="O645" s="1427"/>
      <c r="P645" s="1427"/>
      <c r="Q645" s="1464"/>
      <c r="R645" s="1445"/>
      <c r="S645" s="1446"/>
      <c r="T645" s="1446"/>
      <c r="U645" s="1394">
        <v>645</v>
      </c>
      <c r="V645" s="1421"/>
    </row>
    <row r="646" spans="1:22" s="1506" customFormat="1" ht="15.75" customHeight="1">
      <c r="A646" s="1429" t="s">
        <v>298</v>
      </c>
      <c r="B646" s="1433"/>
      <c r="C646" s="1444" t="str">
        <f>IF(Data!BV646="","",Data!BV646)</f>
        <v/>
      </c>
      <c r="D646" s="1444">
        <f>IF(Data!BW646="","",Data!BW646)</f>
        <v>8</v>
      </c>
      <c r="E646" s="1444" t="str">
        <f>IF(Data!BX646="","",Data!BX646)</f>
        <v/>
      </c>
      <c r="F646" s="1444" t="str">
        <f>IF(Data!BY646="","",Data!BY646)</f>
        <v/>
      </c>
      <c r="G646" s="1431"/>
      <c r="H646" s="1548" t="str">
        <f t="shared" ref="H646:K647" si="83">IF(C646&gt;0,C646,"")</f>
        <v/>
      </c>
      <c r="I646" s="1548">
        <f t="shared" si="83"/>
        <v>8</v>
      </c>
      <c r="J646" s="1548" t="str">
        <f t="shared" si="83"/>
        <v/>
      </c>
      <c r="K646" s="1548" t="str">
        <f t="shared" si="83"/>
        <v/>
      </c>
      <c r="L646" s="1431"/>
      <c r="M646" s="1427"/>
      <c r="N646" s="1427"/>
      <c r="O646" s="1427"/>
      <c r="P646" s="1427"/>
      <c r="Q646" s="1504"/>
      <c r="R646" s="1445"/>
      <c r="S646" s="1446"/>
      <c r="T646" s="1446"/>
      <c r="U646" s="1394">
        <v>646</v>
      </c>
      <c r="V646" s="1505"/>
    </row>
    <row r="647" spans="1:22" ht="15.75" customHeight="1">
      <c r="A647" s="1429" t="s">
        <v>283</v>
      </c>
      <c r="B647" s="1507"/>
      <c r="C647" s="1444" t="str">
        <f>IF(Data!BV647="","",Data!BV647)</f>
        <v/>
      </c>
      <c r="D647" s="1444">
        <f>IF(Data!BW647="","",Data!BW647)</f>
        <v>3</v>
      </c>
      <c r="E647" s="1444" t="str">
        <f>IF(Data!BX647="","",Data!BX647)</f>
        <v/>
      </c>
      <c r="F647" s="1444" t="str">
        <f>IF(Data!BY647="","",Data!BY647)</f>
        <v/>
      </c>
      <c r="G647" s="1431"/>
      <c r="H647" s="1548" t="str">
        <f t="shared" si="83"/>
        <v/>
      </c>
      <c r="I647" s="1548">
        <f t="shared" si="83"/>
        <v>3</v>
      </c>
      <c r="J647" s="1548" t="str">
        <f t="shared" si="83"/>
        <v/>
      </c>
      <c r="K647" s="1548" t="str">
        <f t="shared" si="83"/>
        <v/>
      </c>
      <c r="L647" s="1431"/>
      <c r="M647" s="1427"/>
      <c r="N647" s="1427"/>
      <c r="O647" s="1427"/>
      <c r="P647" s="1427"/>
      <c r="Q647" s="1464"/>
      <c r="R647" s="1445"/>
      <c r="S647" s="1446"/>
      <c r="T647" s="1446"/>
      <c r="U647" s="1394">
        <v>647</v>
      </c>
      <c r="V647" s="1421"/>
    </row>
    <row r="648" spans="1:22" s="1482" customFormat="1" ht="15.75" customHeight="1">
      <c r="A648" s="1429" t="s">
        <v>299</v>
      </c>
      <c r="B648" s="1433"/>
      <c r="C648" s="1444" t="str">
        <f>IF(Data!BV648="","",Data!BV648)</f>
        <v/>
      </c>
      <c r="D648" s="1444">
        <f>IF(Data!BW648="","",Data!BW648)</f>
        <v>2</v>
      </c>
      <c r="E648" s="1444" t="str">
        <f>IF(Data!BX648="","",Data!BX648)</f>
        <v/>
      </c>
      <c r="F648" s="1444" t="str">
        <f>IF(Data!BY648="","",Data!BY648)</f>
        <v/>
      </c>
      <c r="G648" s="1431"/>
      <c r="H648" s="1427"/>
      <c r="I648" s="1427"/>
      <c r="J648" s="1427"/>
      <c r="K648" s="1427"/>
      <c r="L648" s="1431"/>
      <c r="M648" s="1427"/>
      <c r="N648" s="1427"/>
      <c r="O648" s="1427"/>
      <c r="P648" s="1427"/>
      <c r="Q648" s="1480"/>
      <c r="R648" s="1445"/>
      <c r="S648" s="1446"/>
      <c r="T648" s="1446"/>
      <c r="U648" s="1394">
        <v>648</v>
      </c>
      <c r="V648" s="1481"/>
    </row>
    <row r="649" spans="1:22" ht="15.75" customHeight="1">
      <c r="A649" s="1428" t="s">
        <v>252</v>
      </c>
      <c r="B649" s="1433"/>
      <c r="C649" s="1483" t="str">
        <f>IF(C646="","",((C645*C646*C647*C648)*3630*$K$1)/C$46/365/$P$1)</f>
        <v/>
      </c>
      <c r="D649" s="1483">
        <f t="shared" ref="D649:F649" si="84">IF(D646="","",((D645*D646*D647*D648)*3630*$K$1)/D$46/365/$P$1)</f>
        <v>5.6779890410958905E-2</v>
      </c>
      <c r="E649" s="1483" t="str">
        <f t="shared" si="84"/>
        <v/>
      </c>
      <c r="F649" s="1483" t="str">
        <f t="shared" si="84"/>
        <v/>
      </c>
      <c r="G649" s="1455"/>
      <c r="H649" s="1483" t="str">
        <f>IF(H646="","",((H645*H646*H647*C648)*3630*$K$1)/H$46/365/$P$1)</f>
        <v/>
      </c>
      <c r="I649" s="1483">
        <f t="shared" ref="I649:K649" si="85">IF(I646="","",((I645*I646*I647*D648)*3630*$K$1)/I$46/365/$P$1)</f>
        <v>5.6779890410958905E-2</v>
      </c>
      <c r="J649" s="1483" t="str">
        <f t="shared" si="85"/>
        <v/>
      </c>
      <c r="K649" s="1483" t="str">
        <f t="shared" si="85"/>
        <v/>
      </c>
      <c r="L649" s="1455"/>
      <c r="M649" s="1484" t="str">
        <f>IF(H649="","",SUM(H649)-SUM(C649))</f>
        <v/>
      </c>
      <c r="N649" s="1484">
        <f>IF(I649="","",SUM(I649)-SUM(D649))</f>
        <v>0</v>
      </c>
      <c r="O649" s="1484" t="str">
        <f>IF(J649="","",SUM(J649)-SUM(E649))</f>
        <v/>
      </c>
      <c r="P649" s="1484" t="str">
        <f>IF(K649="","",SUM(K649)-SUM(F649))</f>
        <v/>
      </c>
      <c r="Q649" s="1464"/>
      <c r="R649" s="1392"/>
      <c r="S649" s="1393"/>
      <c r="T649" s="1393"/>
      <c r="U649" s="1394">
        <v>649</v>
      </c>
      <c r="V649" s="1421"/>
    </row>
    <row r="650" spans="1:22" ht="15.75" customHeight="1">
      <c r="A650" s="1500" t="str">
        <f>IF(Data!A650="","",Data!A650)</f>
        <v>Labour: Weeding</v>
      </c>
      <c r="B650" s="1433"/>
      <c r="C650" s="1444" t="str">
        <f>IF(Data!BV650="","",Data!BV650)</f>
        <v/>
      </c>
      <c r="D650" s="1444" t="str">
        <f>IF(Data!BW650="","",Data!BW650)</f>
        <v/>
      </c>
      <c r="E650" s="1444" t="str">
        <f>IF(Data!BX650="","",Data!BX650)</f>
        <v/>
      </c>
      <c r="F650" s="1444" t="str">
        <f>IF(Data!BY650="","",Data!BY650)</f>
        <v/>
      </c>
      <c r="G650" s="1433"/>
      <c r="H650" s="1427"/>
      <c r="I650" s="1427"/>
      <c r="J650" s="1427"/>
      <c r="K650" s="1427"/>
      <c r="L650" s="1433"/>
      <c r="M650" s="1427"/>
      <c r="N650" s="1427"/>
      <c r="O650" s="1427"/>
      <c r="P650" s="1427"/>
      <c r="Q650" s="1464"/>
      <c r="R650" s="1378"/>
      <c r="S650" s="1378"/>
      <c r="T650" s="1378"/>
      <c r="U650" s="1394">
        <v>650</v>
      </c>
      <c r="V650" s="1421"/>
    </row>
    <row r="651" spans="1:22" ht="15.75" customHeight="1">
      <c r="A651" s="1429" t="s">
        <v>297</v>
      </c>
      <c r="B651" s="1433"/>
      <c r="C651" s="1444" t="str">
        <f>IF(Data!BV651="","",Data!BV651)</f>
        <v/>
      </c>
      <c r="D651" s="1444">
        <f>IF(Data!BW651="","",Data!BW651)</f>
        <v>2</v>
      </c>
      <c r="E651" s="1444" t="str">
        <f>IF(Data!BX651="","",Data!BX651)</f>
        <v/>
      </c>
      <c r="F651" s="1444" t="str">
        <f>IF(Data!BY651="","",Data!BY651)</f>
        <v/>
      </c>
      <c r="G651" s="1433"/>
      <c r="H651" s="1548" t="str">
        <f>IF(SUM(C651)&gt;0,C651*'Exp factors'!C$28,"")</f>
        <v/>
      </c>
      <c r="I651" s="1548">
        <f>IF(SUM(D651)&gt;0,D651*'Exp factors'!D$28,"")</f>
        <v>2</v>
      </c>
      <c r="J651" s="1548" t="str">
        <f>IF(SUM(E651)&gt;0,E651*'Exp factors'!E$28,"")</f>
        <v/>
      </c>
      <c r="K651" s="1548" t="str">
        <f>IF(SUM(F651)&gt;0,F651*'Exp factors'!F$28,"")</f>
        <v/>
      </c>
      <c r="L651" s="1433"/>
      <c r="M651" s="1427"/>
      <c r="N651" s="1427"/>
      <c r="O651" s="1427"/>
      <c r="P651" s="1427"/>
      <c r="Q651" s="1464"/>
      <c r="R651" s="1445"/>
      <c r="S651" s="1446"/>
      <c r="T651" s="1446"/>
      <c r="U651" s="1394">
        <v>651</v>
      </c>
      <c r="V651" s="1421"/>
    </row>
    <row r="652" spans="1:22" ht="15.75" customHeight="1">
      <c r="A652" s="1429" t="s">
        <v>298</v>
      </c>
      <c r="B652" s="1507"/>
      <c r="C652" s="1444" t="str">
        <f>IF(Data!BV652="","",Data!BV652)</f>
        <v/>
      </c>
      <c r="D652" s="1444">
        <f>IF(Data!BW652="","",Data!BW652)</f>
        <v>8</v>
      </c>
      <c r="E652" s="1444" t="str">
        <f>IF(Data!BX652="","",Data!BX652)</f>
        <v/>
      </c>
      <c r="F652" s="1444" t="str">
        <f>IF(Data!BY652="","",Data!BY652)</f>
        <v/>
      </c>
      <c r="G652" s="1431"/>
      <c r="H652" s="1548" t="str">
        <f t="shared" ref="H652:K653" si="86">IF(C652&gt;0,C652,"")</f>
        <v/>
      </c>
      <c r="I652" s="1548">
        <f t="shared" si="86"/>
        <v>8</v>
      </c>
      <c r="J652" s="1548" t="str">
        <f t="shared" si="86"/>
        <v/>
      </c>
      <c r="K652" s="1548" t="str">
        <f t="shared" si="86"/>
        <v/>
      </c>
      <c r="L652" s="1431"/>
      <c r="M652" s="1427"/>
      <c r="N652" s="1427"/>
      <c r="O652" s="1427"/>
      <c r="P652" s="1427"/>
      <c r="Q652" s="1464"/>
      <c r="R652" s="1445"/>
      <c r="S652" s="1446"/>
      <c r="T652" s="1446"/>
      <c r="U652" s="1394">
        <v>652</v>
      </c>
      <c r="V652" s="1421"/>
    </row>
    <row r="653" spans="1:22" ht="15.75" customHeight="1">
      <c r="A653" s="1429" t="s">
        <v>283</v>
      </c>
      <c r="B653" s="1433"/>
      <c r="C653" s="1444" t="str">
        <f>IF(Data!BV653="","",Data!BV653)</f>
        <v/>
      </c>
      <c r="D653" s="1444">
        <f>IF(Data!BW653="","",Data!BW653)</f>
        <v>1</v>
      </c>
      <c r="E653" s="1444" t="str">
        <f>IF(Data!BX653="","",Data!BX653)</f>
        <v/>
      </c>
      <c r="F653" s="1444" t="str">
        <f>IF(Data!BY653="","",Data!BY653)</f>
        <v/>
      </c>
      <c r="G653" s="1431"/>
      <c r="H653" s="1548" t="str">
        <f t="shared" si="86"/>
        <v/>
      </c>
      <c r="I653" s="1548">
        <f t="shared" si="86"/>
        <v>1</v>
      </c>
      <c r="J653" s="1548" t="str">
        <f t="shared" si="86"/>
        <v/>
      </c>
      <c r="K653" s="1548" t="str">
        <f t="shared" si="86"/>
        <v/>
      </c>
      <c r="L653" s="1431"/>
      <c r="M653" s="1427"/>
      <c r="N653" s="1427"/>
      <c r="O653" s="1427"/>
      <c r="P653" s="1427"/>
      <c r="Q653" s="1464"/>
      <c r="R653" s="1445"/>
      <c r="S653" s="1446"/>
      <c r="T653" s="1446"/>
      <c r="U653" s="1394">
        <v>653</v>
      </c>
      <c r="V653" s="1421"/>
    </row>
    <row r="654" spans="1:22" ht="15.75" customHeight="1">
      <c r="A654" s="1429" t="s">
        <v>299</v>
      </c>
      <c r="B654" s="1431"/>
      <c r="C654" s="1444" t="str">
        <f>IF(Data!BV654="","",Data!BV654)</f>
        <v/>
      </c>
      <c r="D654" s="1444">
        <f>IF(Data!BW654="","",Data!BW654)</f>
        <v>2</v>
      </c>
      <c r="E654" s="1444" t="str">
        <f>IF(Data!BX654="","",Data!BX654)</f>
        <v/>
      </c>
      <c r="F654" s="1444" t="str">
        <f>IF(Data!BY654="","",Data!BY654)</f>
        <v/>
      </c>
      <c r="G654" s="1431"/>
      <c r="H654" s="1427"/>
      <c r="I654" s="1427"/>
      <c r="J654" s="1427"/>
      <c r="K654" s="1427"/>
      <c r="L654" s="1431"/>
      <c r="M654" s="1427"/>
      <c r="N654" s="1427"/>
      <c r="O654" s="1427"/>
      <c r="P654" s="1427"/>
      <c r="Q654" s="1464"/>
      <c r="R654" s="1445"/>
      <c r="S654" s="1446"/>
      <c r="T654" s="1446"/>
      <c r="U654" s="1394">
        <v>654</v>
      </c>
      <c r="V654" s="1421"/>
    </row>
    <row r="655" spans="1:22" ht="15.75" customHeight="1">
      <c r="A655" s="1428" t="s">
        <v>252</v>
      </c>
      <c r="B655" s="1431"/>
      <c r="C655" s="1483" t="str">
        <f>IF(C652="","",((C651*C652*C653*C654)*3630*$K$1)/C$46/365/$P$1)</f>
        <v/>
      </c>
      <c r="D655" s="1483">
        <f t="shared" ref="D655" si="87">IF(D652="","",((D651*D652*D653*D654)*3630*$K$1)/D$46/365/$P$1)</f>
        <v>1.8926630136986301E-2</v>
      </c>
      <c r="E655" s="1483" t="str">
        <f t="shared" ref="E655" si="88">IF(E652="","",((E651*E652*E653*E654)*3630*$K$1)/E$46/365/$P$1)</f>
        <v/>
      </c>
      <c r="F655" s="1483" t="str">
        <f t="shared" ref="F655" si="89">IF(F652="","",((F651*F652*F653*F654)*3630*$K$1)/F$46/365/$P$1)</f>
        <v/>
      </c>
      <c r="G655" s="1455"/>
      <c r="H655" s="1483" t="str">
        <f>IF(H652="","",((H651*H652*H653*C654)*3630*$K$1)/H$46/365/$P$1)</f>
        <v/>
      </c>
      <c r="I655" s="1483">
        <f t="shared" ref="I655" si="90">IF(I652="","",((I651*I652*I653*D654)*3630*$K$1)/I$46/365/$P$1)</f>
        <v>1.8926630136986301E-2</v>
      </c>
      <c r="J655" s="1483" t="str">
        <f t="shared" ref="J655" si="91">IF(J652="","",((J651*J652*J653*E654)*3630*$K$1)/J$46/365/$P$1)</f>
        <v/>
      </c>
      <c r="K655" s="1483" t="str">
        <f t="shared" ref="K655" si="92">IF(K652="","",((K651*K652*K653*F654)*3630*$K$1)/K$46/365/$P$1)</f>
        <v/>
      </c>
      <c r="L655" s="1455"/>
      <c r="M655" s="1484" t="str">
        <f>IF(H655="","",SUM(H655)-SUM(C655))</f>
        <v/>
      </c>
      <c r="N655" s="1484">
        <f>IF(I655="","",SUM(I655)-SUM(D655))</f>
        <v>0</v>
      </c>
      <c r="O655" s="1484" t="str">
        <f>IF(J655="","",SUM(J655)-SUM(E655))</f>
        <v/>
      </c>
      <c r="P655" s="1484" t="str">
        <f>IF(K655="","",SUM(K655)-SUM(F655))</f>
        <v/>
      </c>
      <c r="Q655" s="1464"/>
      <c r="R655" s="1392"/>
      <c r="S655" s="1393"/>
      <c r="T655" s="1393"/>
      <c r="U655" s="1394">
        <v>655</v>
      </c>
      <c r="V655" s="1421"/>
    </row>
    <row r="656" spans="1:22" ht="15.75" customHeight="1">
      <c r="A656" s="1500" t="str">
        <f>IF(Data!A656="","",Data!A656)</f>
        <v>Labour: Harvesting</v>
      </c>
      <c r="B656" s="1461"/>
      <c r="C656" s="1444" t="str">
        <f>IF(Data!BV656="","",Data!BV656)</f>
        <v/>
      </c>
      <c r="D656" s="1444" t="str">
        <f>IF(Data!BW656="","",Data!BW656)</f>
        <v/>
      </c>
      <c r="E656" s="1444" t="str">
        <f>IF(Data!BX656="","",Data!BX656)</f>
        <v/>
      </c>
      <c r="F656" s="1444" t="str">
        <f>IF(Data!BY656="","",Data!BY656)</f>
        <v/>
      </c>
      <c r="G656" s="1431"/>
      <c r="H656" s="1427"/>
      <c r="I656" s="1427"/>
      <c r="J656" s="1427"/>
      <c r="K656" s="1427"/>
      <c r="L656" s="1431"/>
      <c r="M656" s="1427"/>
      <c r="N656" s="1427"/>
      <c r="O656" s="1427"/>
      <c r="P656" s="1427"/>
      <c r="Q656" s="1464"/>
      <c r="R656" s="1378"/>
      <c r="S656" s="1378"/>
      <c r="T656" s="1378"/>
      <c r="U656" s="1394">
        <v>656</v>
      </c>
      <c r="V656" s="1421"/>
    </row>
    <row r="657" spans="1:22" ht="15.75" customHeight="1">
      <c r="A657" s="1429" t="s">
        <v>297</v>
      </c>
      <c r="B657" s="1431"/>
      <c r="C657" s="1444" t="str">
        <f>IF(Data!BV657="","",Data!BV657)</f>
        <v/>
      </c>
      <c r="D657" s="1444" t="str">
        <f>IF(Data!BW657="","",Data!BW657)</f>
        <v/>
      </c>
      <c r="E657" s="1444" t="str">
        <f>IF(Data!BX657="","",Data!BX657)</f>
        <v/>
      </c>
      <c r="F657" s="1444" t="str">
        <f>IF(Data!BY657="","",Data!BY657)</f>
        <v/>
      </c>
      <c r="G657" s="1431"/>
      <c r="H657" s="1548" t="str">
        <f>IF(SUM(C657)&gt;0,C657*'Exp factors'!C$28,"")</f>
        <v/>
      </c>
      <c r="I657" s="1548" t="str">
        <f>IF(SUM(D657)&gt;0,D657*'Exp factors'!D$28,"")</f>
        <v/>
      </c>
      <c r="J657" s="1548" t="str">
        <f>IF(SUM(E657)&gt;0,E657*'Exp factors'!E$28,"")</f>
        <v/>
      </c>
      <c r="K657" s="1548" t="str">
        <f>IF(SUM(F657)&gt;0,F657*'Exp factors'!F$28,"")</f>
        <v/>
      </c>
      <c r="L657" s="1431"/>
      <c r="M657" s="1427"/>
      <c r="N657" s="1427"/>
      <c r="O657" s="1427"/>
      <c r="P657" s="1427"/>
      <c r="Q657" s="1464"/>
      <c r="R657" s="1445"/>
      <c r="S657" s="1446"/>
      <c r="T657" s="1446"/>
      <c r="U657" s="1394">
        <v>657</v>
      </c>
      <c r="V657" s="1421"/>
    </row>
    <row r="658" spans="1:22" ht="15.75" customHeight="1">
      <c r="A658" s="1429" t="s">
        <v>298</v>
      </c>
      <c r="B658" s="1431"/>
      <c r="C658" s="1444" t="str">
        <f>IF(Data!BV658="","",Data!BV658)</f>
        <v/>
      </c>
      <c r="D658" s="1444" t="str">
        <f>IF(Data!BW658="","",Data!BW658)</f>
        <v/>
      </c>
      <c r="E658" s="1444" t="str">
        <f>IF(Data!BX658="","",Data!BX658)</f>
        <v/>
      </c>
      <c r="F658" s="1444" t="str">
        <f>IF(Data!BY658="","",Data!BY658)</f>
        <v/>
      </c>
      <c r="G658" s="1431"/>
      <c r="H658" s="1548" t="str">
        <f t="shared" ref="H658:K659" si="93">IF(C658&gt;0,C658,"")</f>
        <v/>
      </c>
      <c r="I658" s="1548" t="str">
        <f t="shared" si="93"/>
        <v/>
      </c>
      <c r="J658" s="1548" t="str">
        <f t="shared" si="93"/>
        <v/>
      </c>
      <c r="K658" s="1548" t="str">
        <f t="shared" si="93"/>
        <v/>
      </c>
      <c r="L658" s="1431"/>
      <c r="M658" s="1427"/>
      <c r="N658" s="1427"/>
      <c r="O658" s="1427"/>
      <c r="P658" s="1427"/>
      <c r="Q658" s="1464"/>
      <c r="R658" s="1445"/>
      <c r="S658" s="1446"/>
      <c r="T658" s="1446"/>
      <c r="U658" s="1394">
        <v>658</v>
      </c>
      <c r="V658" s="1421"/>
    </row>
    <row r="659" spans="1:22" ht="15.75" customHeight="1">
      <c r="A659" s="1429" t="s">
        <v>283</v>
      </c>
      <c r="B659" s="1431"/>
      <c r="C659" s="1444" t="str">
        <f>IF(Data!BV659="","",Data!BV659)</f>
        <v/>
      </c>
      <c r="D659" s="1444" t="str">
        <f>IF(Data!BW659="","",Data!BW659)</f>
        <v/>
      </c>
      <c r="E659" s="1444" t="str">
        <f>IF(Data!BX659="","",Data!BX659)</f>
        <v/>
      </c>
      <c r="F659" s="1444" t="str">
        <f>IF(Data!BY659="","",Data!BY659)</f>
        <v/>
      </c>
      <c r="G659" s="1431"/>
      <c r="H659" s="1548" t="str">
        <f t="shared" si="93"/>
        <v/>
      </c>
      <c r="I659" s="1548" t="str">
        <f t="shared" si="93"/>
        <v/>
      </c>
      <c r="J659" s="1548" t="str">
        <f t="shared" si="93"/>
        <v/>
      </c>
      <c r="K659" s="1548" t="str">
        <f t="shared" si="93"/>
        <v/>
      </c>
      <c r="L659" s="1431"/>
      <c r="M659" s="1427"/>
      <c r="N659" s="1427"/>
      <c r="O659" s="1427"/>
      <c r="P659" s="1427"/>
      <c r="Q659" s="1464"/>
      <c r="R659" s="1445"/>
      <c r="S659" s="1446"/>
      <c r="T659" s="1446"/>
      <c r="U659" s="1394">
        <v>659</v>
      </c>
      <c r="V659" s="1421"/>
    </row>
    <row r="660" spans="1:22" ht="15.75" customHeight="1">
      <c r="A660" s="1429" t="s">
        <v>299</v>
      </c>
      <c r="B660" s="1431"/>
      <c r="C660" s="1444" t="str">
        <f>IF(Data!BV660="","",Data!BV660)</f>
        <v/>
      </c>
      <c r="D660" s="1444" t="str">
        <f>IF(Data!BW660="","",Data!BW660)</f>
        <v/>
      </c>
      <c r="E660" s="1444" t="str">
        <f>IF(Data!BX660="","",Data!BX660)</f>
        <v/>
      </c>
      <c r="F660" s="1444" t="str">
        <f>IF(Data!BY660="","",Data!BY660)</f>
        <v/>
      </c>
      <c r="G660" s="1431"/>
      <c r="H660" s="1427"/>
      <c r="I660" s="1427"/>
      <c r="J660" s="1427"/>
      <c r="K660" s="1427"/>
      <c r="L660" s="1431"/>
      <c r="M660" s="1427"/>
      <c r="N660" s="1427"/>
      <c r="O660" s="1427"/>
      <c r="P660" s="1427"/>
      <c r="Q660" s="1464"/>
      <c r="R660" s="1445"/>
      <c r="S660" s="1446"/>
      <c r="T660" s="1446"/>
      <c r="U660" s="1394">
        <v>660</v>
      </c>
      <c r="V660" s="1421"/>
    </row>
    <row r="661" spans="1:22" ht="15.75" customHeight="1">
      <c r="A661" s="1428" t="s">
        <v>252</v>
      </c>
      <c r="B661" s="1431"/>
      <c r="C661" s="1483" t="str">
        <f>IF(C658="","",((C657*C658*C659*C660)*3630*$K$1)/C$46/365/$P$1)</f>
        <v/>
      </c>
      <c r="D661" s="1483" t="str">
        <f t="shared" ref="D661" si="94">IF(D658="","",((D657*D658*D659*D660)*3630*$K$1)/D$46/365/$P$1)</f>
        <v/>
      </c>
      <c r="E661" s="1483" t="str">
        <f t="shared" ref="E661" si="95">IF(E658="","",((E657*E658*E659*E660)*3630*$K$1)/E$46/365/$P$1)</f>
        <v/>
      </c>
      <c r="F661" s="1483" t="str">
        <f t="shared" ref="F661" si="96">IF(F658="","",((F657*F658*F659*F660)*3630*$K$1)/F$46/365/$P$1)</f>
        <v/>
      </c>
      <c r="G661" s="1455"/>
      <c r="H661" s="1483" t="str">
        <f>IF(H658="","",((H657*H658*H659*C660)*3630*$K$1)/H$46/365/$P$1)</f>
        <v/>
      </c>
      <c r="I661" s="1483" t="str">
        <f t="shared" ref="I661" si="97">IF(I658="","",((I657*I658*I659*D660)*3630*$K$1)/I$46/365/$P$1)</f>
        <v/>
      </c>
      <c r="J661" s="1483" t="str">
        <f t="shared" ref="J661" si="98">IF(J658="","",((J657*J658*J659*E660)*3630*$K$1)/J$46/365/$P$1)</f>
        <v/>
      </c>
      <c r="K661" s="1483" t="str">
        <f t="shared" ref="K661" si="99">IF(K658="","",((K657*K658*K659*F660)*3630*$K$1)/K$46/365/$P$1)</f>
        <v/>
      </c>
      <c r="L661" s="1455"/>
      <c r="M661" s="1484" t="str">
        <f>IF(H661="","",SUM(H661)-SUM(C661))</f>
        <v/>
      </c>
      <c r="N661" s="1484" t="str">
        <f>IF(I661="","",SUM(I661)-SUM(D661))</f>
        <v/>
      </c>
      <c r="O661" s="1484" t="str">
        <f>IF(J661="","",SUM(J661)-SUM(E661))</f>
        <v/>
      </c>
      <c r="P661" s="1484" t="str">
        <f>IF(K661="","",SUM(K661)-SUM(F661))</f>
        <v/>
      </c>
      <c r="Q661" s="1464"/>
      <c r="R661" s="1392"/>
      <c r="S661" s="1393"/>
      <c r="T661" s="1393"/>
      <c r="U661" s="1394">
        <v>661</v>
      </c>
      <c r="V661" s="1421"/>
    </row>
    <row r="662" spans="1:22" ht="15.75" customHeight="1">
      <c r="A662" s="1494" t="str">
        <f>IF(Data!A662="","",Data!A662)</f>
        <v>Labour migration: no. people per HH</v>
      </c>
      <c r="B662" s="1431"/>
      <c r="C662" s="1444" t="str">
        <f>IF(Data!BV662="","",Data!BV662)</f>
        <v/>
      </c>
      <c r="D662" s="1444" t="str">
        <f>IF(Data!BW662="","",Data!BW662)</f>
        <v/>
      </c>
      <c r="E662" s="1444" t="str">
        <f>IF(Data!BX662="","",Data!BX662)</f>
        <v/>
      </c>
      <c r="F662" s="1444" t="str">
        <f>IF(Data!BY662="","",Data!BY662)</f>
        <v/>
      </c>
      <c r="G662" s="1433"/>
      <c r="H662" s="1548" t="str">
        <f>IF(SUM(C662)&gt;0,C662*'Exp factors'!C$30,"")</f>
        <v/>
      </c>
      <c r="I662" s="1548" t="str">
        <f>IF(SUM(D662)&gt;0,D662*'Exp factors'!D$30,"")</f>
        <v/>
      </c>
      <c r="J662" s="1548" t="str">
        <f>IF(SUM(E662)&gt;0,E662*'Exp factors'!E$30,"")</f>
        <v/>
      </c>
      <c r="K662" s="1548" t="str">
        <f>IF(SUM(F662)&gt;0,F662*'Exp factors'!F$30,"")</f>
        <v/>
      </c>
      <c r="L662" s="1433"/>
      <c r="M662" s="1449"/>
      <c r="N662" s="1449"/>
      <c r="O662" s="1449"/>
      <c r="P662" s="1449"/>
      <c r="Q662" s="1464"/>
      <c r="R662" s="1445"/>
      <c r="S662" s="1446"/>
      <c r="T662" s="1446"/>
      <c r="U662" s="1394">
        <v>662</v>
      </c>
      <c r="V662" s="1421"/>
    </row>
    <row r="663" spans="1:22" ht="15.75" customHeight="1">
      <c r="A663" s="1429" t="s">
        <v>283</v>
      </c>
      <c r="B663" s="1431"/>
      <c r="C663" s="1444" t="str">
        <f>IF(Data!BV663="","",Data!BV663)</f>
        <v/>
      </c>
      <c r="D663" s="1444" t="str">
        <f>IF(Data!BW663="","",Data!BW663)</f>
        <v/>
      </c>
      <c r="E663" s="1444" t="str">
        <f>IF(Data!BX663="","",Data!BX663)</f>
        <v/>
      </c>
      <c r="F663" s="1444" t="str">
        <f>IF(Data!BY663="","",Data!BY663)</f>
        <v/>
      </c>
      <c r="G663" s="1431"/>
      <c r="H663" s="1548" t="str">
        <f>IF(C663&gt;0,C663,"")</f>
        <v/>
      </c>
      <c r="I663" s="1548" t="str">
        <f>IF(D663&gt;0,D663,"")</f>
        <v/>
      </c>
      <c r="J663" s="1548" t="str">
        <f>IF(E663&gt;0,E663,"")</f>
        <v/>
      </c>
      <c r="K663" s="1548" t="str">
        <f>IF(F663&gt;0,F663,"")</f>
        <v/>
      </c>
      <c r="L663" s="1431"/>
      <c r="M663" s="1427"/>
      <c r="N663" s="1427"/>
      <c r="O663" s="1427"/>
      <c r="P663" s="1427"/>
      <c r="Q663" s="1464"/>
      <c r="R663" s="1445"/>
      <c r="S663" s="1446"/>
      <c r="T663" s="1446"/>
      <c r="U663" s="1394">
        <v>663</v>
      </c>
      <c r="V663" s="1421"/>
    </row>
    <row r="664" spans="1:22" ht="15.75" customHeight="1">
      <c r="A664" s="1428" t="s">
        <v>252</v>
      </c>
      <c r="B664" s="1461"/>
      <c r="C664" s="1484" t="str">
        <f>IF(C662="","",C662/C$46*C663/12)</f>
        <v/>
      </c>
      <c r="D664" s="1484" t="str">
        <f>IF(D662="","",D662/D$46*D663/12)</f>
        <v/>
      </c>
      <c r="E664" s="1484" t="str">
        <f>IF(E662="","",E662/E$46*E663/12)</f>
        <v/>
      </c>
      <c r="F664" s="1483" t="str">
        <f>IF(F662="","",F662/F$46*F663/12)</f>
        <v/>
      </c>
      <c r="G664" s="1516"/>
      <c r="H664" s="1484" t="str">
        <f>IF(H662="","",H662/H$46*H663/12)</f>
        <v/>
      </c>
      <c r="I664" s="1484" t="str">
        <f>IF(I662="","",I662/I$46*I663/12)</f>
        <v/>
      </c>
      <c r="J664" s="1484" t="str">
        <f>IF(J662="","",J662/J$46*J663/12)</f>
        <v/>
      </c>
      <c r="K664" s="1484" t="str">
        <f>IF(K662="","",K662/K$46*K663/12)</f>
        <v/>
      </c>
      <c r="L664" s="1516"/>
      <c r="M664" s="1484" t="str">
        <f>IF(H664="","",SUM(H664)-SUM(C664))</f>
        <v/>
      </c>
      <c r="N664" s="1484" t="str">
        <f>IF(I664="","",SUM(I664)-SUM(D664))</f>
        <v/>
      </c>
      <c r="O664" s="1484" t="str">
        <f>IF(J664="","",SUM(J664)-SUM(E664))</f>
        <v/>
      </c>
      <c r="P664" s="1484" t="str">
        <f>IF(K664="","",SUM(K664)-SUM(F664))</f>
        <v/>
      </c>
      <c r="Q664" s="1464"/>
      <c r="R664" s="1392"/>
      <c r="S664" s="1393"/>
      <c r="T664" s="1393"/>
      <c r="U664" s="1394">
        <v>664</v>
      </c>
      <c r="V664" s="1421"/>
    </row>
    <row r="665" spans="1:22" ht="15.75" customHeight="1">
      <c r="A665" s="1495" t="s">
        <v>303</v>
      </c>
      <c r="B665" s="1461"/>
      <c r="C665" s="1444"/>
      <c r="D665" s="1444"/>
      <c r="E665" s="1444"/>
      <c r="F665" s="1444"/>
      <c r="G665" s="1431"/>
      <c r="H665" s="1427"/>
      <c r="I665" s="1427"/>
      <c r="J665" s="1427"/>
      <c r="K665" s="1427"/>
      <c r="L665" s="1431"/>
      <c r="M665" s="1427"/>
      <c r="N665" s="1427"/>
      <c r="O665" s="1427"/>
      <c r="P665" s="1427"/>
      <c r="Q665" s="1464"/>
      <c r="R665" s="1378"/>
      <c r="S665" s="1378"/>
      <c r="T665" s="1378"/>
      <c r="U665" s="1394">
        <v>665</v>
      </c>
      <c r="V665" s="1421"/>
    </row>
    <row r="666" spans="1:22" ht="15.75" customHeight="1">
      <c r="A666" s="1494" t="str">
        <f>IF(Data!A666="","",Data!A666)</f>
        <v>School feeding: no. children</v>
      </c>
      <c r="B666" s="1431"/>
      <c r="C666" s="1444">
        <f>IF(Data!BV666="","",Data!BV666)</f>
        <v>4</v>
      </c>
      <c r="D666" s="1444">
        <f>IF(Data!BW666="","",Data!BW666)</f>
        <v>4</v>
      </c>
      <c r="E666" s="1444">
        <f>IF(Data!BX666="","",Data!BX666)</f>
        <v>4</v>
      </c>
      <c r="F666" s="1444">
        <f>IF(Data!BY666="","",Data!BY666)</f>
        <v>4</v>
      </c>
      <c r="G666" s="1431"/>
      <c r="H666" s="1427"/>
      <c r="I666" s="1427"/>
      <c r="J666" s="1427"/>
      <c r="K666" s="1427"/>
      <c r="L666" s="1431"/>
      <c r="M666" s="1427"/>
      <c r="N666" s="1427"/>
      <c r="O666" s="1427"/>
      <c r="P666" s="1427"/>
      <c r="Q666" s="1464"/>
      <c r="R666" s="1445"/>
      <c r="S666" s="1446"/>
      <c r="T666" s="1446"/>
      <c r="U666" s="1394">
        <v>666</v>
      </c>
      <c r="V666" s="1421"/>
    </row>
    <row r="667" spans="1:22" ht="15.75" customHeight="1">
      <c r="A667" s="1429" t="s">
        <v>252</v>
      </c>
      <c r="B667" s="1431"/>
      <c r="C667" s="1483">
        <f>IF(C666="","",C666/C$46*8/12*5/7*0.5)</f>
        <v>0.11904761904761904</v>
      </c>
      <c r="D667" s="1483">
        <f>IF(D666="","",D666/D$46*8/12*5/7*0.5)</f>
        <v>0.11904761904761904</v>
      </c>
      <c r="E667" s="1483">
        <f>IF(E666="","",E666/E$46*8/12*5/7*0.5)</f>
        <v>0.11904761904761904</v>
      </c>
      <c r="F667" s="1483">
        <f>IF(F666="","",F666/F$46*8/12*5/7*0.5)</f>
        <v>0.10582010582010581</v>
      </c>
      <c r="G667" s="1443"/>
      <c r="H667" s="1427"/>
      <c r="I667" s="1427"/>
      <c r="J667" s="1427"/>
      <c r="K667" s="1427"/>
      <c r="L667" s="1443"/>
      <c r="M667" s="1427"/>
      <c r="N667" s="1427"/>
      <c r="O667" s="1427"/>
      <c r="P667" s="1427"/>
      <c r="Q667" s="1464"/>
      <c r="R667" s="1392"/>
      <c r="S667" s="1393"/>
      <c r="T667" s="1393"/>
      <c r="U667" s="1394">
        <v>667</v>
      </c>
      <c r="V667" s="1421"/>
    </row>
    <row r="668" spans="1:22" ht="15.75" customHeight="1">
      <c r="A668" s="1494" t="str">
        <f>IF(Data!A668="","",Data!A668)</f>
        <v>Relief - grain: quantity (kg)</v>
      </c>
      <c r="B668" s="1431"/>
      <c r="C668" s="1444" t="str">
        <f>IF(Data!BV668="","",Data!BV668)</f>
        <v/>
      </c>
      <c r="D668" s="1444" t="str">
        <f>IF(Data!BW668="","",Data!BW668)</f>
        <v/>
      </c>
      <c r="E668" s="1444" t="str">
        <f>IF(Data!BX668="","",Data!BX668)</f>
        <v/>
      </c>
      <c r="F668" s="1444" t="str">
        <f>IF(Data!BY668="","",Data!BY668)</f>
        <v/>
      </c>
      <c r="G668" s="1431"/>
      <c r="H668" s="1427"/>
      <c r="I668" s="1427"/>
      <c r="J668" s="1427"/>
      <c r="K668" s="1427"/>
      <c r="L668" s="1431"/>
      <c r="M668" s="1427"/>
      <c r="N668" s="1427"/>
      <c r="O668" s="1427"/>
      <c r="P668" s="1427"/>
      <c r="Q668" s="1464"/>
      <c r="R668" s="1402"/>
      <c r="S668" s="1403"/>
      <c r="T668" s="1403"/>
      <c r="U668" s="1394">
        <v>668</v>
      </c>
      <c r="V668" s="1421"/>
    </row>
    <row r="669" spans="1:22" ht="15.75" customHeight="1">
      <c r="A669" s="1429" t="s">
        <v>289</v>
      </c>
      <c r="B669" s="1431"/>
      <c r="C669" s="1444" t="str">
        <f>IF(Data!BV669="","",Data!BV669)</f>
        <v/>
      </c>
      <c r="D669" s="1444" t="str">
        <f>IF(Data!BW669="","",Data!BW669)</f>
        <v/>
      </c>
      <c r="E669" s="1444" t="str">
        <f>IF(Data!BX669="","",Data!BX669)</f>
        <v/>
      </c>
      <c r="F669" s="1444" t="str">
        <f>IF(Data!BY669="","",Data!BY669)</f>
        <v/>
      </c>
      <c r="G669" s="1431"/>
      <c r="H669" s="1427"/>
      <c r="I669" s="1427"/>
      <c r="J669" s="1427"/>
      <c r="K669" s="1427"/>
      <c r="L669" s="1431"/>
      <c r="M669" s="1427"/>
      <c r="N669" s="1427"/>
      <c r="O669" s="1427"/>
      <c r="P669" s="1427"/>
      <c r="Q669" s="1464"/>
      <c r="R669" s="1445"/>
      <c r="S669" s="1446"/>
      <c r="T669" s="1446"/>
      <c r="U669" s="1394">
        <v>669</v>
      </c>
      <c r="V669" s="1421"/>
    </row>
    <row r="670" spans="1:22" ht="15.75" customHeight="1">
      <c r="A670" s="1429" t="s">
        <v>252</v>
      </c>
      <c r="B670" s="1431"/>
      <c r="C670" s="1483" t="str">
        <f>IF(C668="","",C668*C669/0.6/C$46/365)</f>
        <v/>
      </c>
      <c r="D670" s="1483" t="str">
        <f>IF(D668="","",D668*D669/0.6/D$46/365)</f>
        <v/>
      </c>
      <c r="E670" s="1483" t="str">
        <f>IF(E668="","",E668*E669/0.6/E$46/365)</f>
        <v/>
      </c>
      <c r="F670" s="1483" t="str">
        <f>IF(F668="","",F668*F669/0.6/F$46/365)</f>
        <v/>
      </c>
      <c r="G670" s="1443"/>
      <c r="H670" s="1427"/>
      <c r="I670" s="1427"/>
      <c r="J670" s="1427"/>
      <c r="K670" s="1427"/>
      <c r="L670" s="1443"/>
      <c r="M670" s="1427"/>
      <c r="N670" s="1427"/>
      <c r="O670" s="1427"/>
      <c r="P670" s="1427"/>
      <c r="Q670" s="1464"/>
      <c r="R670" s="1392"/>
      <c r="S670" s="1393"/>
      <c r="T670" s="1393"/>
      <c r="U670" s="1394">
        <v>670</v>
      </c>
      <c r="V670" s="1421"/>
    </row>
    <row r="671" spans="1:22" ht="15.75" customHeight="1">
      <c r="A671" s="1494" t="str">
        <f>IF(Data!A671="","",Data!A671)</f>
        <v>Relief - pulses: quantity (kg)</v>
      </c>
      <c r="B671" s="1461"/>
      <c r="C671" s="1444" t="str">
        <f>IF(Data!BV671="","",Data!BV671)</f>
        <v/>
      </c>
      <c r="D671" s="1444" t="str">
        <f>IF(Data!BW671="","",Data!BW671)</f>
        <v/>
      </c>
      <c r="E671" s="1444" t="str">
        <f>IF(Data!BX671="","",Data!BX671)</f>
        <v/>
      </c>
      <c r="F671" s="1444" t="str">
        <f>IF(Data!BY671="","",Data!BY671)</f>
        <v/>
      </c>
      <c r="G671" s="1431"/>
      <c r="H671" s="1427"/>
      <c r="I671" s="1427"/>
      <c r="J671" s="1427"/>
      <c r="K671" s="1427"/>
      <c r="L671" s="1431"/>
      <c r="M671" s="1427"/>
      <c r="N671" s="1427"/>
      <c r="O671" s="1427"/>
      <c r="P671" s="1427"/>
      <c r="Q671" s="1464"/>
      <c r="R671" s="1402"/>
      <c r="S671" s="1403"/>
      <c r="T671" s="1403"/>
      <c r="U671" s="1394">
        <v>671</v>
      </c>
      <c r="V671" s="1421"/>
    </row>
    <row r="672" spans="1:22" ht="15.75" customHeight="1">
      <c r="A672" s="1429" t="s">
        <v>289</v>
      </c>
      <c r="B672" s="1431"/>
      <c r="C672" s="1444" t="str">
        <f>IF(Data!BV672="","",Data!BV672)</f>
        <v/>
      </c>
      <c r="D672" s="1444" t="str">
        <f>IF(Data!BW672="","",Data!BW672)</f>
        <v/>
      </c>
      <c r="E672" s="1444" t="str">
        <f>IF(Data!BX672="","",Data!BX672)</f>
        <v/>
      </c>
      <c r="F672" s="1444" t="str">
        <f>IF(Data!BY672="","",Data!BY672)</f>
        <v/>
      </c>
      <c r="G672" s="1431"/>
      <c r="H672" s="1427"/>
      <c r="I672" s="1427"/>
      <c r="J672" s="1427"/>
      <c r="K672" s="1427"/>
      <c r="L672" s="1431"/>
      <c r="M672" s="1427"/>
      <c r="N672" s="1427"/>
      <c r="O672" s="1427"/>
      <c r="P672" s="1427"/>
      <c r="Q672" s="1464"/>
      <c r="R672" s="1445"/>
      <c r="S672" s="1446"/>
      <c r="T672" s="1446"/>
      <c r="U672" s="1394">
        <v>672</v>
      </c>
      <c r="V672" s="1421"/>
    </row>
    <row r="673" spans="1:22" ht="15.75" customHeight="1">
      <c r="A673" s="1429" t="s">
        <v>252</v>
      </c>
      <c r="B673" s="1433"/>
      <c r="C673" s="1483" t="str">
        <f>IF(C671="","",C671*C672/0.62/C$46/365)</f>
        <v/>
      </c>
      <c r="D673" s="1483" t="str">
        <f>IF(D671="","",D671*D672/0.62/D$46/365)</f>
        <v/>
      </c>
      <c r="E673" s="1483" t="str">
        <f>IF(E671="","",E671*E672/0.62/E$46/365)</f>
        <v/>
      </c>
      <c r="F673" s="1483" t="str">
        <f>IF(F671="","",F671*F672/0.62/F$46/365)</f>
        <v/>
      </c>
      <c r="G673" s="1443"/>
      <c r="H673" s="1427"/>
      <c r="I673" s="1427"/>
      <c r="J673" s="1427"/>
      <c r="K673" s="1427"/>
      <c r="L673" s="1443"/>
      <c r="M673" s="1427"/>
      <c r="N673" s="1427"/>
      <c r="O673" s="1427"/>
      <c r="P673" s="1427"/>
      <c r="Q673" s="1464"/>
      <c r="R673" s="1392"/>
      <c r="S673" s="1393"/>
      <c r="T673" s="1393"/>
      <c r="U673" s="1394">
        <v>673</v>
      </c>
      <c r="V673" s="1421"/>
    </row>
    <row r="674" spans="1:22" ht="15.75" customHeight="1">
      <c r="A674" s="1494" t="str">
        <f>IF(Data!A674="","",Data!A674)</f>
        <v>Relief - oil: quantity (kg)</v>
      </c>
      <c r="B674" s="1433"/>
      <c r="C674" s="1444" t="str">
        <f>IF(Data!BV674="","",Data!BV674)</f>
        <v/>
      </c>
      <c r="D674" s="1444" t="str">
        <f>IF(Data!BW674="","",Data!BW674)</f>
        <v/>
      </c>
      <c r="E674" s="1444" t="str">
        <f>IF(Data!BX674="","",Data!BX674)</f>
        <v/>
      </c>
      <c r="F674" s="1444" t="str">
        <f>IF(Data!BY674="","",Data!BY674)</f>
        <v/>
      </c>
      <c r="G674" s="1431"/>
      <c r="H674" s="1427"/>
      <c r="I674" s="1427"/>
      <c r="J674" s="1427"/>
      <c r="K674" s="1427"/>
      <c r="L674" s="1431"/>
      <c r="M674" s="1427"/>
      <c r="N674" s="1427"/>
      <c r="O674" s="1427"/>
      <c r="P674" s="1427"/>
      <c r="Q674" s="1464"/>
      <c r="R674" s="1402"/>
      <c r="S674" s="1403"/>
      <c r="T674" s="1403"/>
      <c r="U674" s="1394">
        <v>674</v>
      </c>
      <c r="V674" s="1421"/>
    </row>
    <row r="675" spans="1:22" ht="15.75" customHeight="1">
      <c r="A675" s="1429" t="s">
        <v>289</v>
      </c>
      <c r="B675" s="1433"/>
      <c r="C675" s="1444" t="str">
        <f>IF(Data!BV675="","",Data!BV675)</f>
        <v/>
      </c>
      <c r="D675" s="1444" t="str">
        <f>IF(Data!BW675="","",Data!BW675)</f>
        <v/>
      </c>
      <c r="E675" s="1444" t="str">
        <f>IF(Data!BX675="","",Data!BX675)</f>
        <v/>
      </c>
      <c r="F675" s="1444" t="str">
        <f>IF(Data!BY675="","",Data!BY675)</f>
        <v/>
      </c>
      <c r="G675" s="1431"/>
      <c r="H675" s="1427"/>
      <c r="I675" s="1427"/>
      <c r="J675" s="1427"/>
      <c r="K675" s="1427"/>
      <c r="L675" s="1431"/>
      <c r="M675" s="1427"/>
      <c r="N675" s="1427"/>
      <c r="O675" s="1427"/>
      <c r="P675" s="1427"/>
      <c r="Q675" s="1464"/>
      <c r="R675" s="1445"/>
      <c r="S675" s="1446"/>
      <c r="T675" s="1446"/>
      <c r="U675" s="1394">
        <v>675</v>
      </c>
      <c r="V675" s="1421"/>
    </row>
    <row r="676" spans="1:22" ht="15.75" customHeight="1">
      <c r="A676" s="1429" t="s">
        <v>252</v>
      </c>
      <c r="B676" s="1549"/>
      <c r="C676" s="1483" t="str">
        <f>IF(C674="","",C674*C675/0.23/C$46/365)</f>
        <v/>
      </c>
      <c r="D676" s="1483" t="str">
        <f>IF(D674="","",D674*D675/0.23/D$46/365)</f>
        <v/>
      </c>
      <c r="E676" s="1483" t="str">
        <f>IF(E674="","",E674*E675/0.23/E$46/365)</f>
        <v/>
      </c>
      <c r="F676" s="1483" t="str">
        <f>IF(F674="","",F674*F675/0.23/F$46/365)</f>
        <v/>
      </c>
      <c r="G676" s="1443"/>
      <c r="H676" s="1427"/>
      <c r="I676" s="1427"/>
      <c r="J676" s="1427"/>
      <c r="K676" s="1427"/>
      <c r="L676" s="1443"/>
      <c r="M676" s="1427"/>
      <c r="N676" s="1427"/>
      <c r="O676" s="1427"/>
      <c r="P676" s="1427"/>
      <c r="Q676" s="1464"/>
      <c r="R676" s="1392"/>
      <c r="S676" s="1393"/>
      <c r="T676" s="1393"/>
      <c r="U676" s="1394">
        <v>676</v>
      </c>
      <c r="V676" s="1421"/>
    </row>
    <row r="677" spans="1:22" ht="15.75" customHeight="1">
      <c r="A677" s="1500" t="str">
        <f>IF(Data!A677="","",Data!A677)</f>
        <v>Relief: sugar</v>
      </c>
      <c r="B677" s="1550"/>
      <c r="C677" s="1444" t="str">
        <f>IF(Data!BV677="","",Data!BV677)</f>
        <v/>
      </c>
      <c r="D677" s="1444" t="str">
        <f>IF(Data!BW677="","",Data!BW677)</f>
        <v/>
      </c>
      <c r="E677" s="1444" t="str">
        <f>IF(Data!BX677="","",Data!BX677)</f>
        <v/>
      </c>
      <c r="F677" s="1444" t="str">
        <f>IF(Data!BY677="","",Data!BY677)</f>
        <v/>
      </c>
      <c r="G677" s="1443"/>
      <c r="H677" s="1427"/>
      <c r="I677" s="1427"/>
      <c r="J677" s="1427"/>
      <c r="K677" s="1427"/>
      <c r="L677" s="1443"/>
      <c r="M677" s="1427"/>
      <c r="N677" s="1427"/>
      <c r="O677" s="1427"/>
      <c r="P677" s="1427"/>
      <c r="Q677" s="1464"/>
      <c r="R677" s="1378"/>
      <c r="S677" s="1378"/>
      <c r="T677" s="1378"/>
      <c r="U677" s="1394">
        <v>677</v>
      </c>
      <c r="V677" s="1421"/>
    </row>
    <row r="678" spans="1:22" ht="15.75" customHeight="1">
      <c r="A678" s="1429" t="s">
        <v>293</v>
      </c>
      <c r="B678" s="1551"/>
      <c r="C678" s="1552" t="str">
        <f>IF(Data!BV678="","",Data!BV678)</f>
        <v/>
      </c>
      <c r="D678" s="1552" t="str">
        <f>IF(Data!BW678="","",Data!BW678)</f>
        <v/>
      </c>
      <c r="E678" s="1552" t="str">
        <f>IF(Data!BX678="","",Data!BX678)</f>
        <v/>
      </c>
      <c r="F678" s="1552" t="str">
        <f>IF(Data!BY678="","",Data!BY678)</f>
        <v/>
      </c>
      <c r="G678" s="1431"/>
      <c r="H678" s="1492"/>
      <c r="I678" s="1492"/>
      <c r="J678" s="1492"/>
      <c r="K678" s="1492"/>
      <c r="L678" s="1431"/>
      <c r="M678" s="1427"/>
      <c r="N678" s="1427"/>
      <c r="O678" s="1427"/>
      <c r="P678" s="1427"/>
      <c r="Q678" s="1464"/>
      <c r="R678" s="1402"/>
      <c r="S678" s="1403"/>
      <c r="T678" s="1403"/>
      <c r="U678" s="1394">
        <v>678</v>
      </c>
      <c r="V678" s="1421"/>
    </row>
    <row r="679" spans="1:22" ht="15.75" customHeight="1">
      <c r="A679" s="1429" t="s">
        <v>289</v>
      </c>
      <c r="B679" s="1551"/>
      <c r="C679" s="1444" t="str">
        <f>IF(Data!BV679="","",Data!BV679)</f>
        <v/>
      </c>
      <c r="D679" s="1444" t="str">
        <f>IF(Data!BW679="","",Data!BW679)</f>
        <v/>
      </c>
      <c r="E679" s="1444" t="str">
        <f>IF(Data!BX679="","",Data!BX679)</f>
        <v/>
      </c>
      <c r="F679" s="1444" t="str">
        <f>IF(Data!BY679="","",Data!BY679)</f>
        <v/>
      </c>
      <c r="G679" s="1431"/>
      <c r="H679" s="1492"/>
      <c r="I679" s="1492"/>
      <c r="J679" s="1492"/>
      <c r="K679" s="1492"/>
      <c r="L679" s="1431"/>
      <c r="M679" s="1427"/>
      <c r="N679" s="1427"/>
      <c r="O679" s="1427"/>
      <c r="P679" s="1427"/>
      <c r="Q679" s="1464"/>
      <c r="R679" s="1445"/>
      <c r="S679" s="1446"/>
      <c r="T679" s="1446"/>
      <c r="U679" s="1394">
        <v>679</v>
      </c>
      <c r="V679" s="1421"/>
    </row>
    <row r="680" spans="1:22" ht="15.75" customHeight="1">
      <c r="A680" s="1511" t="s">
        <v>292</v>
      </c>
      <c r="B680" s="1550"/>
      <c r="C680" s="1444">
        <f>IF(Data!BV680="","",Data!BV680)</f>
        <v>16747.2</v>
      </c>
      <c r="D680" s="1444">
        <f>IF(Data!BW680="","",Data!BW680)</f>
        <v>16747.2</v>
      </c>
      <c r="E680" s="1444">
        <f>IF(Data!BX680="","",Data!BX680)</f>
        <v>16747.2</v>
      </c>
      <c r="F680" s="1444">
        <f>IF(Data!BY680="","",Data!BY680)</f>
        <v>16747.2</v>
      </c>
      <c r="G680" s="1431"/>
      <c r="H680" s="1427"/>
      <c r="I680" s="1427"/>
      <c r="J680" s="1427"/>
      <c r="K680" s="1427"/>
      <c r="L680" s="1431"/>
      <c r="M680" s="1449"/>
      <c r="N680" s="1449"/>
      <c r="O680" s="1449"/>
      <c r="P680" s="1449"/>
      <c r="Q680" s="1464"/>
      <c r="R680" s="1402"/>
      <c r="S680" s="1403"/>
      <c r="T680" s="1403"/>
      <c r="U680" s="1394">
        <v>680</v>
      </c>
      <c r="V680" s="1421"/>
    </row>
    <row r="681" spans="1:22" ht="15.75" customHeight="1">
      <c r="A681" s="1429" t="s">
        <v>252</v>
      </c>
      <c r="B681" s="1550"/>
      <c r="C681" s="1483" t="str">
        <f>IF(C678="","",C678*C679*C680/C$46/365/$P$1)</f>
        <v/>
      </c>
      <c r="D681" s="1483" t="str">
        <f>IF(D678="","",D678*D679*D680/D$46/365/$P$1)</f>
        <v/>
      </c>
      <c r="E681" s="1483" t="str">
        <f>IF(E678="","",E678*E679*E680/E$46/365/$P$1)</f>
        <v/>
      </c>
      <c r="F681" s="1483" t="str">
        <f>IF(F678="","",F678*F679*F680/F$46/365/$P$1)</f>
        <v/>
      </c>
      <c r="G681" s="1443"/>
      <c r="H681" s="1483" t="str">
        <f>IF(H678="","",H678*H679*C680/H$46/365/$P$1)</f>
        <v/>
      </c>
      <c r="I681" s="1483" t="str">
        <f>IF(I678="","",I678*I679*D680/I$46/365/$P$1)</f>
        <v/>
      </c>
      <c r="J681" s="1483" t="str">
        <f>IF(J678="","",J678*J679*E680/J$46/365/$P$1)</f>
        <v/>
      </c>
      <c r="K681" s="1483" t="str">
        <f>IF(K678="","",K678*K679*F680/K$46/365/$P$1)</f>
        <v/>
      </c>
      <c r="L681" s="1443"/>
      <c r="M681" s="1484" t="str">
        <f>IF(H681="","",SUM(H681)-SUM(C681))</f>
        <v/>
      </c>
      <c r="N681" s="1484" t="str">
        <f>IF(I681="","",SUM(I681)-SUM(D681))</f>
        <v/>
      </c>
      <c r="O681" s="1484" t="str">
        <f>IF(J681="","",SUM(J681)-SUM(E681))</f>
        <v/>
      </c>
      <c r="P681" s="1484" t="str">
        <f>IF(K681="","",SUM(K681)-SUM(F681))</f>
        <v/>
      </c>
      <c r="Q681" s="1464"/>
      <c r="R681" s="1392"/>
      <c r="S681" s="1393"/>
      <c r="T681" s="1393"/>
      <c r="U681" s="1394">
        <v>681</v>
      </c>
      <c r="V681" s="1421"/>
    </row>
    <row r="682" spans="1:22" ht="15.75" customHeight="1">
      <c r="A682" s="1500" t="str">
        <f>IF(Data!A682="","",Data!A682)</f>
        <v>Relief: Under 5 supplementary feeding</v>
      </c>
      <c r="B682" s="1550"/>
      <c r="C682" s="1444" t="str">
        <f>IF(Data!BV682="","",Data!BV682)</f>
        <v/>
      </c>
      <c r="D682" s="1444" t="str">
        <f>IF(Data!BW682="","",Data!BW682)</f>
        <v/>
      </c>
      <c r="E682" s="1444" t="str">
        <f>IF(Data!BX682="","",Data!BX682)</f>
        <v/>
      </c>
      <c r="F682" s="1444" t="str">
        <f>IF(Data!BY682="","",Data!BY682)</f>
        <v/>
      </c>
      <c r="G682" s="1443"/>
      <c r="H682" s="1427"/>
      <c r="I682" s="1427"/>
      <c r="J682" s="1427"/>
      <c r="K682" s="1427"/>
      <c r="L682" s="1443"/>
      <c r="M682" s="1427"/>
      <c r="N682" s="1427"/>
      <c r="O682" s="1427"/>
      <c r="P682" s="1427"/>
      <c r="Q682" s="1464"/>
      <c r="R682" s="1378"/>
      <c r="S682" s="1378"/>
      <c r="T682" s="1378"/>
      <c r="U682" s="1394">
        <v>682</v>
      </c>
      <c r="V682" s="1421"/>
    </row>
    <row r="683" spans="1:22" ht="15.75" customHeight="1">
      <c r="A683" s="1429" t="s">
        <v>293</v>
      </c>
      <c r="B683" s="1550"/>
      <c r="C683" s="1444" t="str">
        <f>IF(Data!BV683="","",Data!BV683)</f>
        <v/>
      </c>
      <c r="D683" s="1444" t="str">
        <f>IF(Data!BW683="","",Data!BW683)</f>
        <v/>
      </c>
      <c r="E683" s="1444" t="str">
        <f>IF(Data!BX683="","",Data!BX683)</f>
        <v/>
      </c>
      <c r="F683" s="1444" t="str">
        <f>IF(Data!BY683="","",Data!BY683)</f>
        <v/>
      </c>
      <c r="G683" s="1431"/>
      <c r="H683" s="1492"/>
      <c r="I683" s="1492"/>
      <c r="J683" s="1492"/>
      <c r="K683" s="1492"/>
      <c r="L683" s="1431"/>
      <c r="M683" s="1427"/>
      <c r="N683" s="1427"/>
      <c r="O683" s="1427"/>
      <c r="P683" s="1427"/>
      <c r="Q683" s="1464"/>
      <c r="R683" s="1402"/>
      <c r="S683" s="1403"/>
      <c r="T683" s="1403"/>
      <c r="U683" s="1394">
        <v>683</v>
      </c>
      <c r="V683" s="1421"/>
    </row>
    <row r="684" spans="1:22" ht="15.75" customHeight="1">
      <c r="A684" s="1429" t="s">
        <v>289</v>
      </c>
      <c r="B684" s="1550"/>
      <c r="C684" s="1444" t="str">
        <f>IF(Data!BV684="","",Data!BV684)</f>
        <v/>
      </c>
      <c r="D684" s="1444" t="str">
        <f>IF(Data!BW684="","",Data!BW684)</f>
        <v/>
      </c>
      <c r="E684" s="1444" t="str">
        <f>IF(Data!BX684="","",Data!BX684)</f>
        <v/>
      </c>
      <c r="F684" s="1444" t="str">
        <f>IF(Data!BY684="","",Data!BY684)</f>
        <v/>
      </c>
      <c r="G684" s="1431"/>
      <c r="H684" s="1492"/>
      <c r="I684" s="1492"/>
      <c r="J684" s="1492"/>
      <c r="K684" s="1492"/>
      <c r="L684" s="1431"/>
      <c r="M684" s="1427"/>
      <c r="N684" s="1427"/>
      <c r="O684" s="1427"/>
      <c r="P684" s="1427"/>
      <c r="Q684" s="1464"/>
      <c r="R684" s="1445"/>
      <c r="S684" s="1446"/>
      <c r="T684" s="1446"/>
      <c r="U684" s="1394">
        <v>684</v>
      </c>
      <c r="V684" s="1421"/>
    </row>
    <row r="685" spans="1:22" ht="15.75" customHeight="1">
      <c r="A685" s="1511" t="s">
        <v>292</v>
      </c>
      <c r="B685" s="1550"/>
      <c r="C685" s="1444">
        <f>IF(Data!BV685="","",Data!BV685)</f>
        <v>8457.3359999999993</v>
      </c>
      <c r="D685" s="1444">
        <f>IF(Data!BW685="","",Data!BW685)</f>
        <v>8457.3359999999993</v>
      </c>
      <c r="E685" s="1444">
        <f>IF(Data!BX685="","",Data!BX685)</f>
        <v>8457.3359999999993</v>
      </c>
      <c r="F685" s="1444">
        <f>IF(Data!BY685="","",Data!BY685)</f>
        <v>8457.3359999999993</v>
      </c>
      <c r="G685" s="1431"/>
      <c r="H685" s="1427"/>
      <c r="I685" s="1427"/>
      <c r="J685" s="1427"/>
      <c r="K685" s="1427"/>
      <c r="L685" s="1431"/>
      <c r="M685" s="1449"/>
      <c r="N685" s="1449"/>
      <c r="O685" s="1449"/>
      <c r="P685" s="1449"/>
      <c r="Q685" s="1464"/>
      <c r="R685" s="1402"/>
      <c r="S685" s="1403"/>
      <c r="T685" s="1403"/>
      <c r="U685" s="1394">
        <v>685</v>
      </c>
      <c r="V685" s="1421"/>
    </row>
    <row r="686" spans="1:22" ht="15.75" customHeight="1">
      <c r="A686" s="1429" t="s">
        <v>252</v>
      </c>
      <c r="B686" s="1550"/>
      <c r="C686" s="1483" t="str">
        <f>IF(C683="","",C683*C684*C685/C$46/365/$P$1)</f>
        <v/>
      </c>
      <c r="D686" s="1483" t="str">
        <f>IF(D683="","",D683*D684*D685/D$46/365/$P$1)</f>
        <v/>
      </c>
      <c r="E686" s="1483" t="str">
        <f>IF(E683="","",E683*E684*E685/E$46/365/$P$1)</f>
        <v/>
      </c>
      <c r="F686" s="1483" t="str">
        <f>IF(F683="","",F683*F684*F685/F$46/365/$P$1)</f>
        <v/>
      </c>
      <c r="G686" s="1443"/>
      <c r="H686" s="1483" t="str">
        <f>IF(H683="","",H683*H684*C685/H$46/365/$P$1)</f>
        <v/>
      </c>
      <c r="I686" s="1483" t="str">
        <f>IF(I683="","",I683*I684*D685/I$46/365/$P$1)</f>
        <v/>
      </c>
      <c r="J686" s="1483" t="str">
        <f>IF(J683="","",J683*J684*E685/J$46/365/$P$1)</f>
        <v/>
      </c>
      <c r="K686" s="1483" t="str">
        <f>IF(K683="","",K683*K684*F685/K$46/365/$P$1)</f>
        <v/>
      </c>
      <c r="L686" s="1443"/>
      <c r="M686" s="1484" t="str">
        <f>IF(H686="","",SUM(H686)-SUM(C686))</f>
        <v/>
      </c>
      <c r="N686" s="1484" t="str">
        <f>IF(I686="","",SUM(I686)-SUM(D686))</f>
        <v/>
      </c>
      <c r="O686" s="1484" t="str">
        <f>IF(J686="","",SUM(J686)-SUM(E686))</f>
        <v/>
      </c>
      <c r="P686" s="1484" t="str">
        <f>IF(K686="","",SUM(K686)-SUM(F686))</f>
        <v/>
      </c>
      <c r="Q686" s="1464"/>
      <c r="R686" s="1392"/>
      <c r="S686" s="1393"/>
      <c r="T686" s="1393"/>
      <c r="U686" s="1394">
        <v>686</v>
      </c>
      <c r="V686" s="1421"/>
    </row>
    <row r="687" spans="1:22" ht="15.75" customHeight="1">
      <c r="A687" s="1494" t="str">
        <f>IF(Data!A687="","",Data!A687)</f>
        <v>Gifts/remittances: cereal</v>
      </c>
      <c r="B687" s="1551"/>
      <c r="C687" s="1444" t="str">
        <f>IF(Data!BV687="","",Data!BV687)</f>
        <v/>
      </c>
      <c r="D687" s="1444" t="str">
        <f>IF(Data!BW687="","",Data!BW687)</f>
        <v/>
      </c>
      <c r="E687" s="1444" t="str">
        <f>IF(Data!BX687="","",Data!BX687)</f>
        <v/>
      </c>
      <c r="F687" s="1444" t="str">
        <f>IF(Data!BY687="","",Data!BY687)</f>
        <v/>
      </c>
      <c r="G687" s="1443"/>
      <c r="H687" s="1427"/>
      <c r="I687" s="1427"/>
      <c r="J687" s="1427"/>
      <c r="K687" s="1427"/>
      <c r="L687" s="1443"/>
      <c r="M687" s="1427"/>
      <c r="N687" s="1427"/>
      <c r="O687" s="1427"/>
      <c r="P687" s="1427"/>
      <c r="Q687" s="1464"/>
      <c r="R687" s="1378"/>
      <c r="S687" s="1378"/>
      <c r="T687" s="1378"/>
      <c r="U687" s="1394">
        <v>687</v>
      </c>
      <c r="V687" s="1421"/>
    </row>
    <row r="688" spans="1:22" ht="15.75" customHeight="1">
      <c r="A688" s="1429" t="s">
        <v>293</v>
      </c>
      <c r="B688" s="1551"/>
      <c r="C688" s="1444" t="str">
        <f>IF(Data!BV688="","",Data!BV688)</f>
        <v/>
      </c>
      <c r="D688" s="1444" t="str">
        <f>IF(Data!BW688="","",Data!BW688)</f>
        <v/>
      </c>
      <c r="E688" s="1444">
        <f>IF(Data!BX688="","",Data!BX688)</f>
        <v>30</v>
      </c>
      <c r="F688" s="1444">
        <f>IF(Data!BY688="","",Data!BY688)</f>
        <v>102</v>
      </c>
      <c r="G688" s="1431"/>
      <c r="H688" s="1548" t="str">
        <f>IF(C688="","",C688*'Exp factors'!C$38)</f>
        <v/>
      </c>
      <c r="I688" s="1548" t="str">
        <f>IF(D688="","",D688*'Exp factors'!D$38)</f>
        <v/>
      </c>
      <c r="J688" s="1548">
        <f>IF(E688="","",E688*'Exp factors'!E$38)</f>
        <v>30</v>
      </c>
      <c r="K688" s="1548">
        <f>IF(F688="","",F688*'Exp factors'!F$38)</f>
        <v>102</v>
      </c>
      <c r="L688" s="1431"/>
      <c r="M688" s="1427"/>
      <c r="N688" s="1427"/>
      <c r="O688" s="1427"/>
      <c r="P688" s="1427"/>
      <c r="Q688" s="1464"/>
      <c r="R688" s="1402"/>
      <c r="S688" s="1403"/>
      <c r="T688" s="1403"/>
      <c r="U688" s="1394">
        <v>688</v>
      </c>
      <c r="V688" s="1421"/>
    </row>
    <row r="689" spans="1:22" ht="15.75" customHeight="1">
      <c r="A689" s="1429" t="s">
        <v>289</v>
      </c>
      <c r="B689" s="1551"/>
      <c r="C689" s="1444" t="str">
        <f>IF(Data!BV689="","",Data!BV689)</f>
        <v/>
      </c>
      <c r="D689" s="1444" t="str">
        <f>IF(Data!BW689="","",Data!BW689)</f>
        <v/>
      </c>
      <c r="E689" s="1444">
        <f>IF(Data!BX689="","",Data!BX689)</f>
        <v>1</v>
      </c>
      <c r="F689" s="1444">
        <f>IF(Data!BY689="","",Data!BY689)</f>
        <v>1</v>
      </c>
      <c r="G689" s="1431"/>
      <c r="H689" s="1548" t="str">
        <f>IF(C689&gt;0,C689,"")</f>
        <v/>
      </c>
      <c r="I689" s="1548" t="str">
        <f>IF(D689&gt;0,D689,"")</f>
        <v/>
      </c>
      <c r="J689" s="1548">
        <f>IF(E689&gt;0,E689,"")</f>
        <v>1</v>
      </c>
      <c r="K689" s="1548">
        <f>IF(F689&gt;0,F689,"")</f>
        <v>1</v>
      </c>
      <c r="L689" s="1431"/>
      <c r="M689" s="1427"/>
      <c r="N689" s="1427"/>
      <c r="O689" s="1427"/>
      <c r="P689" s="1427"/>
      <c r="Q689" s="1464"/>
      <c r="R689" s="1445"/>
      <c r="S689" s="1446"/>
      <c r="T689" s="1446"/>
      <c r="U689" s="1394">
        <v>689</v>
      </c>
      <c r="V689" s="1421"/>
    </row>
    <row r="690" spans="1:22" ht="15.75" customHeight="1">
      <c r="A690" s="1511" t="s">
        <v>292</v>
      </c>
      <c r="B690" s="1551"/>
      <c r="C690" s="1444">
        <f>IF(Data!BV690="","",Data!BV690)</f>
        <v>15156.216</v>
      </c>
      <c r="D690" s="1444">
        <f>IF(Data!BW690="","",Data!BW690)</f>
        <v>15156.216</v>
      </c>
      <c r="E690" s="1444">
        <f>IF(Data!BX690="","",Data!BX690)</f>
        <v>15156.216</v>
      </c>
      <c r="F690" s="1444">
        <f>IF(Data!BY690="","",Data!BY690)</f>
        <v>15156.216</v>
      </c>
      <c r="G690" s="1431"/>
      <c r="H690" s="1427"/>
      <c r="I690" s="1427"/>
      <c r="J690" s="1427"/>
      <c r="K690" s="1427"/>
      <c r="L690" s="1431"/>
      <c r="M690" s="1449"/>
      <c r="N690" s="1449"/>
      <c r="O690" s="1449"/>
      <c r="P690" s="1449"/>
      <c r="Q690" s="1464"/>
      <c r="R690" s="1402"/>
      <c r="S690" s="1403"/>
      <c r="T690" s="1403"/>
      <c r="U690" s="1394">
        <v>690</v>
      </c>
      <c r="V690" s="1421"/>
    </row>
    <row r="691" spans="1:22" ht="15.75" customHeight="1">
      <c r="A691" s="1429" t="s">
        <v>252</v>
      </c>
      <c r="B691" s="1551"/>
      <c r="C691" s="1483" t="str">
        <f>IF(C688="","",C688*C689*C690/C$46/365/$P$1)</f>
        <v/>
      </c>
      <c r="D691" s="1483" t="str">
        <f>IF(D688="","",D688*D689*D690/D$46/365/$P$1)</f>
        <v/>
      </c>
      <c r="E691" s="1483">
        <f>IF(E688="","",E688*E689*E690/E$46/365/$P$1)</f>
        <v>1.7694834993773351E-2</v>
      </c>
      <c r="F691" s="1483">
        <f>IF(F688="","",F688*F689*F690/F$46/365/$P$1)</f>
        <v>5.3477723536737236E-2</v>
      </c>
      <c r="G691" s="1443"/>
      <c r="H691" s="1483" t="str">
        <f>IF(H688="","",H688*H689*C690/H$46/365/$P$1)</f>
        <v/>
      </c>
      <c r="I691" s="1483" t="str">
        <f>IF(I688="","",I688*I689*D690/I$46/365/$P$1)</f>
        <v/>
      </c>
      <c r="J691" s="1483">
        <f>IF(J688="","",J688*J689*E690/J$46/365/$P$1)</f>
        <v>1.7694834993773351E-2</v>
      </c>
      <c r="K691" s="1483">
        <f>IF(K688="","",K688*K689*F690/K$46/365/$P$1)</f>
        <v>5.3477723536737236E-2</v>
      </c>
      <c r="L691" s="1443"/>
      <c r="M691" s="1484" t="str">
        <f>IF(H691="","",SUM(H691)-SUM(C691))</f>
        <v/>
      </c>
      <c r="N691" s="1484" t="str">
        <f>IF(I691="","",SUM(I691)-SUM(D691))</f>
        <v/>
      </c>
      <c r="O691" s="1484">
        <f>IF(J691="","",SUM(J691)-SUM(E691))</f>
        <v>0</v>
      </c>
      <c r="P691" s="1484">
        <f>IF(K691="","",SUM(K691)-SUM(F691))</f>
        <v>0</v>
      </c>
      <c r="Q691" s="1464"/>
      <c r="R691" s="1392"/>
      <c r="S691" s="1393"/>
      <c r="T691" s="1393"/>
      <c r="U691" s="1394">
        <v>691</v>
      </c>
      <c r="V691" s="1421"/>
    </row>
    <row r="692" spans="1:22" ht="15.75" customHeight="1">
      <c r="A692" s="1500" t="str">
        <f>IF(Data!A692="","",Data!A692)</f>
        <v>Gifts/remittances: oil</v>
      </c>
      <c r="B692" s="1550"/>
      <c r="C692" s="1444" t="str">
        <f>IF(Data!BV692="","",Data!BV692)</f>
        <v/>
      </c>
      <c r="D692" s="1444" t="str">
        <f>IF(Data!BW692="","",Data!BW692)</f>
        <v/>
      </c>
      <c r="E692" s="1444" t="str">
        <f>IF(Data!BX692="","",Data!BX692)</f>
        <v/>
      </c>
      <c r="F692" s="1444" t="str">
        <f>IF(Data!BY692="","",Data!BY692)</f>
        <v/>
      </c>
      <c r="G692" s="1443"/>
      <c r="H692" s="1427"/>
      <c r="I692" s="1427"/>
      <c r="J692" s="1427"/>
      <c r="K692" s="1427"/>
      <c r="L692" s="1443"/>
      <c r="M692" s="1427"/>
      <c r="N692" s="1427"/>
      <c r="O692" s="1427"/>
      <c r="P692" s="1427"/>
      <c r="Q692" s="1464"/>
      <c r="R692" s="1378"/>
      <c r="S692" s="1378"/>
      <c r="T692" s="1378"/>
      <c r="U692" s="1394">
        <v>692</v>
      </c>
      <c r="V692" s="1421"/>
    </row>
    <row r="693" spans="1:22" ht="15.75" customHeight="1">
      <c r="A693" s="1429" t="s">
        <v>293</v>
      </c>
      <c r="B693" s="1551"/>
      <c r="C693" s="1444" t="str">
        <f>IF(Data!BV693="","",Data!BV693)</f>
        <v/>
      </c>
      <c r="D693" s="1444" t="str">
        <f>IF(Data!BW693="","",Data!BW693)</f>
        <v/>
      </c>
      <c r="E693" s="1444" t="str">
        <f>IF(Data!BX693="","",Data!BX693)</f>
        <v/>
      </c>
      <c r="F693" s="1444" t="str">
        <f>IF(Data!BY693="","",Data!BY693)</f>
        <v/>
      </c>
      <c r="G693" s="1431"/>
      <c r="H693" s="1492"/>
      <c r="I693" s="1492"/>
      <c r="J693" s="1492"/>
      <c r="K693" s="1492"/>
      <c r="L693" s="1431"/>
      <c r="M693" s="1427"/>
      <c r="N693" s="1427"/>
      <c r="O693" s="1427"/>
      <c r="P693" s="1427"/>
      <c r="Q693" s="1464"/>
      <c r="R693" s="1402"/>
      <c r="S693" s="1403"/>
      <c r="T693" s="1403"/>
      <c r="U693" s="1394">
        <v>693</v>
      </c>
      <c r="V693" s="1421"/>
    </row>
    <row r="694" spans="1:22" ht="15.75" customHeight="1">
      <c r="A694" s="1429" t="s">
        <v>289</v>
      </c>
      <c r="B694" s="1551"/>
      <c r="C694" s="1444" t="str">
        <f>IF(Data!BV694="","",Data!BV694)</f>
        <v/>
      </c>
      <c r="D694" s="1444" t="str">
        <f>IF(Data!BW694="","",Data!BW694)</f>
        <v/>
      </c>
      <c r="E694" s="1444" t="str">
        <f>IF(Data!BX694="","",Data!BX694)</f>
        <v/>
      </c>
      <c r="F694" s="1444" t="str">
        <f>IF(Data!BY694="","",Data!BY694)</f>
        <v/>
      </c>
      <c r="G694" s="1431"/>
      <c r="H694" s="1492"/>
      <c r="I694" s="1492"/>
      <c r="J694" s="1492"/>
      <c r="K694" s="1492"/>
      <c r="L694" s="1431"/>
      <c r="M694" s="1427"/>
      <c r="N694" s="1427"/>
      <c r="O694" s="1427"/>
      <c r="P694" s="1427"/>
      <c r="Q694" s="1464"/>
      <c r="R694" s="1445"/>
      <c r="S694" s="1446"/>
      <c r="T694" s="1446"/>
      <c r="U694" s="1394">
        <v>694</v>
      </c>
      <c r="V694" s="1421"/>
    </row>
    <row r="695" spans="1:22" ht="15.75" customHeight="1">
      <c r="A695" s="1511" t="s">
        <v>292</v>
      </c>
      <c r="B695" s="1550"/>
      <c r="C695" s="1444">
        <f>IF(Data!BV695="","",Data!BV695)</f>
        <v>37681.199999999997</v>
      </c>
      <c r="D695" s="1444">
        <f>IF(Data!BW695="","",Data!BW695)</f>
        <v>37681.199999999997</v>
      </c>
      <c r="E695" s="1444">
        <f>IF(Data!BX695="","",Data!BX695)</f>
        <v>37681.199999999997</v>
      </c>
      <c r="F695" s="1444">
        <f>IF(Data!BY695="","",Data!BY695)</f>
        <v>37681.199999999997</v>
      </c>
      <c r="G695" s="1431"/>
      <c r="H695" s="1427"/>
      <c r="I695" s="1427"/>
      <c r="J695" s="1427"/>
      <c r="K695" s="1427"/>
      <c r="L695" s="1431"/>
      <c r="M695" s="1449"/>
      <c r="N695" s="1449"/>
      <c r="O695" s="1449"/>
      <c r="P695" s="1449"/>
      <c r="Q695" s="1464"/>
      <c r="R695" s="1402"/>
      <c r="S695" s="1403"/>
      <c r="T695" s="1403"/>
      <c r="U695" s="1394">
        <v>695</v>
      </c>
      <c r="V695" s="1421"/>
    </row>
    <row r="696" spans="1:22" ht="15.75" customHeight="1">
      <c r="A696" s="1429" t="s">
        <v>252</v>
      </c>
      <c r="B696" s="1550"/>
      <c r="C696" s="1483" t="str">
        <f>IF(C693="","",C693*C694*C695/C$46/365/$P$1)</f>
        <v/>
      </c>
      <c r="D696" s="1483" t="str">
        <f>IF(D693="","",D693*D694*D695/D$46/365/$P$1)</f>
        <v/>
      </c>
      <c r="E696" s="1483" t="str">
        <f>IF(E693="","",E693*E694*E695/E$46/365/$P$1)</f>
        <v/>
      </c>
      <c r="F696" s="1483" t="str">
        <f>IF(F693="","",F693*F694*F695/F$46/365/$P$1)</f>
        <v/>
      </c>
      <c r="G696" s="1443"/>
      <c r="H696" s="1483" t="str">
        <f>IF(H693="","",H693*H694*C695/H$46/365/$P$1)</f>
        <v/>
      </c>
      <c r="I696" s="1483" t="str">
        <f>IF(I693="","",I693*I694*D695/I$46/365/$P$1)</f>
        <v/>
      </c>
      <c r="J696" s="1483" t="str">
        <f>IF(J693="","",J693*J694*E695/J$46/365/$P$1)</f>
        <v/>
      </c>
      <c r="K696" s="1483" t="str">
        <f>IF(K693="","",K693*K694*F695/K$46/365/$P$1)</f>
        <v/>
      </c>
      <c r="L696" s="1443"/>
      <c r="M696" s="1484" t="str">
        <f>IF(H696="","",SUM(H696)-SUM(C696))</f>
        <v/>
      </c>
      <c r="N696" s="1484" t="str">
        <f>IF(I696="","",SUM(I696)-SUM(D696))</f>
        <v/>
      </c>
      <c r="O696" s="1484" t="str">
        <f>IF(J696="","",SUM(J696)-SUM(E696))</f>
        <v/>
      </c>
      <c r="P696" s="1484" t="str">
        <f>IF(K696="","",SUM(K696)-SUM(F696))</f>
        <v/>
      </c>
      <c r="Q696" s="1464"/>
      <c r="R696" s="1392"/>
      <c r="S696" s="1393"/>
      <c r="T696" s="1393"/>
      <c r="U696" s="1394">
        <v>696</v>
      </c>
      <c r="V696" s="1421"/>
    </row>
    <row r="697" spans="1:22" ht="15.75" customHeight="1">
      <c r="A697" s="1500" t="str">
        <f>IF(Data!A697="","",Data!A697)</f>
        <v>Gifts/remittances: Other</v>
      </c>
      <c r="B697" s="1550"/>
      <c r="C697" s="1444" t="str">
        <f>IF(Data!BV697="","",Data!BV697)</f>
        <v/>
      </c>
      <c r="D697" s="1444" t="str">
        <f>IF(Data!BW697="","",Data!BW697)</f>
        <v/>
      </c>
      <c r="E697" s="1444" t="str">
        <f>IF(Data!BX697="","",Data!BX697)</f>
        <v/>
      </c>
      <c r="F697" s="1444" t="str">
        <f>IF(Data!BY697="","",Data!BY697)</f>
        <v/>
      </c>
      <c r="G697" s="1443"/>
      <c r="H697" s="1427"/>
      <c r="I697" s="1427"/>
      <c r="J697" s="1427"/>
      <c r="K697" s="1427"/>
      <c r="L697" s="1443"/>
      <c r="M697" s="1427"/>
      <c r="N697" s="1427"/>
      <c r="O697" s="1427"/>
      <c r="P697" s="1427"/>
      <c r="Q697" s="1464"/>
      <c r="R697" s="1378"/>
      <c r="S697" s="1378"/>
      <c r="T697" s="1378"/>
      <c r="U697" s="1394">
        <v>697</v>
      </c>
      <c r="V697" s="1421"/>
    </row>
    <row r="698" spans="1:22" ht="15.75" customHeight="1">
      <c r="A698" s="1429" t="s">
        <v>293</v>
      </c>
      <c r="B698" s="1550"/>
      <c r="C698" s="1444" t="str">
        <f>IF(Data!BV698="","",Data!BV698)</f>
        <v/>
      </c>
      <c r="D698" s="1444" t="str">
        <f>IF(Data!BW698="","",Data!BW698)</f>
        <v/>
      </c>
      <c r="E698" s="1444">
        <f>IF(Data!BX698="","",Data!BX698)</f>
        <v>40</v>
      </c>
      <c r="F698" s="1444">
        <f>IF(Data!BY698="","",Data!BY698)</f>
        <v>50</v>
      </c>
      <c r="G698" s="1431"/>
      <c r="H698" s="1492"/>
      <c r="I698" s="1492"/>
      <c r="J698" s="1492">
        <v>40</v>
      </c>
      <c r="K698" s="1492">
        <v>50</v>
      </c>
      <c r="L698" s="1431"/>
      <c r="M698" s="1427"/>
      <c r="N698" s="1427"/>
      <c r="O698" s="1427"/>
      <c r="P698" s="1427"/>
      <c r="Q698" s="1464"/>
      <c r="R698" s="1402"/>
      <c r="S698" s="1403"/>
      <c r="T698" s="1403"/>
      <c r="U698" s="1394">
        <v>698</v>
      </c>
      <c r="V698" s="1421"/>
    </row>
    <row r="699" spans="1:22" ht="15.75" customHeight="1">
      <c r="A699" s="1429" t="s">
        <v>289</v>
      </c>
      <c r="B699" s="1550"/>
      <c r="C699" s="1444" t="str">
        <f>IF(Data!BV699="","",Data!BV699)</f>
        <v/>
      </c>
      <c r="D699" s="1444" t="str">
        <f>IF(Data!BW699="","",Data!BW699)</f>
        <v/>
      </c>
      <c r="E699" s="1444">
        <f>IF(Data!BX699="","",Data!BX699)</f>
        <v>1</v>
      </c>
      <c r="F699" s="1444">
        <f>IF(Data!BY699="","",Data!BY699)</f>
        <v>1</v>
      </c>
      <c r="G699" s="1431"/>
      <c r="H699" s="1492"/>
      <c r="I699" s="1492"/>
      <c r="J699" s="1492">
        <v>1</v>
      </c>
      <c r="K699" s="1492">
        <v>1</v>
      </c>
      <c r="L699" s="1431"/>
      <c r="M699" s="1427"/>
      <c r="N699" s="1427"/>
      <c r="O699" s="1427"/>
      <c r="P699" s="1427"/>
      <c r="Q699" s="1464"/>
      <c r="R699" s="1445"/>
      <c r="S699" s="1446"/>
      <c r="T699" s="1446"/>
      <c r="U699" s="1394">
        <v>699</v>
      </c>
      <c r="V699" s="1421"/>
    </row>
    <row r="700" spans="1:22" ht="15.75" customHeight="1">
      <c r="A700" s="1511" t="s">
        <v>292</v>
      </c>
      <c r="B700" s="1550"/>
      <c r="C700" s="1444" t="str">
        <f>IF(Data!BV700="","",Data!BV700)</f>
        <v/>
      </c>
      <c r="D700" s="1444" t="str">
        <f>IF(Data!BW700="","",Data!BW700)</f>
        <v/>
      </c>
      <c r="E700" s="1444">
        <f>IF(Data!BX700="","",Data!BX700)</f>
        <v>14820</v>
      </c>
      <c r="F700" s="1444">
        <f>IF(Data!BY700="","",Data!BY700)</f>
        <v>14820</v>
      </c>
      <c r="G700" s="1431"/>
      <c r="H700" s="1427"/>
      <c r="I700" s="1427"/>
      <c r="J700" s="1427"/>
      <c r="K700" s="1427"/>
      <c r="L700" s="1431"/>
      <c r="M700" s="1449"/>
      <c r="N700" s="1449"/>
      <c r="O700" s="1449"/>
      <c r="P700" s="1449"/>
      <c r="Q700" s="1464"/>
      <c r="R700" s="1402"/>
      <c r="S700" s="1403"/>
      <c r="T700" s="1403"/>
      <c r="U700" s="1394">
        <v>700</v>
      </c>
      <c r="V700" s="1421"/>
    </row>
    <row r="701" spans="1:22" ht="15.75" customHeight="1">
      <c r="A701" s="1429" t="s">
        <v>252</v>
      </c>
      <c r="B701" s="1550"/>
      <c r="C701" s="1483" t="str">
        <f>IF(C698="","",C698*C699*C700/C$46/365/$P$1)</f>
        <v/>
      </c>
      <c r="D701" s="1483" t="str">
        <f>IF(D698="","",D698*D699*D700/D$46/365/$P$1)</f>
        <v/>
      </c>
      <c r="E701" s="1483">
        <f>IF(E698="","",E698*E699*E700/E$46/365/$P$1)</f>
        <v>2.3069738480697384E-2</v>
      </c>
      <c r="F701" s="1483">
        <f>IF(F698="","",F698*F699*F700/F$46/365/$P$1)</f>
        <v>2.5633042756330427E-2</v>
      </c>
      <c r="G701" s="1443"/>
      <c r="H701" s="1483" t="str">
        <f>IF(H698="","",H698*H699*C700/H$46/365/$P$1)</f>
        <v/>
      </c>
      <c r="I701" s="1483" t="str">
        <f>IF(I698="","",I698*I699*D700/I$46/365/$P$1)</f>
        <v/>
      </c>
      <c r="J701" s="1483">
        <f>IF(J698="","",J698*J699*E700/J$46/365/$P$1)</f>
        <v>2.3069738480697384E-2</v>
      </c>
      <c r="K701" s="1483">
        <f>IF(K698="","",K698*K699*F700/K$46/365/$P$1)</f>
        <v>2.5633042756330427E-2</v>
      </c>
      <c r="L701" s="1443"/>
      <c r="M701" s="1484" t="str">
        <f>IF(H701="","",SUM(H701)-SUM(C701))</f>
        <v/>
      </c>
      <c r="N701" s="1484" t="str">
        <f>IF(I701="","",SUM(I701)-SUM(D701))</f>
        <v/>
      </c>
      <c r="O701" s="1484">
        <f>IF(J701="","",SUM(J701)-SUM(E701))</f>
        <v>0</v>
      </c>
      <c r="P701" s="1484">
        <f>IF(K701="","",SUM(K701)-SUM(F701))</f>
        <v>0</v>
      </c>
      <c r="Q701" s="1464"/>
      <c r="R701" s="1392"/>
      <c r="S701" s="1393"/>
      <c r="T701" s="1393"/>
      <c r="U701" s="1394">
        <v>701</v>
      </c>
      <c r="V701" s="1421"/>
    </row>
    <row r="702" spans="1:22" ht="15.75" customHeight="1">
      <c r="A702" s="1495" t="s">
        <v>312</v>
      </c>
      <c r="B702" s="1550"/>
      <c r="C702" s="1466"/>
      <c r="D702" s="1466"/>
      <c r="E702" s="1466"/>
      <c r="F702" s="1466"/>
      <c r="G702" s="1443"/>
      <c r="H702" s="1427"/>
      <c r="I702" s="1427"/>
      <c r="J702" s="1427"/>
      <c r="K702" s="1427"/>
      <c r="L702" s="1443"/>
      <c r="M702" s="1502"/>
      <c r="N702" s="1502"/>
      <c r="O702" s="1502"/>
      <c r="P702" s="1502"/>
      <c r="Q702" s="1464"/>
      <c r="R702" s="1378"/>
      <c r="S702" s="1378"/>
      <c r="T702" s="1378"/>
      <c r="U702" s="1394">
        <v>702</v>
      </c>
      <c r="V702" s="1421"/>
    </row>
    <row r="703" spans="1:22" ht="15.75" customHeight="1">
      <c r="A703" s="1553" t="str">
        <f>IF(Data!A703="","",Data!A703)</f>
        <v>Agricultural cash income -- see Data2</v>
      </c>
      <c r="B703" s="1550"/>
      <c r="C703" s="1448"/>
      <c r="D703" s="1448"/>
      <c r="E703" s="1448"/>
      <c r="F703" s="1448"/>
      <c r="G703" s="1433"/>
      <c r="H703" s="1427"/>
      <c r="I703" s="1427"/>
      <c r="J703" s="1427"/>
      <c r="K703" s="1427"/>
      <c r="L703" s="1433"/>
      <c r="M703" s="1449"/>
      <c r="N703" s="1449"/>
      <c r="O703" s="1449"/>
      <c r="P703" s="1449"/>
      <c r="Q703" s="1464"/>
      <c r="R703" s="1378"/>
      <c r="S703" s="1378"/>
      <c r="T703" s="1378"/>
      <c r="U703" s="1394">
        <v>703</v>
      </c>
      <c r="V703" s="1421"/>
    </row>
    <row r="704" spans="1:22" ht="15.75" hidden="1" customHeight="1">
      <c r="A704" s="1429" t="s">
        <v>297</v>
      </c>
      <c r="B704" s="1550"/>
      <c r="C704" s="1444" t="str">
        <f>IF(Data!BV704="","",Data!BV704)</f>
        <v/>
      </c>
      <c r="D704" s="1444" t="str">
        <f>IF(Data!BW704="","",Data!BW704)</f>
        <v/>
      </c>
      <c r="E704" s="1444" t="str">
        <f>IF(Data!BX704="","",Data!BX704)</f>
        <v/>
      </c>
      <c r="F704" s="1444" t="str">
        <f>IF(Data!BY704="","",Data!BY704)</f>
        <v/>
      </c>
      <c r="G704" s="1433"/>
      <c r="H704" s="1548" t="str">
        <f>IF(C704="","",C704*'Exp factors'!C$28)</f>
        <v/>
      </c>
      <c r="I704" s="1548" t="str">
        <f>IF(D704="","",D704*'Exp factors'!D$28)</f>
        <v/>
      </c>
      <c r="J704" s="1548" t="str">
        <f>IF(E704="","",E704*'Exp factors'!E$28)</f>
        <v/>
      </c>
      <c r="K704" s="1548" t="str">
        <f>IF(F704="","",F704*'Exp factors'!F$28)</f>
        <v/>
      </c>
      <c r="L704" s="1433"/>
      <c r="M704" s="1449"/>
      <c r="N704" s="1449"/>
      <c r="O704" s="1449"/>
      <c r="P704" s="1449"/>
      <c r="Q704" s="1464"/>
      <c r="R704" s="1445"/>
      <c r="S704" s="1446"/>
      <c r="T704" s="1446"/>
      <c r="U704" s="1394">
        <v>704</v>
      </c>
      <c r="V704" s="1421"/>
    </row>
    <row r="705" spans="1:22" ht="15.75" hidden="1" customHeight="1">
      <c r="A705" s="1429" t="s">
        <v>298</v>
      </c>
      <c r="B705" s="1550"/>
      <c r="C705" s="1444" t="str">
        <f>IF(Data!BV705="","",Data!BV705)</f>
        <v/>
      </c>
      <c r="D705" s="1444" t="str">
        <f>IF(Data!BW705="","",Data!BW705)</f>
        <v/>
      </c>
      <c r="E705" s="1444" t="str">
        <f>IF(Data!BX705="","",Data!BX705)</f>
        <v/>
      </c>
      <c r="F705" s="1444" t="str">
        <f>IF(Data!BY705="","",Data!BY705)</f>
        <v/>
      </c>
      <c r="G705" s="1431"/>
      <c r="H705" s="1548" t="str">
        <f t="shared" ref="H705:K706" si="100">IF(C705&gt;0,C705,"")</f>
        <v/>
      </c>
      <c r="I705" s="1548" t="str">
        <f t="shared" si="100"/>
        <v/>
      </c>
      <c r="J705" s="1548" t="str">
        <f t="shared" si="100"/>
        <v/>
      </c>
      <c r="K705" s="1548" t="str">
        <f t="shared" si="100"/>
        <v/>
      </c>
      <c r="L705" s="1431"/>
      <c r="M705" s="1427"/>
      <c r="N705" s="1427"/>
      <c r="O705" s="1427"/>
      <c r="P705" s="1427"/>
      <c r="Q705" s="1464"/>
      <c r="R705" s="1445"/>
      <c r="S705" s="1446"/>
      <c r="T705" s="1446"/>
      <c r="U705" s="1394">
        <v>705</v>
      </c>
      <c r="V705" s="1421"/>
    </row>
    <row r="706" spans="1:22" ht="15.75" hidden="1" customHeight="1">
      <c r="A706" s="1429" t="s">
        <v>283</v>
      </c>
      <c r="B706" s="1550"/>
      <c r="C706" s="1444" t="str">
        <f>IF(Data!BV706="","",Data!BV706)</f>
        <v/>
      </c>
      <c r="D706" s="1444" t="str">
        <f>IF(Data!BW706="","",Data!BW706)</f>
        <v/>
      </c>
      <c r="E706" s="1444" t="str">
        <f>IF(Data!BX706="","",Data!BX706)</f>
        <v/>
      </c>
      <c r="F706" s="1444" t="str">
        <f>IF(Data!BY706="","",Data!BY706)</f>
        <v/>
      </c>
      <c r="G706" s="1431"/>
      <c r="H706" s="1548" t="str">
        <f t="shared" si="100"/>
        <v/>
      </c>
      <c r="I706" s="1548" t="str">
        <f t="shared" si="100"/>
        <v/>
      </c>
      <c r="J706" s="1548" t="str">
        <f t="shared" si="100"/>
        <v/>
      </c>
      <c r="K706" s="1548" t="str">
        <f t="shared" si="100"/>
        <v/>
      </c>
      <c r="L706" s="1431"/>
      <c r="M706" s="1427"/>
      <c r="N706" s="1427"/>
      <c r="O706" s="1427"/>
      <c r="P706" s="1427"/>
      <c r="Q706" s="1464"/>
      <c r="R706" s="1445"/>
      <c r="S706" s="1446"/>
      <c r="T706" s="1446"/>
      <c r="U706" s="1394">
        <v>706</v>
      </c>
      <c r="V706" s="1421"/>
    </row>
    <row r="707" spans="1:22" ht="15.75" hidden="1" customHeight="1">
      <c r="A707" s="1429" t="s">
        <v>314</v>
      </c>
      <c r="B707" s="1550"/>
      <c r="C707" s="1444" t="str">
        <f>IF(Data!BV707="","",Data!BV707)</f>
        <v/>
      </c>
      <c r="D707" s="1444" t="str">
        <f>IF(Data!BW707="","",Data!BW707)</f>
        <v/>
      </c>
      <c r="E707" s="1444" t="str">
        <f>IF(Data!BX707="","",Data!BX707)</f>
        <v/>
      </c>
      <c r="F707" s="1444" t="str">
        <f>IF(Data!BY707="","",Data!BY707)</f>
        <v/>
      </c>
      <c r="G707" s="1431"/>
      <c r="H707" s="1427"/>
      <c r="I707" s="1427"/>
      <c r="J707" s="1427"/>
      <c r="K707" s="1427"/>
      <c r="L707" s="1431"/>
      <c r="M707" s="1427"/>
      <c r="N707" s="1427"/>
      <c r="O707" s="1427"/>
      <c r="P707" s="1427"/>
      <c r="Q707" s="1464"/>
      <c r="R707" s="1445"/>
      <c r="S707" s="1446"/>
      <c r="T707" s="1446"/>
      <c r="U707" s="1394">
        <v>707</v>
      </c>
      <c r="V707" s="1421"/>
    </row>
    <row r="708" spans="1:22" ht="15.75" customHeight="1">
      <c r="A708" s="1508" t="s">
        <v>315</v>
      </c>
      <c r="B708" s="1550"/>
      <c r="C708" s="1479">
        <f>IF(Data!BV708="","",Data!BV708)</f>
        <v>0</v>
      </c>
      <c r="D708" s="1479">
        <f>IF(Data!BW708="","",Data!BW708)</f>
        <v>1109</v>
      </c>
      <c r="E708" s="1479">
        <f>IF(Data!BX708="","",Data!BX708)</f>
        <v>752</v>
      </c>
      <c r="F708" s="1479">
        <f>IF(Data!BY708="","",Data!BY708)</f>
        <v>0</v>
      </c>
      <c r="G708" s="1432"/>
      <c r="H708" s="1548">
        <f>IF(C708="","",C708*'Exp factors'!C$28)</f>
        <v>0</v>
      </c>
      <c r="I708" s="1548">
        <f>IF(D708="","",D708*'Exp factors'!D$28)</f>
        <v>1109</v>
      </c>
      <c r="J708" s="1548">
        <f>IF(E708="","",E708*'Exp factors'!E$28)</f>
        <v>752</v>
      </c>
      <c r="K708" s="1548">
        <f>IF(F708="","",F708*'Exp factors'!F$28)</f>
        <v>0</v>
      </c>
      <c r="L708" s="1432"/>
      <c r="M708" s="1454">
        <f>IF(H708="","",SUM(H708)-SUM(C708))</f>
        <v>0</v>
      </c>
      <c r="N708" s="1454">
        <f>IF(I708="","",SUM(I708)-SUM(D708))</f>
        <v>0</v>
      </c>
      <c r="O708" s="1454">
        <f>IF(J708="","",SUM(J708)-SUM(E708))</f>
        <v>0</v>
      </c>
      <c r="P708" s="1454">
        <f>IF(K708="","",SUM(K708)-SUM(F708))</f>
        <v>0</v>
      </c>
      <c r="Q708" s="1464"/>
      <c r="R708" s="1402"/>
      <c r="S708" s="1403"/>
      <c r="T708" s="1403"/>
      <c r="U708" s="1394">
        <v>708</v>
      </c>
      <c r="V708" s="1421"/>
    </row>
    <row r="709" spans="1:22" ht="15.75" customHeight="1">
      <c r="A709" s="1553" t="str">
        <f>IF(Data!A709="","",Data!A709)</f>
        <v>Construction cash income -- see Data2</v>
      </c>
      <c r="B709" s="1550"/>
      <c r="C709" s="1448"/>
      <c r="D709" s="1448"/>
      <c r="E709" s="1448"/>
      <c r="F709" s="1444"/>
      <c r="G709" s="1433"/>
      <c r="H709" s="1427"/>
      <c r="I709" s="1427"/>
      <c r="J709" s="1427"/>
      <c r="K709" s="1427"/>
      <c r="L709" s="1433"/>
      <c r="M709" s="1449"/>
      <c r="N709" s="1449"/>
      <c r="O709" s="1449"/>
      <c r="P709" s="1449"/>
      <c r="Q709" s="1464"/>
      <c r="R709" s="1378"/>
      <c r="S709" s="1378"/>
      <c r="T709" s="1378"/>
      <c r="U709" s="1394">
        <v>709</v>
      </c>
      <c r="V709" s="1421"/>
    </row>
    <row r="710" spans="1:22" ht="15.75" hidden="1" customHeight="1">
      <c r="A710" s="1429" t="s">
        <v>297</v>
      </c>
      <c r="B710" s="1550"/>
      <c r="C710" s="1444" t="str">
        <f>IF(Data!BV710="","",Data!BV710)</f>
        <v/>
      </c>
      <c r="D710" s="1444" t="str">
        <f>IF(Data!BW710="","",Data!BW710)</f>
        <v/>
      </c>
      <c r="E710" s="1444" t="str">
        <f>IF(Data!BX710="","",Data!BX710)</f>
        <v/>
      </c>
      <c r="F710" s="1444" t="str">
        <f>IF(Data!BY710="","",Data!BY710)</f>
        <v/>
      </c>
      <c r="G710" s="1433"/>
      <c r="H710" s="1548" t="str">
        <f>IF(C710="","",C710*'Exp factors'!C$28)</f>
        <v/>
      </c>
      <c r="I710" s="1548" t="str">
        <f>IF(D710="","",D710*'Exp factors'!D$28)</f>
        <v/>
      </c>
      <c r="J710" s="1548" t="str">
        <f>IF(E710="","",E710*'Exp factors'!E$28)</f>
        <v/>
      </c>
      <c r="K710" s="1548" t="str">
        <f>IF(F710="","",F710*'Exp factors'!F$28)</f>
        <v/>
      </c>
      <c r="L710" s="1433"/>
      <c r="M710" s="1449"/>
      <c r="N710" s="1449"/>
      <c r="O710" s="1449"/>
      <c r="P710" s="1449"/>
      <c r="Q710" s="1464"/>
      <c r="R710" s="1445"/>
      <c r="S710" s="1446"/>
      <c r="T710" s="1446"/>
      <c r="U710" s="1394">
        <v>710</v>
      </c>
      <c r="V710" s="1421"/>
    </row>
    <row r="711" spans="1:22" ht="15.75" hidden="1" customHeight="1">
      <c r="A711" s="1429" t="s">
        <v>298</v>
      </c>
      <c r="B711" s="1550"/>
      <c r="C711" s="1444" t="str">
        <f>IF(Data!BV711="","",Data!BV711)</f>
        <v/>
      </c>
      <c r="D711" s="1444" t="str">
        <f>IF(Data!BW711="","",Data!BW711)</f>
        <v/>
      </c>
      <c r="E711" s="1444" t="str">
        <f>IF(Data!BX711="","",Data!BX711)</f>
        <v/>
      </c>
      <c r="F711" s="1444" t="str">
        <f>IF(Data!BY711="","",Data!BY711)</f>
        <v/>
      </c>
      <c r="G711" s="1431"/>
      <c r="H711" s="1548" t="str">
        <f t="shared" ref="H711:K712" si="101">IF(C711&gt;0,C711,"")</f>
        <v/>
      </c>
      <c r="I711" s="1548" t="str">
        <f t="shared" si="101"/>
        <v/>
      </c>
      <c r="J711" s="1548" t="str">
        <f t="shared" si="101"/>
        <v/>
      </c>
      <c r="K711" s="1548" t="str">
        <f t="shared" si="101"/>
        <v/>
      </c>
      <c r="L711" s="1431"/>
      <c r="M711" s="1427"/>
      <c r="N711" s="1427"/>
      <c r="O711" s="1427"/>
      <c r="P711" s="1427"/>
      <c r="Q711" s="1464"/>
      <c r="R711" s="1445"/>
      <c r="S711" s="1446"/>
      <c r="T711" s="1446"/>
      <c r="U711" s="1394">
        <v>711</v>
      </c>
      <c r="V711" s="1421"/>
    </row>
    <row r="712" spans="1:22" ht="15.75" hidden="1" customHeight="1">
      <c r="A712" s="1429" t="s">
        <v>283</v>
      </c>
      <c r="B712" s="1550"/>
      <c r="C712" s="1444" t="str">
        <f>IF(Data!BV712="","",Data!BV712)</f>
        <v/>
      </c>
      <c r="D712" s="1444" t="str">
        <f>IF(Data!BW712="","",Data!BW712)</f>
        <v/>
      </c>
      <c r="E712" s="1444" t="str">
        <f>IF(Data!BX712="","",Data!BX712)</f>
        <v/>
      </c>
      <c r="F712" s="1444" t="str">
        <f>IF(Data!BY712="","",Data!BY712)</f>
        <v/>
      </c>
      <c r="G712" s="1431"/>
      <c r="H712" s="1548" t="str">
        <f t="shared" si="101"/>
        <v/>
      </c>
      <c r="I712" s="1548" t="str">
        <f t="shared" si="101"/>
        <v/>
      </c>
      <c r="J712" s="1548" t="str">
        <f t="shared" si="101"/>
        <v/>
      </c>
      <c r="K712" s="1548" t="str">
        <f t="shared" si="101"/>
        <v/>
      </c>
      <c r="L712" s="1431"/>
      <c r="M712" s="1427"/>
      <c r="N712" s="1427"/>
      <c r="O712" s="1427"/>
      <c r="P712" s="1427"/>
      <c r="Q712" s="1464"/>
      <c r="R712" s="1445"/>
      <c r="S712" s="1446"/>
      <c r="T712" s="1446"/>
      <c r="U712" s="1394">
        <v>712</v>
      </c>
      <c r="V712" s="1421"/>
    </row>
    <row r="713" spans="1:22" ht="15.75" hidden="1" customHeight="1">
      <c r="A713" s="1429" t="s">
        <v>314</v>
      </c>
      <c r="B713" s="1550"/>
      <c r="C713" s="1444" t="str">
        <f>IF(Data!BV713="","",Data!BV713)</f>
        <v/>
      </c>
      <c r="D713" s="1444" t="str">
        <f>IF(Data!BW713="","",Data!BW713)</f>
        <v/>
      </c>
      <c r="E713" s="1444" t="str">
        <f>IF(Data!BX713="","",Data!BX713)</f>
        <v/>
      </c>
      <c r="F713" s="1444" t="str">
        <f>IF(Data!BY713="","",Data!BY713)</f>
        <v/>
      </c>
      <c r="G713" s="1431"/>
      <c r="H713" s="1427"/>
      <c r="I713" s="1427"/>
      <c r="J713" s="1427"/>
      <c r="K713" s="1427"/>
      <c r="L713" s="1431"/>
      <c r="M713" s="1427"/>
      <c r="N713" s="1427"/>
      <c r="O713" s="1427"/>
      <c r="P713" s="1427"/>
      <c r="Q713" s="1464"/>
      <c r="R713" s="1445"/>
      <c r="S713" s="1446"/>
      <c r="T713" s="1446"/>
      <c r="U713" s="1394">
        <v>713</v>
      </c>
      <c r="V713" s="1421"/>
    </row>
    <row r="714" spans="1:22" ht="15.75" customHeight="1">
      <c r="A714" s="1508" t="s">
        <v>315</v>
      </c>
      <c r="B714" s="1550"/>
      <c r="C714" s="1479">
        <f>IF(Data!BV714="","",Data!BV714)</f>
        <v>0</v>
      </c>
      <c r="D714" s="1479">
        <f>IF(Data!BW714="","",Data!BW714)</f>
        <v>0</v>
      </c>
      <c r="E714" s="1479">
        <f>IF(Data!BX714="","",Data!BX714)</f>
        <v>0</v>
      </c>
      <c r="F714" s="1479">
        <f>IF(Data!BY714="","",Data!BY714)</f>
        <v>0</v>
      </c>
      <c r="G714" s="1432"/>
      <c r="H714" s="1548">
        <f>IF(C714="","",C714*'Exp factors'!C$28)</f>
        <v>0</v>
      </c>
      <c r="I714" s="1548">
        <f>IF(D714="","",D714*'Exp factors'!D$28)</f>
        <v>0</v>
      </c>
      <c r="J714" s="1548">
        <f>IF(E714="","",E714*'Exp factors'!E$28)</f>
        <v>0</v>
      </c>
      <c r="K714" s="1548">
        <f>IF(F714="","",F714*'Exp factors'!F$28)</f>
        <v>0</v>
      </c>
      <c r="L714" s="1432"/>
      <c r="M714" s="1454">
        <f>IF(H714="","",SUM(H714)-SUM(C714))</f>
        <v>0</v>
      </c>
      <c r="N714" s="1454">
        <f>IF(I714="","",SUM(I714)-SUM(D714))</f>
        <v>0</v>
      </c>
      <c r="O714" s="1454">
        <f>IF(J714="","",SUM(J714)-SUM(E714))</f>
        <v>0</v>
      </c>
      <c r="P714" s="1454">
        <f>IF(K714="","",SUM(K714)-SUM(F714))</f>
        <v>0</v>
      </c>
      <c r="Q714" s="1464"/>
      <c r="R714" s="1402"/>
      <c r="S714" s="1403"/>
      <c r="T714" s="1403"/>
      <c r="U714" s="1394">
        <v>714</v>
      </c>
      <c r="V714" s="1421"/>
    </row>
    <row r="715" spans="1:22" ht="15.75" customHeight="1">
      <c r="A715" s="1553" t="str">
        <f>IF(Data!A715="","",Data!A715)</f>
        <v>Domestic work cash income -- see Data2</v>
      </c>
      <c r="B715" s="1550"/>
      <c r="C715" s="1448"/>
      <c r="D715" s="1448"/>
      <c r="E715" s="1448"/>
      <c r="F715" s="1444"/>
      <c r="G715" s="1433"/>
      <c r="H715" s="1427"/>
      <c r="I715" s="1427"/>
      <c r="J715" s="1427"/>
      <c r="K715" s="1427"/>
      <c r="L715" s="1433"/>
      <c r="M715" s="1449"/>
      <c r="N715" s="1449"/>
      <c r="O715" s="1449"/>
      <c r="P715" s="1449"/>
      <c r="Q715" s="1464"/>
      <c r="R715" s="1378"/>
      <c r="S715" s="1378"/>
      <c r="T715" s="1378"/>
      <c r="U715" s="1394">
        <v>715</v>
      </c>
      <c r="V715" s="1421"/>
    </row>
    <row r="716" spans="1:22" ht="15.75" hidden="1" customHeight="1">
      <c r="A716" s="1429" t="s">
        <v>297</v>
      </c>
      <c r="B716" s="1550"/>
      <c r="C716" s="1444" t="str">
        <f>IF(Data!BV716="","",Data!BV716)</f>
        <v/>
      </c>
      <c r="D716" s="1444" t="str">
        <f>IF(Data!BW716="","",Data!BW716)</f>
        <v/>
      </c>
      <c r="E716" s="1444" t="str">
        <f>IF(Data!BX716="","",Data!BX716)</f>
        <v/>
      </c>
      <c r="F716" s="1444" t="str">
        <f>IF(Data!BY716="","",Data!BY716)</f>
        <v/>
      </c>
      <c r="G716" s="1433"/>
      <c r="H716" s="1548" t="str">
        <f>IF(C716="","",C716*'Exp factors'!C$28)</f>
        <v/>
      </c>
      <c r="I716" s="1548" t="str">
        <f>IF(D716="","",D716*'Exp factors'!D$28)</f>
        <v/>
      </c>
      <c r="J716" s="1548" t="str">
        <f>IF(E716="","",E716*'Exp factors'!E$28)</f>
        <v/>
      </c>
      <c r="K716" s="1548" t="str">
        <f>IF(F716="","",F716*'Exp factors'!F$28)</f>
        <v/>
      </c>
      <c r="L716" s="1433"/>
      <c r="M716" s="1449"/>
      <c r="N716" s="1449"/>
      <c r="O716" s="1449"/>
      <c r="P716" s="1449"/>
      <c r="Q716" s="1464"/>
      <c r="R716" s="1445"/>
      <c r="S716" s="1446"/>
      <c r="T716" s="1446"/>
      <c r="U716" s="1394">
        <v>716</v>
      </c>
      <c r="V716" s="1421"/>
    </row>
    <row r="717" spans="1:22" ht="15.75" hidden="1" customHeight="1">
      <c r="A717" s="1429" t="s">
        <v>298</v>
      </c>
      <c r="B717" s="1550"/>
      <c r="C717" s="1444" t="str">
        <f>IF(Data!BV717="","",Data!BV717)</f>
        <v/>
      </c>
      <c r="D717" s="1444" t="str">
        <f>IF(Data!BW717="","",Data!BW717)</f>
        <v/>
      </c>
      <c r="E717" s="1444" t="str">
        <f>IF(Data!BX717="","",Data!BX717)</f>
        <v/>
      </c>
      <c r="F717" s="1444" t="str">
        <f>IF(Data!BY717="","",Data!BY717)</f>
        <v/>
      </c>
      <c r="G717" s="1431"/>
      <c r="H717" s="1548" t="str">
        <f t="shared" ref="H717:K718" si="102">IF(C717&gt;0,C717,"")</f>
        <v/>
      </c>
      <c r="I717" s="1548" t="str">
        <f t="shared" si="102"/>
        <v/>
      </c>
      <c r="J717" s="1548" t="str">
        <f t="shared" si="102"/>
        <v/>
      </c>
      <c r="K717" s="1548" t="str">
        <f t="shared" si="102"/>
        <v/>
      </c>
      <c r="L717" s="1431"/>
      <c r="M717" s="1427"/>
      <c r="N717" s="1427"/>
      <c r="O717" s="1427"/>
      <c r="P717" s="1427"/>
      <c r="Q717" s="1464"/>
      <c r="R717" s="1445"/>
      <c r="S717" s="1446"/>
      <c r="T717" s="1446"/>
      <c r="U717" s="1394">
        <v>717</v>
      </c>
      <c r="V717" s="1421"/>
    </row>
    <row r="718" spans="1:22" ht="15.75" hidden="1" customHeight="1">
      <c r="A718" s="1429" t="s">
        <v>283</v>
      </c>
      <c r="B718" s="1550"/>
      <c r="C718" s="1444" t="str">
        <f>IF(Data!BV718="","",Data!BV718)</f>
        <v/>
      </c>
      <c r="D718" s="1444" t="str">
        <f>IF(Data!BW718="","",Data!BW718)</f>
        <v/>
      </c>
      <c r="E718" s="1444" t="str">
        <f>IF(Data!BX718="","",Data!BX718)</f>
        <v/>
      </c>
      <c r="F718" s="1444" t="str">
        <f>IF(Data!BY718="","",Data!BY718)</f>
        <v/>
      </c>
      <c r="G718" s="1431"/>
      <c r="H718" s="1548" t="str">
        <f t="shared" si="102"/>
        <v/>
      </c>
      <c r="I718" s="1548" t="str">
        <f t="shared" si="102"/>
        <v/>
      </c>
      <c r="J718" s="1548" t="str">
        <f t="shared" si="102"/>
        <v/>
      </c>
      <c r="K718" s="1548" t="str">
        <f t="shared" si="102"/>
        <v/>
      </c>
      <c r="L718" s="1431"/>
      <c r="M718" s="1427"/>
      <c r="N718" s="1427"/>
      <c r="O718" s="1427"/>
      <c r="P718" s="1427"/>
      <c r="Q718" s="1464"/>
      <c r="R718" s="1445"/>
      <c r="S718" s="1446"/>
      <c r="T718" s="1446"/>
      <c r="U718" s="1394">
        <v>718</v>
      </c>
      <c r="V718" s="1421"/>
    </row>
    <row r="719" spans="1:22" ht="15.75" hidden="1" customHeight="1">
      <c r="A719" s="1429" t="s">
        <v>314</v>
      </c>
      <c r="B719" s="1550"/>
      <c r="C719" s="1444" t="str">
        <f>IF(Data!BV719="","",Data!BV719)</f>
        <v/>
      </c>
      <c r="D719" s="1444" t="str">
        <f>IF(Data!BW719="","",Data!BW719)</f>
        <v/>
      </c>
      <c r="E719" s="1444" t="str">
        <f>IF(Data!BX719="","",Data!BX719)</f>
        <v/>
      </c>
      <c r="F719" s="1444" t="str">
        <f>IF(Data!BY719="","",Data!BY719)</f>
        <v/>
      </c>
      <c r="G719" s="1431"/>
      <c r="H719" s="1427"/>
      <c r="I719" s="1427"/>
      <c r="J719" s="1427"/>
      <c r="K719" s="1427"/>
      <c r="L719" s="1431"/>
      <c r="M719" s="1427"/>
      <c r="N719" s="1427"/>
      <c r="O719" s="1427"/>
      <c r="P719" s="1427"/>
      <c r="Q719" s="1464"/>
      <c r="R719" s="1445"/>
      <c r="S719" s="1446"/>
      <c r="T719" s="1446"/>
      <c r="U719" s="1394">
        <v>719</v>
      </c>
      <c r="V719" s="1421"/>
    </row>
    <row r="720" spans="1:22" ht="15.75" customHeight="1">
      <c r="A720" s="1508" t="s">
        <v>315</v>
      </c>
      <c r="B720" s="1550"/>
      <c r="C720" s="1479">
        <f>IF(Data!BV720="","",Data!BV720)</f>
        <v>0</v>
      </c>
      <c r="D720" s="1479">
        <f>IF(Data!BW720="","",Data!BW720)</f>
        <v>0</v>
      </c>
      <c r="E720" s="1479">
        <f>IF(Data!BX720="","",Data!BX720)</f>
        <v>0</v>
      </c>
      <c r="F720" s="1479">
        <f>IF(Data!BY720="","",Data!BY720)</f>
        <v>0</v>
      </c>
      <c r="G720" s="1432"/>
      <c r="H720" s="1548">
        <f>IF(C720="","",C720*'Exp factors'!C$28)</f>
        <v>0</v>
      </c>
      <c r="I720" s="1548">
        <f>IF(D720="","",D720*'Exp factors'!D$28)</f>
        <v>0</v>
      </c>
      <c r="J720" s="1548">
        <f>IF(E720="","",E720*'Exp factors'!E$28)</f>
        <v>0</v>
      </c>
      <c r="K720" s="1548">
        <f>IF(F720="","",F720*'Exp factors'!F$28)</f>
        <v>0</v>
      </c>
      <c r="L720" s="1432"/>
      <c r="M720" s="1454">
        <f>IF(H720="","",SUM(H720)-SUM(C720))</f>
        <v>0</v>
      </c>
      <c r="N720" s="1454">
        <f>IF(I720="","",SUM(I720)-SUM(D720))</f>
        <v>0</v>
      </c>
      <c r="O720" s="1454">
        <f>IF(J720="","",SUM(J720)-SUM(E720))</f>
        <v>0</v>
      </c>
      <c r="P720" s="1454">
        <f>IF(K720="","",SUM(K720)-SUM(F720))</f>
        <v>0</v>
      </c>
      <c r="Q720" s="1464"/>
      <c r="R720" s="1402"/>
      <c r="S720" s="1403"/>
      <c r="T720" s="1403"/>
      <c r="U720" s="1394">
        <v>720</v>
      </c>
      <c r="V720" s="1421"/>
    </row>
    <row r="721" spans="1:22" ht="15.75" customHeight="1">
      <c r="A721" s="1554" t="str">
        <f>IF(Data!A721="","",Data!A721)</f>
        <v>Labour migration(formal employment): no. people per HH</v>
      </c>
      <c r="B721" s="1550"/>
      <c r="C721" s="1444" t="str">
        <f>IF(Data!BV721="","",Data!BV721)</f>
        <v/>
      </c>
      <c r="D721" s="1444" t="str">
        <f>IF(Data!BW721="","",Data!BW721)</f>
        <v/>
      </c>
      <c r="E721" s="1444" t="str">
        <f>IF(Data!BX721="","",Data!BX721)</f>
        <v/>
      </c>
      <c r="F721" s="1444">
        <f>IF(Data!BY721="","",Data!BY721)</f>
        <v>2</v>
      </c>
      <c r="G721" s="1433"/>
      <c r="H721" s="1548" t="str">
        <f>IF(C721="","",C721*'Exp factors'!C$30)</f>
        <v/>
      </c>
      <c r="I721" s="1548" t="str">
        <f>IF(D721="","",D721*'Exp factors'!D$30)</f>
        <v/>
      </c>
      <c r="J721" s="1548" t="str">
        <f>IF(E721="","",E721*'Exp factors'!E$30)</f>
        <v/>
      </c>
      <c r="K721" s="1548">
        <f>IF(F721="","",F721*'Exp factors'!F$30)</f>
        <v>2</v>
      </c>
      <c r="L721" s="1433"/>
      <c r="M721" s="1449"/>
      <c r="N721" s="1449"/>
      <c r="O721" s="1449"/>
      <c r="P721" s="1449"/>
      <c r="Q721" s="1464"/>
      <c r="R721" s="1445"/>
      <c r="S721" s="1446"/>
      <c r="T721" s="1446"/>
      <c r="U721" s="1394">
        <v>721</v>
      </c>
      <c r="V721" s="1421"/>
    </row>
    <row r="722" spans="1:22" ht="15.75" customHeight="1">
      <c r="A722" s="1429" t="s">
        <v>283</v>
      </c>
      <c r="B722" s="1550"/>
      <c r="C722" s="1444" t="str">
        <f>IF(Data!BV722="","",Data!BV722)</f>
        <v/>
      </c>
      <c r="D722" s="1444" t="str">
        <f>IF(Data!BW722="","",Data!BW722)</f>
        <v/>
      </c>
      <c r="E722" s="1444" t="str">
        <f>IF(Data!BX722="","",Data!BX722)</f>
        <v/>
      </c>
      <c r="F722" s="1444">
        <f>IF(Data!BY722="","",Data!BY722)</f>
        <v>11</v>
      </c>
      <c r="G722" s="1431"/>
      <c r="H722" s="1548" t="str">
        <f t="shared" ref="H722:K723" si="103">IF(C722&gt;0,C722,"")</f>
        <v/>
      </c>
      <c r="I722" s="1548" t="str">
        <f t="shared" si="103"/>
        <v/>
      </c>
      <c r="J722" s="1548" t="str">
        <f t="shared" si="103"/>
        <v/>
      </c>
      <c r="K722" s="1548">
        <f t="shared" si="103"/>
        <v>11</v>
      </c>
      <c r="L722" s="1431"/>
      <c r="M722" s="1427"/>
      <c r="N722" s="1427"/>
      <c r="O722" s="1427"/>
      <c r="P722" s="1427"/>
      <c r="Q722" s="1464"/>
      <c r="R722" s="1445"/>
      <c r="S722" s="1446"/>
      <c r="T722" s="1446"/>
      <c r="U722" s="1394">
        <v>722</v>
      </c>
      <c r="V722" s="1421"/>
    </row>
    <row r="723" spans="1:22" ht="15.75" customHeight="1">
      <c r="A723" s="1429" t="s">
        <v>319</v>
      </c>
      <c r="B723" s="1550"/>
      <c r="C723" s="1444" t="str">
        <f>IF(Data!BV723="","",Data!BV723)</f>
        <v/>
      </c>
      <c r="D723" s="1444" t="str">
        <f>IF(Data!BW723="","",Data!BW723)</f>
        <v/>
      </c>
      <c r="E723" s="1444" t="str">
        <f>IF(Data!BX723="","",Data!BX723)</f>
        <v/>
      </c>
      <c r="F723" s="1444">
        <f>IF(Data!BY723="","",Data!BY723)</f>
        <v>500</v>
      </c>
      <c r="G723" s="1431"/>
      <c r="H723" s="1548" t="str">
        <f t="shared" si="103"/>
        <v/>
      </c>
      <c r="I723" s="1548" t="str">
        <f t="shared" si="103"/>
        <v/>
      </c>
      <c r="J723" s="1548" t="str">
        <f t="shared" si="103"/>
        <v/>
      </c>
      <c r="K723" s="1548">
        <f t="shared" si="103"/>
        <v>500</v>
      </c>
      <c r="L723" s="1431"/>
      <c r="M723" s="1427"/>
      <c r="N723" s="1427"/>
      <c r="O723" s="1427"/>
      <c r="P723" s="1427"/>
      <c r="Q723" s="1464"/>
      <c r="R723" s="1402"/>
      <c r="S723" s="1403"/>
      <c r="T723" s="1403"/>
      <c r="U723" s="1394">
        <v>723</v>
      </c>
      <c r="V723" s="1421"/>
    </row>
    <row r="724" spans="1:22" ht="15.75" customHeight="1">
      <c r="A724" s="1508" t="s">
        <v>315</v>
      </c>
      <c r="B724" s="1550"/>
      <c r="C724" s="1463" t="str">
        <f>IF(SUM(C721)=0,"",C721*C722*C723)</f>
        <v/>
      </c>
      <c r="D724" s="1463" t="str">
        <f>IF(SUM(D721)=0,"",D721*D722*D723)</f>
        <v/>
      </c>
      <c r="E724" s="1463" t="str">
        <f>IF(SUM(E721)=0,"",E721*E722*E723)</f>
        <v/>
      </c>
      <c r="F724" s="1463">
        <f>IF(SUM(F721)=0,"",F721*F722*F723)</f>
        <v>11000</v>
      </c>
      <c r="G724" s="1432"/>
      <c r="H724" s="1555" t="str">
        <f>IF(H721="","",H721*H722*H723)</f>
        <v/>
      </c>
      <c r="I724" s="1555" t="str">
        <f>IF(I721="","",I721*I722*I723)</f>
        <v/>
      </c>
      <c r="J724" s="1555" t="str">
        <f>IF(J721="","",J721*J722*J723)</f>
        <v/>
      </c>
      <c r="K724" s="1555">
        <f>IF(K721="","",K721*K722*K723)</f>
        <v>11000</v>
      </c>
      <c r="L724" s="1432"/>
      <c r="M724" s="1454" t="str">
        <f>IF(H724="","",SUM(H724)-SUM(C724))</f>
        <v/>
      </c>
      <c r="N724" s="1454" t="str">
        <f>IF(I724="","",SUM(I724)-SUM(D724))</f>
        <v/>
      </c>
      <c r="O724" s="1454" t="str">
        <f>IF(J724="","",SUM(J724)-SUM(E724))</f>
        <v/>
      </c>
      <c r="P724" s="1454">
        <f>IF(K724="","",SUM(K724)-SUM(F724))</f>
        <v>0</v>
      </c>
      <c r="Q724" s="1464"/>
      <c r="R724" s="1402"/>
      <c r="S724" s="1403"/>
      <c r="T724" s="1403"/>
      <c r="U724" s="1394">
        <v>724</v>
      </c>
      <c r="V724" s="1421"/>
    </row>
    <row r="725" spans="1:22" ht="15.75" customHeight="1">
      <c r="A725" s="1556" t="str">
        <f>IF(Data!A725="","",Data!A725)</f>
        <v>Remittances: no. times per year</v>
      </c>
      <c r="B725" s="1550"/>
      <c r="C725" s="1444" t="str">
        <f>IF(Data!BV725="","",Data!BV725)</f>
        <v/>
      </c>
      <c r="D725" s="1444" t="str">
        <f>IF(Data!BW725="","",Data!BW725)</f>
        <v/>
      </c>
      <c r="E725" s="1444" t="str">
        <f>IF(Data!BX725="","",Data!BX725)</f>
        <v/>
      </c>
      <c r="F725" s="1444" t="str">
        <f>IF(Data!BY725="","",Data!BY725)</f>
        <v/>
      </c>
      <c r="G725" s="1431"/>
      <c r="H725" s="1548" t="str">
        <f>IF(C725="","",C725*'Exp factors'!C$32)</f>
        <v/>
      </c>
      <c r="I725" s="1548" t="str">
        <f>IF(D725="","",D725*'Exp factors'!D$32)</f>
        <v/>
      </c>
      <c r="J725" s="1548" t="str">
        <f>IF(E725="","",E725*'Exp factors'!E$32)</f>
        <v/>
      </c>
      <c r="K725" s="1548" t="str">
        <f>IF(F725="","",F725*'Exp factors'!F$32)</f>
        <v/>
      </c>
      <c r="L725" s="1431"/>
      <c r="M725" s="1427"/>
      <c r="N725" s="1427"/>
      <c r="O725" s="1427"/>
      <c r="P725" s="1427"/>
      <c r="Q725" s="1464"/>
      <c r="R725" s="1445"/>
      <c r="S725" s="1446"/>
      <c r="T725" s="1446"/>
      <c r="U725" s="1394">
        <v>725</v>
      </c>
      <c r="V725" s="1421"/>
    </row>
    <row r="726" spans="1:22" ht="15.75" customHeight="1">
      <c r="A726" s="1428" t="s">
        <v>321</v>
      </c>
      <c r="B726" s="1550"/>
      <c r="C726" s="1444" t="str">
        <f>IF(Data!BV726="","",Data!BV726)</f>
        <v/>
      </c>
      <c r="D726" s="1444" t="str">
        <f>IF(Data!BW726="","",Data!BW726)</f>
        <v/>
      </c>
      <c r="E726" s="1444" t="str">
        <f>IF(Data!BX726="","",Data!BX726)</f>
        <v/>
      </c>
      <c r="F726" s="1444" t="str">
        <f>IF(Data!BY726="","",Data!BY726)</f>
        <v/>
      </c>
      <c r="G726" s="1433"/>
      <c r="H726" s="1548" t="str">
        <f>IF(C726&gt;0,C726,"")</f>
        <v/>
      </c>
      <c r="I726" s="1548" t="str">
        <f>IF(D726&gt;0,D726,"")</f>
        <v/>
      </c>
      <c r="J726" s="1548" t="str">
        <f>IF(E726&gt;0,E726,"")</f>
        <v/>
      </c>
      <c r="K726" s="1548" t="str">
        <f>IF(F726&gt;0,F726,"")</f>
        <v/>
      </c>
      <c r="L726" s="1433"/>
      <c r="M726" s="1449"/>
      <c r="N726" s="1449"/>
      <c r="O726" s="1449"/>
      <c r="P726" s="1449"/>
      <c r="Q726" s="1464"/>
      <c r="R726" s="1402"/>
      <c r="S726" s="1403"/>
      <c r="T726" s="1403"/>
      <c r="U726" s="1394">
        <v>726</v>
      </c>
      <c r="V726" s="1421"/>
    </row>
    <row r="727" spans="1:22" ht="15.75" customHeight="1">
      <c r="A727" s="1428" t="s">
        <v>315</v>
      </c>
      <c r="B727" s="1550"/>
      <c r="C727" s="1454" t="str">
        <f>IF(SUM(C725)=0,"",C725*C726)</f>
        <v/>
      </c>
      <c r="D727" s="1454" t="str">
        <f>IF(SUM(D725)=0,"",D725*D726)</f>
        <v/>
      </c>
      <c r="E727" s="1454" t="str">
        <f>IF(SUM(E725)=0,"",E725*E726)</f>
        <v/>
      </c>
      <c r="F727" s="1454" t="str">
        <f>IF(SUM(F725)=0,"",F725*F726)</f>
        <v/>
      </c>
      <c r="G727" s="1433"/>
      <c r="H727" s="1454" t="str">
        <f>IF(H725="","",H725*H726)</f>
        <v/>
      </c>
      <c r="I727" s="1454" t="str">
        <f>IF(I725="","",I725*I726)</f>
        <v/>
      </c>
      <c r="J727" s="1454" t="str">
        <f>IF(J725="","",J725*J726)</f>
        <v/>
      </c>
      <c r="K727" s="1454" t="str">
        <f>IF(K725="","",K725*K726)</f>
        <v/>
      </c>
      <c r="L727" s="1433"/>
      <c r="M727" s="1454" t="str">
        <f>IF(H727="","",SUM(H727)-SUM(C727))</f>
        <v/>
      </c>
      <c r="N727" s="1454" t="str">
        <f>IF(I727="","",SUM(I727)-SUM(D727))</f>
        <v/>
      </c>
      <c r="O727" s="1454" t="str">
        <f>IF(J727="","",SUM(J727)-SUM(E727))</f>
        <v/>
      </c>
      <c r="P727" s="1454" t="str">
        <f>IF(K727="","",SUM(K727)-SUM(F727))</f>
        <v/>
      </c>
      <c r="Q727" s="1464"/>
      <c r="R727" s="1402"/>
      <c r="S727" s="1403"/>
      <c r="T727" s="1403"/>
      <c r="U727" s="1394">
        <v>727</v>
      </c>
      <c r="V727" s="1421"/>
    </row>
    <row r="728" spans="1:22" ht="15.75" customHeight="1">
      <c r="A728" s="1494" t="str">
        <f>IF(Data!A728="","",Data!A728)</f>
        <v>Firewood: no. people per HH</v>
      </c>
      <c r="B728" s="1550"/>
      <c r="C728" s="1444" t="str">
        <f>IF(Data!BV728="","",Data!BV728)</f>
        <v/>
      </c>
      <c r="D728" s="1444" t="str">
        <f>IF(Data!BW728="","",Data!BW728)</f>
        <v/>
      </c>
      <c r="E728" s="1444" t="str">
        <f>IF(Data!BX728="","",Data!BX728)</f>
        <v/>
      </c>
      <c r="F728" s="1444" t="str">
        <f>IF(Data!BY728="","",Data!BY728)</f>
        <v/>
      </c>
      <c r="G728" s="1431"/>
      <c r="H728" s="1548" t="str">
        <f>IF(C728="","",C728*'Exp factors'!C$34)</f>
        <v/>
      </c>
      <c r="I728" s="1548" t="str">
        <f>IF(D728="","",D728*'Exp factors'!D$34)</f>
        <v/>
      </c>
      <c r="J728" s="1548" t="str">
        <f>IF(E728="","",E728*'Exp factors'!E$34)</f>
        <v/>
      </c>
      <c r="K728" s="1548" t="str">
        <f>IF(F728="","",F728*'Exp factors'!F$34)</f>
        <v/>
      </c>
      <c r="L728" s="1431"/>
      <c r="M728" s="1427"/>
      <c r="N728" s="1427"/>
      <c r="O728" s="1427"/>
      <c r="P728" s="1427"/>
      <c r="Q728" s="1464"/>
      <c r="R728" s="1445"/>
      <c r="S728" s="1446"/>
      <c r="T728" s="1446"/>
      <c r="U728" s="1394">
        <v>728</v>
      </c>
      <c r="V728" s="1421"/>
    </row>
    <row r="729" spans="1:22" ht="15.75" customHeight="1">
      <c r="A729" s="1429" t="s">
        <v>298</v>
      </c>
      <c r="B729" s="1550"/>
      <c r="C729" s="1444" t="str">
        <f>IF(Data!BV729="","",Data!BV729)</f>
        <v/>
      </c>
      <c r="D729" s="1444" t="str">
        <f>IF(Data!BW729="","",Data!BW729)</f>
        <v/>
      </c>
      <c r="E729" s="1444" t="str">
        <f>IF(Data!BX729="","",Data!BX729)</f>
        <v/>
      </c>
      <c r="F729" s="1444" t="str">
        <f>IF(Data!BY729="","",Data!BY729)</f>
        <v/>
      </c>
      <c r="G729" s="1431"/>
      <c r="H729" s="1548" t="str">
        <f t="shared" ref="H729:K730" si="104">IF(C729&gt;0,C729,"")</f>
        <v/>
      </c>
      <c r="I729" s="1548" t="str">
        <f t="shared" si="104"/>
        <v/>
      </c>
      <c r="J729" s="1548" t="str">
        <f t="shared" si="104"/>
        <v/>
      </c>
      <c r="K729" s="1548" t="str">
        <f t="shared" si="104"/>
        <v/>
      </c>
      <c r="L729" s="1431"/>
      <c r="M729" s="1427"/>
      <c r="N729" s="1427"/>
      <c r="O729" s="1427"/>
      <c r="P729" s="1427"/>
      <c r="Q729" s="1464"/>
      <c r="R729" s="1445"/>
      <c r="S729" s="1446"/>
      <c r="T729" s="1446"/>
      <c r="U729" s="1394">
        <v>729</v>
      </c>
      <c r="V729" s="1421"/>
    </row>
    <row r="730" spans="1:22" ht="15.75" customHeight="1">
      <c r="A730" s="1429" t="s">
        <v>283</v>
      </c>
      <c r="B730" s="1550"/>
      <c r="C730" s="1444" t="str">
        <f>IF(Data!BV730="","",Data!BV730)</f>
        <v/>
      </c>
      <c r="D730" s="1444" t="str">
        <f>IF(Data!BW730="","",Data!BW730)</f>
        <v/>
      </c>
      <c r="E730" s="1444" t="str">
        <f>IF(Data!BX730="","",Data!BX730)</f>
        <v/>
      </c>
      <c r="F730" s="1444" t="str">
        <f>IF(Data!BY730="","",Data!BY730)</f>
        <v/>
      </c>
      <c r="G730" s="1431"/>
      <c r="H730" s="1548" t="str">
        <f t="shared" si="104"/>
        <v/>
      </c>
      <c r="I730" s="1548" t="str">
        <f t="shared" si="104"/>
        <v/>
      </c>
      <c r="J730" s="1548" t="str">
        <f t="shared" si="104"/>
        <v/>
      </c>
      <c r="K730" s="1548" t="str">
        <f t="shared" si="104"/>
        <v/>
      </c>
      <c r="L730" s="1431"/>
      <c r="M730" s="1427"/>
      <c r="N730" s="1427"/>
      <c r="O730" s="1427"/>
      <c r="P730" s="1427"/>
      <c r="Q730" s="1464"/>
      <c r="R730" s="1445"/>
      <c r="S730" s="1446"/>
      <c r="T730" s="1446"/>
      <c r="U730" s="1394">
        <v>730</v>
      </c>
      <c r="V730" s="1421"/>
    </row>
    <row r="731" spans="1:22" ht="15.75" customHeight="1">
      <c r="A731" s="1429" t="s">
        <v>314</v>
      </c>
      <c r="B731" s="1550"/>
      <c r="C731" s="1444" t="str">
        <f>IF(Data!BV731="","",Data!BV731)</f>
        <v/>
      </c>
      <c r="D731" s="1444" t="str">
        <f>IF(Data!BW731="","",Data!BW731)</f>
        <v/>
      </c>
      <c r="E731" s="1444" t="str">
        <f>IF(Data!BX731="","",Data!BX731)</f>
        <v/>
      </c>
      <c r="F731" s="1444" t="str">
        <f>IF(Data!BY731="","",Data!BY731)</f>
        <v/>
      </c>
      <c r="G731" s="1431"/>
      <c r="H731" s="1427"/>
      <c r="I731" s="1427"/>
      <c r="J731" s="1427"/>
      <c r="K731" s="1427"/>
      <c r="L731" s="1431"/>
      <c r="M731" s="1427"/>
      <c r="N731" s="1427"/>
      <c r="O731" s="1427"/>
      <c r="P731" s="1427"/>
      <c r="Q731" s="1464"/>
      <c r="R731" s="1445"/>
      <c r="S731" s="1446"/>
      <c r="T731" s="1446"/>
      <c r="U731" s="1394">
        <v>731</v>
      </c>
      <c r="V731" s="1421"/>
    </row>
    <row r="732" spans="1:22" ht="15.75" customHeight="1">
      <c r="A732" s="1508" t="s">
        <v>315</v>
      </c>
      <c r="B732" s="1550"/>
      <c r="C732" s="1463" t="str">
        <f>IF(SUM(C729)=0,"",C728*C729*C730*C731)</f>
        <v/>
      </c>
      <c r="D732" s="1463" t="str">
        <f>IF(SUM(D729)=0,"",D728*D729*D730*D731)</f>
        <v/>
      </c>
      <c r="E732" s="1463" t="str">
        <f>IF(SUM(E729)=0,"",E728*E729*E730*E731)</f>
        <v/>
      </c>
      <c r="F732" s="1463" t="str">
        <f>IF(SUM(F729)=0,"",F728*F729*F730*F731)</f>
        <v/>
      </c>
      <c r="G732" s="1432"/>
      <c r="H732" s="1463" t="str">
        <f>IF(H729="","",H728*H729*H730*C731)</f>
        <v/>
      </c>
      <c r="I732" s="1463" t="str">
        <f>IF(I729="","",I728*I729*I730*D731)</f>
        <v/>
      </c>
      <c r="J732" s="1463" t="str">
        <f>IF(J729="","",J728*J729*J730*E731)</f>
        <v/>
      </c>
      <c r="K732" s="1463" t="str">
        <f>IF(K729="","",K728*K729*K730*F731)</f>
        <v/>
      </c>
      <c r="L732" s="1432"/>
      <c r="M732" s="1454" t="str">
        <f>IF(H732="","",SUM(H732)-SUM(C732))</f>
        <v/>
      </c>
      <c r="N732" s="1454" t="str">
        <f>IF(I732="","",SUM(I732)-SUM(D732))</f>
        <v/>
      </c>
      <c r="O732" s="1454" t="str">
        <f>IF(J732="","",SUM(J732)-SUM(E732))</f>
        <v/>
      </c>
      <c r="P732" s="1454" t="str">
        <f>IF(K732="","",SUM(K732)-SUM(F732))</f>
        <v/>
      </c>
      <c r="Q732" s="1464"/>
      <c r="R732" s="1402"/>
      <c r="S732" s="1403"/>
      <c r="T732" s="1403"/>
      <c r="U732" s="1394">
        <v>732</v>
      </c>
      <c r="V732" s="1421"/>
    </row>
    <row r="733" spans="1:22" ht="15.75" customHeight="1">
      <c r="A733" s="1554" t="str">
        <f>IF(Data!A733="","",Data!A733)</f>
        <v>Formal Employment (conservancies, etc.)</v>
      </c>
      <c r="B733" s="1550"/>
      <c r="C733" s="1444" t="str">
        <f>IF(Data!BV733="","",Data!BV733)</f>
        <v/>
      </c>
      <c r="D733" s="1444" t="str">
        <f>IF(Data!BW733="","",Data!BW733)</f>
        <v/>
      </c>
      <c r="E733" s="1444" t="str">
        <f>IF(Data!BX733="","",Data!BX733)</f>
        <v/>
      </c>
      <c r="F733" s="1444">
        <f>IF(Data!BY733="","",Data!BY733)</f>
        <v>1</v>
      </c>
      <c r="G733" s="1431"/>
      <c r="H733" s="1548" t="str">
        <f>IF(C733="","",C733*'Exp factors'!C$34)</f>
        <v/>
      </c>
      <c r="I733" s="1548" t="str">
        <f>IF(D733="","",D733*'Exp factors'!D$34)</f>
        <v/>
      </c>
      <c r="J733" s="1548" t="str">
        <f>IF(E733="","",E733*'Exp factors'!E$34)</f>
        <v/>
      </c>
      <c r="K733" s="1548">
        <f>IF(F733="","",F733*'Exp factors'!F$34)</f>
        <v>1</v>
      </c>
      <c r="L733" s="1431"/>
      <c r="M733" s="1427"/>
      <c r="N733" s="1427"/>
      <c r="O733" s="1427"/>
      <c r="P733" s="1427"/>
      <c r="Q733" s="1464"/>
      <c r="R733" s="1445"/>
      <c r="S733" s="1446"/>
      <c r="T733" s="1446"/>
      <c r="U733" s="1394">
        <v>733</v>
      </c>
      <c r="V733" s="1421"/>
    </row>
    <row r="734" spans="1:22" ht="15.75" customHeight="1">
      <c r="A734" s="1429" t="s">
        <v>298</v>
      </c>
      <c r="B734" s="1550"/>
      <c r="C734" s="1444" t="str">
        <f>IF(Data!BV734="","",Data!BV734)</f>
        <v/>
      </c>
      <c r="D734" s="1444" t="str">
        <f>IF(Data!BW734="","",Data!BW734)</f>
        <v/>
      </c>
      <c r="E734" s="1444" t="str">
        <f>IF(Data!BX734="","",Data!BX734)</f>
        <v/>
      </c>
      <c r="F734" s="1444">
        <f>IF(Data!BY734="","",Data!BY734)</f>
        <v>22</v>
      </c>
      <c r="G734" s="1431"/>
      <c r="H734" s="1548" t="str">
        <f t="shared" ref="H734:K735" si="105">IF(C734&gt;0,C734,"")</f>
        <v/>
      </c>
      <c r="I734" s="1548" t="str">
        <f t="shared" si="105"/>
        <v/>
      </c>
      <c r="J734" s="1548" t="str">
        <f t="shared" si="105"/>
        <v/>
      </c>
      <c r="K734" s="1548">
        <f t="shared" si="105"/>
        <v>22</v>
      </c>
      <c r="L734" s="1431"/>
      <c r="M734" s="1427"/>
      <c r="N734" s="1427"/>
      <c r="O734" s="1427"/>
      <c r="P734" s="1427"/>
      <c r="Q734" s="1464"/>
      <c r="R734" s="1445"/>
      <c r="S734" s="1446"/>
      <c r="T734" s="1446"/>
      <c r="U734" s="1394">
        <v>734</v>
      </c>
      <c r="V734" s="1421"/>
    </row>
    <row r="735" spans="1:22" ht="15.75" customHeight="1">
      <c r="A735" s="1429" t="s">
        <v>283</v>
      </c>
      <c r="B735" s="1550"/>
      <c r="C735" s="1444" t="str">
        <f>IF(Data!BV735="","",Data!BV735)</f>
        <v/>
      </c>
      <c r="D735" s="1444" t="str">
        <f>IF(Data!BW735="","",Data!BW735)</f>
        <v/>
      </c>
      <c r="E735" s="1444" t="str">
        <f>IF(Data!BX735="","",Data!BX735)</f>
        <v/>
      </c>
      <c r="F735" s="1444">
        <f>IF(Data!BY735="","",Data!BY735)</f>
        <v>6</v>
      </c>
      <c r="G735" s="1431"/>
      <c r="H735" s="1548" t="str">
        <f t="shared" si="105"/>
        <v/>
      </c>
      <c r="I735" s="1548" t="str">
        <f t="shared" si="105"/>
        <v/>
      </c>
      <c r="J735" s="1548" t="str">
        <f t="shared" si="105"/>
        <v/>
      </c>
      <c r="K735" s="1548">
        <f t="shared" si="105"/>
        <v>6</v>
      </c>
      <c r="L735" s="1431"/>
      <c r="M735" s="1427"/>
      <c r="N735" s="1427"/>
      <c r="O735" s="1427"/>
      <c r="P735" s="1427"/>
      <c r="Q735" s="1464"/>
      <c r="R735" s="1445"/>
      <c r="S735" s="1446"/>
      <c r="T735" s="1446"/>
      <c r="U735" s="1394">
        <v>735</v>
      </c>
      <c r="V735" s="1421"/>
    </row>
    <row r="736" spans="1:22" ht="15.75" customHeight="1">
      <c r="A736" s="1429" t="s">
        <v>314</v>
      </c>
      <c r="B736" s="1550"/>
      <c r="C736" s="1444" t="str">
        <f>IF(Data!BV736="","",Data!BV736)</f>
        <v/>
      </c>
      <c r="D736" s="1444" t="str">
        <f>IF(Data!BW736="","",Data!BW736)</f>
        <v/>
      </c>
      <c r="E736" s="1444" t="str">
        <f>IF(Data!BX736="","",Data!BX736)</f>
        <v/>
      </c>
      <c r="F736" s="1444">
        <f>IF(Data!BY736="","",Data!BY736)</f>
        <v>180</v>
      </c>
      <c r="G736" s="1431"/>
      <c r="H736" s="1427"/>
      <c r="I736" s="1427"/>
      <c r="J736" s="1427"/>
      <c r="K736" s="1427"/>
      <c r="L736" s="1431"/>
      <c r="M736" s="1427"/>
      <c r="N736" s="1427"/>
      <c r="O736" s="1427"/>
      <c r="P736" s="1427"/>
      <c r="Q736" s="1464"/>
      <c r="R736" s="1445"/>
      <c r="S736" s="1446"/>
      <c r="T736" s="1446"/>
      <c r="U736" s="1394">
        <v>736</v>
      </c>
      <c r="V736" s="1421"/>
    </row>
    <row r="737" spans="1:22" ht="15.75" customHeight="1">
      <c r="A737" s="1428" t="s">
        <v>315</v>
      </c>
      <c r="B737" s="1550"/>
      <c r="C737" s="1463" t="str">
        <f t="shared" ref="C737:E737" si="106">IF(SUM(C734)=0,"",C733*C734*C735*C736)</f>
        <v/>
      </c>
      <c r="D737" s="1463" t="str">
        <f t="shared" si="106"/>
        <v/>
      </c>
      <c r="E737" s="1463" t="str">
        <f t="shared" si="106"/>
        <v/>
      </c>
      <c r="F737" s="1463">
        <f>IF(SUM(F734)=0,"",F733*F734*F735*F736)</f>
        <v>23760</v>
      </c>
      <c r="G737" s="1433"/>
      <c r="H737" s="1463" t="str">
        <f t="shared" ref="H737:J737" si="107">IF(H734="","",H734*H735*C736)</f>
        <v/>
      </c>
      <c r="I737" s="1463" t="str">
        <f t="shared" si="107"/>
        <v/>
      </c>
      <c r="J737" s="1463" t="str">
        <f t="shared" si="107"/>
        <v/>
      </c>
      <c r="K737" s="1463">
        <f>IF(K734="","",K734*K735*F736)</f>
        <v>23760</v>
      </c>
      <c r="L737" s="1432"/>
      <c r="M737" s="1454" t="str">
        <f>IF(H737="","",SUM(H737)-SUM(C737))</f>
        <v/>
      </c>
      <c r="N737" s="1454" t="str">
        <f>IF(I737="","",SUM(I737)-SUM(D737))</f>
        <v/>
      </c>
      <c r="O737" s="1454" t="str">
        <f>IF(J737="","",SUM(J737)-SUM(E737))</f>
        <v/>
      </c>
      <c r="P737" s="1454">
        <f>IF(K737="","",SUM(K737)-SUM(F737))</f>
        <v>0</v>
      </c>
      <c r="Q737" s="1464"/>
      <c r="R737" s="1402"/>
      <c r="S737" s="1403"/>
      <c r="T737" s="1403"/>
      <c r="U737" s="1394">
        <v>737</v>
      </c>
      <c r="V737" s="1421"/>
    </row>
    <row r="738" spans="1:22" ht="15.75" customHeight="1">
      <c r="A738" s="1557" t="str">
        <f>IF(Data!A738="","",Data!A738)</f>
        <v>Social development -- see Data2</v>
      </c>
      <c r="B738" s="1550"/>
      <c r="C738" s="1444" t="str">
        <f>IF(Data!BV738="","",Data!BV738)</f>
        <v/>
      </c>
      <c r="D738" s="1444" t="str">
        <f>IF(Data!BW738="","",Data!BW738)</f>
        <v/>
      </c>
      <c r="E738" s="1444" t="str">
        <f>IF(Data!BX738="","",Data!BX738)</f>
        <v/>
      </c>
      <c r="F738" s="1444" t="str">
        <f>IF(Data!BY738="","",Data!BY738)</f>
        <v/>
      </c>
      <c r="G738" s="1433"/>
      <c r="H738" s="1427"/>
      <c r="I738" s="1427"/>
      <c r="J738" s="1427"/>
      <c r="K738" s="1427"/>
      <c r="L738" s="1433"/>
      <c r="M738" s="1449"/>
      <c r="N738" s="1449"/>
      <c r="O738" s="1449"/>
      <c r="P738" s="1449"/>
      <c r="Q738" s="1464"/>
      <c r="R738" s="1378"/>
      <c r="S738" s="1378"/>
      <c r="T738" s="1378"/>
      <c r="U738" s="1394">
        <v>738</v>
      </c>
      <c r="V738" s="1421"/>
    </row>
    <row r="739" spans="1:22" ht="15.75" hidden="1" customHeight="1">
      <c r="A739" s="1558" t="s">
        <v>297</v>
      </c>
      <c r="B739" s="1550"/>
      <c r="C739" s="1488" t="str">
        <f>IF(Data!BV739="","",Data!BV739)</f>
        <v/>
      </c>
      <c r="D739" s="1488" t="str">
        <f>IF(Data!BW739="","",Data!BW739)</f>
        <v/>
      </c>
      <c r="E739" s="1488" t="str">
        <f>IF(Data!BX739="","",Data!BX739)</f>
        <v/>
      </c>
      <c r="F739" s="1488" t="str">
        <f>IF(Data!BY739="","",Data!BY739)</f>
        <v/>
      </c>
      <c r="G739" s="1433"/>
      <c r="H739" s="1548" t="str">
        <f>IF(C739="","",C739*'Exp factors'!C$36)</f>
        <v/>
      </c>
      <c r="I739" s="1548" t="str">
        <f>IF(D739="","",D739*'Exp factors'!D$36)</f>
        <v/>
      </c>
      <c r="J739" s="1548" t="str">
        <f>IF(E739="","",E739*'Exp factors'!E$36)</f>
        <v/>
      </c>
      <c r="K739" s="1548" t="str">
        <f>IF(F739="","",F739*'Exp factors'!F$36)</f>
        <v/>
      </c>
      <c r="L739" s="1431"/>
      <c r="M739" s="1427"/>
      <c r="N739" s="1427"/>
      <c r="O739" s="1427"/>
      <c r="P739" s="1427"/>
      <c r="Q739" s="1464"/>
      <c r="R739" s="1445"/>
      <c r="S739" s="1446"/>
      <c r="T739" s="1446"/>
      <c r="U739" s="1394">
        <v>739</v>
      </c>
      <c r="V739" s="1421"/>
    </row>
    <row r="740" spans="1:22" ht="15.75" hidden="1" customHeight="1">
      <c r="A740" s="1558" t="s">
        <v>298</v>
      </c>
      <c r="B740" s="1550"/>
      <c r="C740" s="1488" t="str">
        <f>IF(Data!BV740="","",Data!BV740)</f>
        <v/>
      </c>
      <c r="D740" s="1488" t="str">
        <f>IF(Data!BW740="","",Data!BW740)</f>
        <v/>
      </c>
      <c r="E740" s="1488" t="str">
        <f>IF(Data!BX740="","",Data!BX740)</f>
        <v/>
      </c>
      <c r="F740" s="1488" t="str">
        <f>IF(Data!BY740="","",Data!BY740)</f>
        <v/>
      </c>
      <c r="G740" s="1431"/>
      <c r="H740" s="1548" t="str">
        <f t="shared" ref="H740:K741" si="108">IF(C740&gt;0,C740,"")</f>
        <v/>
      </c>
      <c r="I740" s="1548" t="str">
        <f t="shared" si="108"/>
        <v/>
      </c>
      <c r="J740" s="1548" t="str">
        <f t="shared" si="108"/>
        <v/>
      </c>
      <c r="K740" s="1548" t="str">
        <f t="shared" si="108"/>
        <v/>
      </c>
      <c r="L740" s="1431"/>
      <c r="M740" s="1427"/>
      <c r="N740" s="1427"/>
      <c r="O740" s="1427"/>
      <c r="P740" s="1427"/>
      <c r="Q740" s="1464"/>
      <c r="R740" s="1445"/>
      <c r="S740" s="1446"/>
      <c r="T740" s="1446"/>
      <c r="U740" s="1394">
        <v>740</v>
      </c>
      <c r="V740" s="1421"/>
    </row>
    <row r="741" spans="1:22" ht="15.75" hidden="1" customHeight="1">
      <c r="A741" s="1558" t="s">
        <v>283</v>
      </c>
      <c r="B741" s="1550"/>
      <c r="C741" s="1488" t="str">
        <f>IF(Data!BV741="","",Data!BV741)</f>
        <v/>
      </c>
      <c r="D741" s="1488" t="str">
        <f>IF(Data!BW741="","",Data!BW741)</f>
        <v/>
      </c>
      <c r="E741" s="1488" t="str">
        <f>IF(Data!BX741="","",Data!BX741)</f>
        <v/>
      </c>
      <c r="F741" s="1488" t="str">
        <f>IF(Data!BY741="","",Data!BY741)</f>
        <v/>
      </c>
      <c r="G741" s="1431"/>
      <c r="H741" s="1548" t="str">
        <f t="shared" si="108"/>
        <v/>
      </c>
      <c r="I741" s="1548" t="str">
        <f t="shared" si="108"/>
        <v/>
      </c>
      <c r="J741" s="1548" t="str">
        <f t="shared" si="108"/>
        <v/>
      </c>
      <c r="K741" s="1548" t="str">
        <f t="shared" si="108"/>
        <v/>
      </c>
      <c r="L741" s="1431"/>
      <c r="M741" s="1427"/>
      <c r="N741" s="1427"/>
      <c r="O741" s="1427"/>
      <c r="P741" s="1427"/>
      <c r="Q741" s="1464"/>
      <c r="R741" s="1445"/>
      <c r="S741" s="1446"/>
      <c r="T741" s="1446"/>
      <c r="U741" s="1394">
        <v>741</v>
      </c>
      <c r="V741" s="1421"/>
    </row>
    <row r="742" spans="1:22" ht="15.75" hidden="1" customHeight="1">
      <c r="A742" s="1558" t="s">
        <v>314</v>
      </c>
      <c r="B742" s="1550"/>
      <c r="C742" s="1488" t="str">
        <f>IF(Data!BV742="","",Data!BV742)</f>
        <v/>
      </c>
      <c r="D742" s="1488" t="str">
        <f>IF(Data!BW742="","",Data!BW742)</f>
        <v/>
      </c>
      <c r="E742" s="1488" t="str">
        <f>IF(Data!BX742="","",Data!BX742)</f>
        <v/>
      </c>
      <c r="F742" s="1488" t="str">
        <f>IF(Data!BY742="","",Data!BY742)</f>
        <v/>
      </c>
      <c r="G742" s="1431"/>
      <c r="H742" s="1427"/>
      <c r="I742" s="1427"/>
      <c r="J742" s="1427"/>
      <c r="K742" s="1427"/>
      <c r="L742" s="1431"/>
      <c r="M742" s="1427"/>
      <c r="N742" s="1427"/>
      <c r="O742" s="1427"/>
      <c r="P742" s="1427"/>
      <c r="Q742" s="1464"/>
      <c r="R742" s="1445"/>
      <c r="S742" s="1446"/>
      <c r="T742" s="1446"/>
      <c r="U742" s="1394">
        <v>742</v>
      </c>
      <c r="V742" s="1421"/>
    </row>
    <row r="743" spans="1:22" ht="15.75" customHeight="1">
      <c r="A743" s="1428" t="s">
        <v>315</v>
      </c>
      <c r="B743" s="1550"/>
      <c r="C743" s="1479">
        <f>IF(Data!BV743="","",Data!BV743)</f>
        <v>22020</v>
      </c>
      <c r="D743" s="1479">
        <f>IF(Data!BW743="","",Data!BW743)</f>
        <v>22020</v>
      </c>
      <c r="E743" s="1479">
        <f>IF(Data!BX743="","",Data!BX743)</f>
        <v>22020</v>
      </c>
      <c r="F743" s="1479">
        <f>IF(Data!BY743="","",Data!BY743)</f>
        <v>6162</v>
      </c>
      <c r="G743" s="1433"/>
      <c r="H743" s="1463" t="str">
        <f>IF(H740="","",H739*H740*H741*C742)</f>
        <v/>
      </c>
      <c r="I743" s="1463" t="str">
        <f>IF(I740="","",I739*I740*I741*D742)</f>
        <v/>
      </c>
      <c r="J743" s="1463" t="str">
        <f>IF(J740="","",J739*J740*J741*E742)</f>
        <v/>
      </c>
      <c r="K743" s="1463" t="str">
        <f>IF(K740="","",K739*K740*K741*F742)</f>
        <v/>
      </c>
      <c r="L743" s="1432"/>
      <c r="M743" s="1454" t="str">
        <f>IF(H743="","",SUM(H743)-SUM(C743))</f>
        <v/>
      </c>
      <c r="N743" s="1454" t="str">
        <f>IF(I743="","",SUM(I743)-SUM(D743))</f>
        <v/>
      </c>
      <c r="O743" s="1454" t="str">
        <f>IF(J743="","",SUM(J743)-SUM(E743))</f>
        <v/>
      </c>
      <c r="P743" s="1454" t="str">
        <f>IF(K743="","",SUM(K743)-SUM(F743))</f>
        <v/>
      </c>
      <c r="Q743" s="1464"/>
      <c r="R743" s="1402"/>
      <c r="S743" s="1403"/>
      <c r="T743" s="1403"/>
      <c r="U743" s="1394">
        <v>743</v>
      </c>
      <c r="V743" s="1421"/>
    </row>
    <row r="744" spans="1:22" ht="15.75" customHeight="1">
      <c r="A744" s="1553" t="str">
        <f>IF(Data!A744="","",Data!A744)</f>
        <v>Public works -- see Data2</v>
      </c>
      <c r="B744" s="1550"/>
      <c r="C744" s="1444" t="str">
        <f>IF(Data!BV744="","",Data!BV744)</f>
        <v/>
      </c>
      <c r="D744" s="1444" t="str">
        <f>IF(Data!BW744="","",Data!BW744)</f>
        <v/>
      </c>
      <c r="E744" s="1444" t="str">
        <f>IF(Data!BX744="","",Data!BX744)</f>
        <v/>
      </c>
      <c r="F744" s="1444" t="str">
        <f>IF(Data!BY744="","",Data!BY744)</f>
        <v/>
      </c>
      <c r="G744" s="1433"/>
      <c r="H744" s="1427"/>
      <c r="I744" s="1427"/>
      <c r="J744" s="1427"/>
      <c r="K744" s="1427"/>
      <c r="L744" s="1433"/>
      <c r="M744" s="1449"/>
      <c r="N744" s="1449"/>
      <c r="O744" s="1449"/>
      <c r="P744" s="1449"/>
      <c r="Q744" s="1464"/>
      <c r="R744" s="1378"/>
      <c r="S744" s="1378"/>
      <c r="T744" s="1378"/>
      <c r="U744" s="1394">
        <v>744</v>
      </c>
      <c r="V744" s="1421"/>
    </row>
    <row r="745" spans="1:22" ht="15.75" hidden="1" customHeight="1">
      <c r="A745" s="1558" t="s">
        <v>297</v>
      </c>
      <c r="B745" s="1550"/>
      <c r="C745" s="1488" t="str">
        <f>IF(Data!BV745="","",Data!BV745)</f>
        <v/>
      </c>
      <c r="D745" s="1488" t="str">
        <f>IF(Data!BW745="","",Data!BW745)</f>
        <v/>
      </c>
      <c r="E745" s="1488" t="str">
        <f>IF(Data!BX745="","",Data!BX745)</f>
        <v/>
      </c>
      <c r="F745" s="1488" t="str">
        <f>IF(Data!BY745="","",Data!BY745)</f>
        <v/>
      </c>
      <c r="G745" s="1433"/>
      <c r="H745" s="1548" t="str">
        <f>IF(C745="","",C745*'Exp factors'!C$36)</f>
        <v/>
      </c>
      <c r="I745" s="1548" t="str">
        <f>IF(D745="","",D745*'Exp factors'!D$36)</f>
        <v/>
      </c>
      <c r="J745" s="1548" t="str">
        <f>IF(E745="","",E745*'Exp factors'!E$36)</f>
        <v/>
      </c>
      <c r="K745" s="1548" t="str">
        <f>IF(F745="","",F745*'Exp factors'!F$36)</f>
        <v/>
      </c>
      <c r="L745" s="1431"/>
      <c r="M745" s="1427"/>
      <c r="N745" s="1427"/>
      <c r="O745" s="1427"/>
      <c r="P745" s="1427"/>
      <c r="Q745" s="1464"/>
      <c r="R745" s="1445"/>
      <c r="S745" s="1446"/>
      <c r="T745" s="1446"/>
      <c r="U745" s="1394">
        <v>745</v>
      </c>
      <c r="V745" s="1421"/>
    </row>
    <row r="746" spans="1:22" ht="15.75" hidden="1" customHeight="1">
      <c r="A746" s="1558" t="s">
        <v>298</v>
      </c>
      <c r="B746" s="1550"/>
      <c r="C746" s="1488" t="str">
        <f>IF(Data!BV746="","",Data!BV746)</f>
        <v/>
      </c>
      <c r="D746" s="1488" t="str">
        <f>IF(Data!BW746="","",Data!BW746)</f>
        <v/>
      </c>
      <c r="E746" s="1488" t="str">
        <f>IF(Data!BX746="","",Data!BX746)</f>
        <v/>
      </c>
      <c r="F746" s="1488" t="str">
        <f>IF(Data!BY746="","",Data!BY746)</f>
        <v/>
      </c>
      <c r="G746" s="1431"/>
      <c r="H746" s="1548" t="str">
        <f t="shared" ref="H746:K747" si="109">IF(C746&gt;0,C746,"")</f>
        <v/>
      </c>
      <c r="I746" s="1548" t="str">
        <f t="shared" si="109"/>
        <v/>
      </c>
      <c r="J746" s="1548" t="str">
        <f t="shared" si="109"/>
        <v/>
      </c>
      <c r="K746" s="1548" t="str">
        <f t="shared" si="109"/>
        <v/>
      </c>
      <c r="L746" s="1431"/>
      <c r="M746" s="1427"/>
      <c r="N746" s="1427"/>
      <c r="O746" s="1427"/>
      <c r="P746" s="1427"/>
      <c r="Q746" s="1464"/>
      <c r="R746" s="1445"/>
      <c r="S746" s="1446"/>
      <c r="T746" s="1446"/>
      <c r="U746" s="1394">
        <v>746</v>
      </c>
      <c r="V746" s="1421"/>
    </row>
    <row r="747" spans="1:22" ht="15.75" hidden="1" customHeight="1">
      <c r="A747" s="1558" t="s">
        <v>283</v>
      </c>
      <c r="B747" s="1550"/>
      <c r="C747" s="1488" t="str">
        <f>IF(Data!BV747="","",Data!BV747)</f>
        <v/>
      </c>
      <c r="D747" s="1488" t="str">
        <f>IF(Data!BW747="","",Data!BW747)</f>
        <v/>
      </c>
      <c r="E747" s="1488" t="str">
        <f>IF(Data!BX747="","",Data!BX747)</f>
        <v/>
      </c>
      <c r="F747" s="1488" t="str">
        <f>IF(Data!BY747="","",Data!BY747)</f>
        <v/>
      </c>
      <c r="G747" s="1431"/>
      <c r="H747" s="1548" t="str">
        <f t="shared" si="109"/>
        <v/>
      </c>
      <c r="I747" s="1548" t="str">
        <f t="shared" si="109"/>
        <v/>
      </c>
      <c r="J747" s="1548" t="str">
        <f t="shared" si="109"/>
        <v/>
      </c>
      <c r="K747" s="1548" t="str">
        <f t="shared" si="109"/>
        <v/>
      </c>
      <c r="L747" s="1431"/>
      <c r="M747" s="1427"/>
      <c r="N747" s="1427"/>
      <c r="O747" s="1427"/>
      <c r="P747" s="1427"/>
      <c r="Q747" s="1464"/>
      <c r="R747" s="1445"/>
      <c r="S747" s="1446"/>
      <c r="T747" s="1446"/>
      <c r="U747" s="1394">
        <v>747</v>
      </c>
      <c r="V747" s="1421"/>
    </row>
    <row r="748" spans="1:22" ht="15.75" hidden="1" customHeight="1">
      <c r="A748" s="1558" t="s">
        <v>314</v>
      </c>
      <c r="B748" s="1550"/>
      <c r="C748" s="1488" t="str">
        <f>IF(Data!BV748="","",Data!BV748)</f>
        <v/>
      </c>
      <c r="D748" s="1488" t="str">
        <f>IF(Data!BW748="","",Data!BW748)</f>
        <v/>
      </c>
      <c r="E748" s="1488" t="str">
        <f>IF(Data!BX748="","",Data!BX748)</f>
        <v/>
      </c>
      <c r="F748" s="1488" t="str">
        <f>IF(Data!BY748="","",Data!BY748)</f>
        <v/>
      </c>
      <c r="G748" s="1431"/>
      <c r="H748" s="1427"/>
      <c r="I748" s="1427"/>
      <c r="J748" s="1427"/>
      <c r="K748" s="1427"/>
      <c r="L748" s="1431"/>
      <c r="M748" s="1427"/>
      <c r="N748" s="1427"/>
      <c r="O748" s="1427"/>
      <c r="P748" s="1427"/>
      <c r="Q748" s="1464"/>
      <c r="R748" s="1445"/>
      <c r="S748" s="1446"/>
      <c r="T748" s="1446"/>
      <c r="U748" s="1394">
        <v>748</v>
      </c>
      <c r="V748" s="1421"/>
    </row>
    <row r="749" spans="1:22" ht="15.75" customHeight="1">
      <c r="A749" s="1428" t="s">
        <v>315</v>
      </c>
      <c r="B749" s="1550"/>
      <c r="C749" s="1479">
        <f>IF(Data!BV749="","",Data!BV749)</f>
        <v>0</v>
      </c>
      <c r="D749" s="1479">
        <f>IF(Data!BW749="","",Data!BW749)</f>
        <v>0</v>
      </c>
      <c r="E749" s="1479">
        <f>IF(Data!BX749="","",Data!BX749)</f>
        <v>371</v>
      </c>
      <c r="F749" s="1479">
        <f>IF(Data!BY749="","",Data!BY749)</f>
        <v>0</v>
      </c>
      <c r="G749" s="1433"/>
      <c r="H749" s="1463" t="str">
        <f>IF(H746="","",H745*H746*H747*C748)</f>
        <v/>
      </c>
      <c r="I749" s="1463" t="str">
        <f>IF(I746="","",I745*I746*I747*D748)</f>
        <v/>
      </c>
      <c r="J749" s="1463" t="str">
        <f>IF(J746="","",J745*J746*J747*E748)</f>
        <v/>
      </c>
      <c r="K749" s="1463" t="str">
        <f>IF(K746="","",K745*K746*K747*F748)</f>
        <v/>
      </c>
      <c r="L749" s="1432"/>
      <c r="M749" s="1454" t="str">
        <f>IF(H749="","",SUM(H749)-SUM(C749))</f>
        <v/>
      </c>
      <c r="N749" s="1454" t="str">
        <f>IF(I749="","",SUM(I749)-SUM(D749))</f>
        <v/>
      </c>
      <c r="O749" s="1454" t="str">
        <f>IF(J749="","",SUM(J749)-SUM(E749))</f>
        <v/>
      </c>
      <c r="P749" s="1454" t="str">
        <f>IF(K749="","",SUM(K749)-SUM(F749))</f>
        <v/>
      </c>
      <c r="Q749" s="1464"/>
      <c r="R749" s="1402"/>
      <c r="S749" s="1403"/>
      <c r="T749" s="1403"/>
      <c r="U749" s="1394">
        <v>749</v>
      </c>
      <c r="V749" s="1421"/>
    </row>
    <row r="750" spans="1:22" ht="15.75" customHeight="1">
      <c r="A750" s="1557" t="str">
        <f>IF(Data!A750="","",Data!A750)</f>
        <v>Self-employment -- see Data2</v>
      </c>
      <c r="B750" s="1550"/>
      <c r="C750" s="1444" t="str">
        <f>IF(Data!BV750="","",Data!BV750)</f>
        <v/>
      </c>
      <c r="D750" s="1444" t="str">
        <f>IF(Data!BW750="","",Data!BW750)</f>
        <v/>
      </c>
      <c r="E750" s="1444" t="str">
        <f>IF(Data!BX750="","",Data!BX750)</f>
        <v/>
      </c>
      <c r="F750" s="1444" t="str">
        <f>IF(Data!BY750="","",Data!BY750)</f>
        <v/>
      </c>
      <c r="G750" s="1433"/>
      <c r="H750" s="1427"/>
      <c r="I750" s="1427"/>
      <c r="J750" s="1427"/>
      <c r="K750" s="1427"/>
      <c r="L750" s="1433"/>
      <c r="M750" s="1449"/>
      <c r="N750" s="1449"/>
      <c r="O750" s="1449"/>
      <c r="P750" s="1449"/>
      <c r="Q750" s="1464"/>
      <c r="R750" s="1378"/>
      <c r="S750" s="1378"/>
      <c r="T750" s="1378"/>
      <c r="U750" s="1394">
        <v>750</v>
      </c>
      <c r="V750" s="1421"/>
    </row>
    <row r="751" spans="1:22" ht="15.75" hidden="1" customHeight="1">
      <c r="A751" s="1558" t="s">
        <v>297</v>
      </c>
      <c r="B751" s="1550"/>
      <c r="C751" s="1488" t="str">
        <f>IF(Data!BV751="","",Data!BV751)</f>
        <v/>
      </c>
      <c r="D751" s="1488" t="str">
        <f>IF(Data!BW751="","",Data!BW751)</f>
        <v/>
      </c>
      <c r="E751" s="1488" t="str">
        <f>IF(Data!BX751="","",Data!BX751)</f>
        <v/>
      </c>
      <c r="F751" s="1488" t="str">
        <f>IF(Data!BY751="","",Data!BY751)</f>
        <v/>
      </c>
      <c r="G751" s="1433"/>
      <c r="H751" s="1548" t="str">
        <f>IF(C751="","",C751*'Exp factors'!C$36)</f>
        <v/>
      </c>
      <c r="I751" s="1548" t="str">
        <f>IF(D751="","",D751*'Exp factors'!D$36)</f>
        <v/>
      </c>
      <c r="J751" s="1548" t="str">
        <f>IF(E751="","",E751*'Exp factors'!E$36)</f>
        <v/>
      </c>
      <c r="K751" s="1548" t="str">
        <f>IF(F751="","",F751*'Exp factors'!F$36)</f>
        <v/>
      </c>
      <c r="L751" s="1431"/>
      <c r="M751" s="1427"/>
      <c r="N751" s="1427"/>
      <c r="O751" s="1427"/>
      <c r="P751" s="1427"/>
      <c r="Q751" s="1464"/>
      <c r="R751" s="1445"/>
      <c r="S751" s="1446"/>
      <c r="T751" s="1446"/>
      <c r="U751" s="1394">
        <v>751</v>
      </c>
      <c r="V751" s="1421"/>
    </row>
    <row r="752" spans="1:22" ht="15.75" hidden="1" customHeight="1">
      <c r="A752" s="1558" t="s">
        <v>298</v>
      </c>
      <c r="B752" s="1550"/>
      <c r="C752" s="1488" t="str">
        <f>IF(Data!BV752="","",Data!BV752)</f>
        <v/>
      </c>
      <c r="D752" s="1488" t="str">
        <f>IF(Data!BW752="","",Data!BW752)</f>
        <v/>
      </c>
      <c r="E752" s="1488" t="str">
        <f>IF(Data!BX752="","",Data!BX752)</f>
        <v/>
      </c>
      <c r="F752" s="1488" t="str">
        <f>IF(Data!BY752="","",Data!BY752)</f>
        <v/>
      </c>
      <c r="G752" s="1431"/>
      <c r="H752" s="1548" t="str">
        <f t="shared" ref="H752:K753" si="110">IF(C752&gt;0,C752,"")</f>
        <v/>
      </c>
      <c r="I752" s="1548" t="str">
        <f t="shared" si="110"/>
        <v/>
      </c>
      <c r="J752" s="1548" t="str">
        <f t="shared" si="110"/>
        <v/>
      </c>
      <c r="K752" s="1548" t="str">
        <f t="shared" si="110"/>
        <v/>
      </c>
      <c r="L752" s="1431"/>
      <c r="M752" s="1427"/>
      <c r="N752" s="1427"/>
      <c r="O752" s="1427"/>
      <c r="P752" s="1427"/>
      <c r="Q752" s="1464"/>
      <c r="R752" s="1445"/>
      <c r="S752" s="1446"/>
      <c r="T752" s="1446"/>
      <c r="U752" s="1394">
        <v>752</v>
      </c>
      <c r="V752" s="1421"/>
    </row>
    <row r="753" spans="1:22" ht="15.75" hidden="1" customHeight="1">
      <c r="A753" s="1558" t="s">
        <v>283</v>
      </c>
      <c r="B753" s="1550"/>
      <c r="C753" s="1488" t="str">
        <f>IF(Data!BV753="","",Data!BV753)</f>
        <v/>
      </c>
      <c r="D753" s="1488" t="str">
        <f>IF(Data!BW753="","",Data!BW753)</f>
        <v/>
      </c>
      <c r="E753" s="1488" t="str">
        <f>IF(Data!BX753="","",Data!BX753)</f>
        <v/>
      </c>
      <c r="F753" s="1488" t="str">
        <f>IF(Data!BY753="","",Data!BY753)</f>
        <v/>
      </c>
      <c r="G753" s="1431"/>
      <c r="H753" s="1548" t="str">
        <f t="shared" si="110"/>
        <v/>
      </c>
      <c r="I753" s="1548" t="str">
        <f t="shared" si="110"/>
        <v/>
      </c>
      <c r="J753" s="1548" t="str">
        <f t="shared" si="110"/>
        <v/>
      </c>
      <c r="K753" s="1548" t="str">
        <f t="shared" si="110"/>
        <v/>
      </c>
      <c r="L753" s="1431"/>
      <c r="M753" s="1427"/>
      <c r="N753" s="1427"/>
      <c r="O753" s="1427"/>
      <c r="P753" s="1427"/>
      <c r="Q753" s="1464"/>
      <c r="R753" s="1445"/>
      <c r="S753" s="1446"/>
      <c r="T753" s="1446"/>
      <c r="U753" s="1394">
        <v>753</v>
      </c>
      <c r="V753" s="1421"/>
    </row>
    <row r="754" spans="1:22" ht="15.75" hidden="1" customHeight="1">
      <c r="A754" s="1558" t="s">
        <v>314</v>
      </c>
      <c r="B754" s="1550"/>
      <c r="C754" s="1488" t="str">
        <f>IF(Data!BV754="","",Data!BV754)</f>
        <v/>
      </c>
      <c r="D754" s="1488" t="str">
        <f>IF(Data!BW754="","",Data!BW754)</f>
        <v/>
      </c>
      <c r="E754" s="1488" t="str">
        <f>IF(Data!BX754="","",Data!BX754)</f>
        <v/>
      </c>
      <c r="F754" s="1488" t="str">
        <f>IF(Data!BY754="","",Data!BY754)</f>
        <v/>
      </c>
      <c r="G754" s="1431"/>
      <c r="H754" s="1427"/>
      <c r="I754" s="1427"/>
      <c r="J754" s="1427"/>
      <c r="K754" s="1427"/>
      <c r="L754" s="1431"/>
      <c r="M754" s="1427"/>
      <c r="N754" s="1427"/>
      <c r="O754" s="1427"/>
      <c r="P754" s="1427"/>
      <c r="Q754" s="1464"/>
      <c r="R754" s="1445"/>
      <c r="S754" s="1446"/>
      <c r="T754" s="1446"/>
      <c r="U754" s="1394">
        <v>754</v>
      </c>
      <c r="V754" s="1421"/>
    </row>
    <row r="755" spans="1:22" ht="15.75" customHeight="1">
      <c r="A755" s="1428" t="s">
        <v>315</v>
      </c>
      <c r="B755" s="1550"/>
      <c r="C755" s="1479">
        <f>IF(Data!BV755="","",Data!BV755)</f>
        <v>0</v>
      </c>
      <c r="D755" s="1479">
        <f>IF(Data!BW755="","",Data!BW755)</f>
        <v>0</v>
      </c>
      <c r="E755" s="1479">
        <f>IF(Data!BX755="","",Data!BX755)</f>
        <v>429</v>
      </c>
      <c r="F755" s="1479">
        <f>IF(Data!BY755="","",Data!BY755)</f>
        <v>0</v>
      </c>
      <c r="G755" s="1433"/>
      <c r="H755" s="1548">
        <f>IF(C755="","",C755*'Exp factors'!C$36)</f>
        <v>0</v>
      </c>
      <c r="I755" s="1548">
        <f>IF(D755="","",D755*'Exp factors'!D$36)</f>
        <v>0</v>
      </c>
      <c r="J755" s="1548">
        <f>IF(E755="","",E755*'Exp factors'!E$36)</f>
        <v>514.79999999999995</v>
      </c>
      <c r="K755" s="1548">
        <f>IF(F755="","",F755*'Exp factors'!F$36)</f>
        <v>0</v>
      </c>
      <c r="L755" s="1432"/>
      <c r="M755" s="1454">
        <f>IF(H755="","",SUM(H755)-SUM(C755))</f>
        <v>0</v>
      </c>
      <c r="N755" s="1454">
        <f>IF(I755="","",SUM(I755)-SUM(D755))</f>
        <v>0</v>
      </c>
      <c r="O755" s="1454">
        <f>IF(J755="","",SUM(J755)-SUM(E755))</f>
        <v>85.799999999999955</v>
      </c>
      <c r="P755" s="1454">
        <f>IF(K755="","",SUM(K755)-SUM(F755))</f>
        <v>0</v>
      </c>
      <c r="Q755" s="1464"/>
      <c r="R755" s="1402"/>
      <c r="S755" s="1403"/>
      <c r="T755" s="1403"/>
      <c r="U755" s="1394">
        <v>755</v>
      </c>
      <c r="V755" s="1421"/>
    </row>
    <row r="756" spans="1:22" ht="15.75" customHeight="1">
      <c r="A756" s="1557" t="str">
        <f>IF(Data!A756="","",Data!A756)</f>
        <v>Small business -- see Data2</v>
      </c>
      <c r="B756" s="1550"/>
      <c r="C756" s="1444" t="str">
        <f>IF(Data!BV756="","",Data!BV756)</f>
        <v/>
      </c>
      <c r="D756" s="1444" t="str">
        <f>IF(Data!BW756="","",Data!BW756)</f>
        <v/>
      </c>
      <c r="E756" s="1444" t="str">
        <f>IF(Data!BX756="","",Data!BX756)</f>
        <v/>
      </c>
      <c r="F756" s="1444" t="str">
        <f>IF(Data!BY756="","",Data!BY756)</f>
        <v/>
      </c>
      <c r="G756" s="1431"/>
      <c r="H756" s="1548" t="str">
        <f>IF(C756="","",C756*'Exp factors'!C$36)</f>
        <v/>
      </c>
      <c r="I756" s="1548" t="str">
        <f>IF(D756="","",D756*'Exp factors'!D$36)</f>
        <v/>
      </c>
      <c r="J756" s="1548" t="str">
        <f>IF(E756="","",E756*'Exp factors'!E$36)</f>
        <v/>
      </c>
      <c r="K756" s="1548" t="str">
        <f>IF(F756="","",F756*'Exp factors'!F$36)</f>
        <v/>
      </c>
      <c r="L756" s="1431"/>
      <c r="M756" s="1427"/>
      <c r="N756" s="1427"/>
      <c r="O756" s="1427"/>
      <c r="P756" s="1427"/>
      <c r="Q756" s="1464"/>
      <c r="R756" s="1445"/>
      <c r="S756" s="1446"/>
      <c r="T756" s="1446"/>
      <c r="U756" s="1394">
        <v>756</v>
      </c>
      <c r="V756" s="1421"/>
    </row>
    <row r="757" spans="1:22" ht="15.75" hidden="1" customHeight="1">
      <c r="A757" s="1558" t="s">
        <v>298</v>
      </c>
      <c r="B757" s="1559"/>
      <c r="C757" s="1488" t="str">
        <f>IF(Data!BV757="","",Data!BV757)</f>
        <v/>
      </c>
      <c r="D757" s="1488" t="str">
        <f>IF(Data!BW757="","",Data!BW757)</f>
        <v/>
      </c>
      <c r="E757" s="1488" t="str">
        <f>IF(Data!BX757="","",Data!BX757)</f>
        <v/>
      </c>
      <c r="F757" s="1488" t="str">
        <f>IF(Data!BY757="","",Data!BY757)</f>
        <v/>
      </c>
      <c r="G757" s="1431"/>
      <c r="H757" s="1548" t="str">
        <f t="shared" ref="H757:K759" si="111">IF(C757&gt;0,C757,"")</f>
        <v/>
      </c>
      <c r="I757" s="1548" t="str">
        <f t="shared" si="111"/>
        <v/>
      </c>
      <c r="J757" s="1548" t="str">
        <f t="shared" si="111"/>
        <v/>
      </c>
      <c r="K757" s="1548" t="str">
        <f t="shared" si="111"/>
        <v/>
      </c>
      <c r="L757" s="1431"/>
      <c r="M757" s="1427"/>
      <c r="N757" s="1427"/>
      <c r="O757" s="1427"/>
      <c r="P757" s="1427"/>
      <c r="Q757" s="1464"/>
      <c r="R757" s="1445"/>
      <c r="S757" s="1446"/>
      <c r="T757" s="1446"/>
      <c r="U757" s="1394">
        <v>757</v>
      </c>
      <c r="V757" s="1421"/>
    </row>
    <row r="758" spans="1:22" ht="15.75" hidden="1" customHeight="1">
      <c r="A758" s="1558" t="s">
        <v>283</v>
      </c>
      <c r="B758" s="1559"/>
      <c r="C758" s="1488" t="str">
        <f>IF(Data!BV758="","",Data!BV758)</f>
        <v/>
      </c>
      <c r="D758" s="1488" t="str">
        <f>IF(Data!BW758="","",Data!BW758)</f>
        <v/>
      </c>
      <c r="E758" s="1488" t="str">
        <f>IF(Data!BX758="","",Data!BX758)</f>
        <v/>
      </c>
      <c r="F758" s="1488" t="str">
        <f>IF(Data!BY758="","",Data!BY758)</f>
        <v/>
      </c>
      <c r="G758" s="1431"/>
      <c r="H758" s="1548" t="str">
        <f t="shared" si="111"/>
        <v/>
      </c>
      <c r="I758" s="1548" t="str">
        <f t="shared" si="111"/>
        <v/>
      </c>
      <c r="J758" s="1548" t="str">
        <f t="shared" si="111"/>
        <v/>
      </c>
      <c r="K758" s="1548" t="str">
        <f t="shared" si="111"/>
        <v/>
      </c>
      <c r="L758" s="1431"/>
      <c r="M758" s="1427"/>
      <c r="N758" s="1427"/>
      <c r="O758" s="1427"/>
      <c r="P758" s="1427"/>
      <c r="Q758" s="1464"/>
      <c r="R758" s="1445"/>
      <c r="S758" s="1446"/>
      <c r="T758" s="1446"/>
      <c r="U758" s="1394">
        <v>758</v>
      </c>
      <c r="V758" s="1421"/>
    </row>
    <row r="759" spans="1:22" ht="15.75" hidden="1" customHeight="1">
      <c r="A759" s="1558" t="s">
        <v>328</v>
      </c>
      <c r="B759" s="1559"/>
      <c r="C759" s="1488" t="str">
        <f>IF(Data!BV759="","",Data!BV759)</f>
        <v/>
      </c>
      <c r="D759" s="1488" t="str">
        <f>IF(Data!BW759="","",Data!BW759)</f>
        <v/>
      </c>
      <c r="E759" s="1488" t="str">
        <f>IF(Data!BX759="","",Data!BX759)</f>
        <v/>
      </c>
      <c r="F759" s="1488" t="str">
        <f>IF(Data!BY759="","",Data!BY759)</f>
        <v/>
      </c>
      <c r="G759" s="1431"/>
      <c r="H759" s="1548" t="str">
        <f t="shared" si="111"/>
        <v/>
      </c>
      <c r="I759" s="1548" t="str">
        <f t="shared" si="111"/>
        <v/>
      </c>
      <c r="J759" s="1548" t="str">
        <f t="shared" si="111"/>
        <v/>
      </c>
      <c r="K759" s="1548" t="str">
        <f t="shared" si="111"/>
        <v/>
      </c>
      <c r="L759" s="1431"/>
      <c r="M759" s="1427"/>
      <c r="N759" s="1427"/>
      <c r="O759" s="1427"/>
      <c r="P759" s="1427"/>
      <c r="Q759" s="1464"/>
      <c r="R759" s="1445"/>
      <c r="S759" s="1446"/>
      <c r="T759" s="1446"/>
      <c r="U759" s="1394">
        <v>759</v>
      </c>
      <c r="V759" s="1421"/>
    </row>
    <row r="760" spans="1:22" ht="15.75" customHeight="1">
      <c r="A760" s="1508" t="s">
        <v>315</v>
      </c>
      <c r="B760" s="1559"/>
      <c r="C760" s="1479">
        <f>IF(Data!BV760="","",Data!BV760)</f>
        <v>0</v>
      </c>
      <c r="D760" s="1479">
        <f>IF(Data!BW760="","",Data!BW760)</f>
        <v>0</v>
      </c>
      <c r="E760" s="1479">
        <f>IF(Data!BX760="","",Data!BX760)</f>
        <v>2160</v>
      </c>
      <c r="F760" s="1479">
        <f>IF(Data!BY760="","",Data!BY760)</f>
        <v>0</v>
      </c>
      <c r="G760" s="1432"/>
      <c r="H760" s="1463" t="str">
        <f>IF(H757="","",H756*H757*H758*H759)</f>
        <v/>
      </c>
      <c r="I760" s="1463" t="str">
        <f>IF(I757="","",I756*I757*I758*I759)</f>
        <v/>
      </c>
      <c r="J760" s="1463" t="str">
        <f>IF(J757="","",J756*J757*J758*J759)</f>
        <v/>
      </c>
      <c r="K760" s="1463" t="str">
        <f>IF(K757="","",K756*K757*K758*K759)</f>
        <v/>
      </c>
      <c r="L760" s="1432"/>
      <c r="M760" s="1454" t="str">
        <f>IF(H760="","",SUM(H760)-SUM(C760))</f>
        <v/>
      </c>
      <c r="N760" s="1454" t="str">
        <f>IF(I760="","",SUM(I760)-SUM(D760))</f>
        <v/>
      </c>
      <c r="O760" s="1454" t="str">
        <f>IF(J760="","",SUM(J760)-SUM(E760))</f>
        <v/>
      </c>
      <c r="P760" s="1454" t="str">
        <f>IF(K760="","",SUM(K760)-SUM(F760))</f>
        <v/>
      </c>
      <c r="Q760" s="1464"/>
      <c r="R760" s="1402"/>
      <c r="S760" s="1403"/>
      <c r="T760" s="1403"/>
      <c r="U760" s="1394">
        <v>760</v>
      </c>
      <c r="V760" s="1421"/>
    </row>
    <row r="761" spans="1:22" ht="15.75" customHeight="1">
      <c r="A761" s="1560" t="str">
        <f>IF(Data!A761="","",Data!A761)</f>
        <v>Gifts/social support: type</v>
      </c>
      <c r="B761" s="1559"/>
      <c r="C761" s="1444" t="str">
        <f>IF(Data!BV761="","",Data!BV761)</f>
        <v/>
      </c>
      <c r="D761" s="1444" t="str">
        <f>IF(Data!BW761="","",Data!BW761)</f>
        <v/>
      </c>
      <c r="E761" s="1444" t="str">
        <f>IF(Data!BX761="","",Data!BX761)</f>
        <v/>
      </c>
      <c r="F761" s="1444" t="str">
        <f>IF(Data!BY761="","",Data!BY761)</f>
        <v/>
      </c>
      <c r="G761" s="1433"/>
      <c r="H761" s="1427"/>
      <c r="I761" s="1427"/>
      <c r="J761" s="1427"/>
      <c r="K761" s="1427"/>
      <c r="L761" s="1433"/>
      <c r="M761" s="1427"/>
      <c r="N761" s="1427"/>
      <c r="O761" s="1427"/>
      <c r="P761" s="1427"/>
      <c r="Q761" s="1464"/>
      <c r="R761" s="1378"/>
      <c r="S761" s="1378"/>
      <c r="T761" s="1378"/>
      <c r="U761" s="1394">
        <v>761</v>
      </c>
      <c r="V761" s="1421"/>
    </row>
    <row r="762" spans="1:22" ht="15.75" customHeight="1">
      <c r="A762" s="1429" t="s">
        <v>298</v>
      </c>
      <c r="B762" s="1559"/>
      <c r="C762" s="1444" t="str">
        <f>IF(Data!BV762="","",Data!BV762)</f>
        <v/>
      </c>
      <c r="D762" s="1444" t="str">
        <f>IF(Data!BW762="","",Data!BW762)</f>
        <v/>
      </c>
      <c r="E762" s="1444" t="str">
        <f>IF(Data!BX762="","",Data!BX762)</f>
        <v/>
      </c>
      <c r="F762" s="1444" t="str">
        <f>IF(Data!BY762="","",Data!BY762)</f>
        <v/>
      </c>
      <c r="G762" s="1433"/>
      <c r="H762" s="1548" t="str">
        <f>IF(C762="","",C762*'Exp factors'!C$38)</f>
        <v/>
      </c>
      <c r="I762" s="1548" t="str">
        <f>IF(D762="","",D762*'Exp factors'!D$38)</f>
        <v/>
      </c>
      <c r="J762" s="1548" t="str">
        <f>IF(E762="","",E762*'Exp factors'!E$38)</f>
        <v/>
      </c>
      <c r="K762" s="1548" t="str">
        <f>IF(F762="","",F762*'Exp factors'!F$38)</f>
        <v/>
      </c>
      <c r="L762" s="1433"/>
      <c r="M762" s="1427"/>
      <c r="N762" s="1427"/>
      <c r="O762" s="1427"/>
      <c r="P762" s="1427"/>
      <c r="Q762" s="1464"/>
      <c r="R762" s="1445"/>
      <c r="S762" s="1446"/>
      <c r="T762" s="1446"/>
      <c r="U762" s="1394">
        <v>762</v>
      </c>
      <c r="V762" s="1421"/>
    </row>
    <row r="763" spans="1:22" ht="15.75" customHeight="1">
      <c r="A763" s="1429" t="s">
        <v>283</v>
      </c>
      <c r="B763" s="1559"/>
      <c r="C763" s="1444" t="str">
        <f>IF(Data!BV763="","",Data!BV763)</f>
        <v/>
      </c>
      <c r="D763" s="1444" t="str">
        <f>IF(Data!BW763="","",Data!BW763)</f>
        <v/>
      </c>
      <c r="E763" s="1444" t="str">
        <f>IF(Data!BX763="","",Data!BX763)</f>
        <v/>
      </c>
      <c r="F763" s="1444" t="str">
        <f>IF(Data!BY763="","",Data!BY763)</f>
        <v/>
      </c>
      <c r="G763" s="1433"/>
      <c r="H763" s="1548" t="str">
        <f t="shared" ref="H763:K764" si="112">IF(C763&gt;0,C763,"")</f>
        <v/>
      </c>
      <c r="I763" s="1548" t="str">
        <f t="shared" si="112"/>
        <v/>
      </c>
      <c r="J763" s="1548" t="str">
        <f t="shared" si="112"/>
        <v/>
      </c>
      <c r="K763" s="1548" t="str">
        <f t="shared" si="112"/>
        <v/>
      </c>
      <c r="L763" s="1433"/>
      <c r="M763" s="1427"/>
      <c r="N763" s="1427"/>
      <c r="O763" s="1427"/>
      <c r="P763" s="1427"/>
      <c r="Q763" s="1464"/>
      <c r="R763" s="1445"/>
      <c r="S763" s="1446"/>
      <c r="T763" s="1446"/>
      <c r="U763" s="1394">
        <v>763</v>
      </c>
      <c r="V763" s="1421"/>
    </row>
    <row r="764" spans="1:22" ht="15.75" customHeight="1">
      <c r="A764" s="1429" t="s">
        <v>314</v>
      </c>
      <c r="B764" s="1559"/>
      <c r="C764" s="1444" t="str">
        <f>IF(Data!BV764="","",Data!BV764)</f>
        <v/>
      </c>
      <c r="D764" s="1444" t="str">
        <f>IF(Data!BW764="","",Data!BW764)</f>
        <v/>
      </c>
      <c r="E764" s="1444" t="str">
        <f>IF(Data!BX764="","",Data!BX764)</f>
        <v/>
      </c>
      <c r="F764" s="1444" t="str">
        <f>IF(Data!BY764="","",Data!BY764)</f>
        <v/>
      </c>
      <c r="G764" s="1433"/>
      <c r="H764" s="1548" t="str">
        <f t="shared" si="112"/>
        <v/>
      </c>
      <c r="I764" s="1548" t="str">
        <f t="shared" si="112"/>
        <v/>
      </c>
      <c r="J764" s="1548" t="str">
        <f t="shared" si="112"/>
        <v/>
      </c>
      <c r="K764" s="1548" t="str">
        <f t="shared" si="112"/>
        <v/>
      </c>
      <c r="L764" s="1433"/>
      <c r="M764" s="1427"/>
      <c r="N764" s="1427"/>
      <c r="O764" s="1427"/>
      <c r="P764" s="1427"/>
      <c r="Q764" s="1464"/>
      <c r="R764" s="1445"/>
      <c r="S764" s="1446"/>
      <c r="T764" s="1446"/>
      <c r="U764" s="1394">
        <v>764</v>
      </c>
      <c r="V764" s="1421"/>
    </row>
    <row r="765" spans="1:22" ht="15.75" customHeight="1">
      <c r="A765" s="1428" t="s">
        <v>315</v>
      </c>
      <c r="B765" s="1559"/>
      <c r="C765" s="1454" t="str">
        <f>IF(SUM(C762)=0,"",C762*C763*C764)</f>
        <v/>
      </c>
      <c r="D765" s="1454" t="str">
        <f>IF(SUM(D762)=0,"",D762*D763*D764)</f>
        <v/>
      </c>
      <c r="E765" s="1454" t="str">
        <f>IF(SUM(E762)=0,"",E762*E763*E764)</f>
        <v/>
      </c>
      <c r="F765" s="1454" t="str">
        <f>IF(SUM(F762)=0,"",F762*F763*F764)</f>
        <v/>
      </c>
      <c r="G765" s="1507"/>
      <c r="H765" s="1454" t="str">
        <f>IF(H762="","",H762*H763*H764)</f>
        <v/>
      </c>
      <c r="I765" s="1454" t="str">
        <f>IF(I762="","",I762*I763*I764)</f>
        <v/>
      </c>
      <c r="J765" s="1454" t="str">
        <f>IF(J762="","",J762*J763*J764)</f>
        <v/>
      </c>
      <c r="K765" s="1454" t="str">
        <f>IF(K762="","",K762*K763*K764)</f>
        <v/>
      </c>
      <c r="L765" s="1507"/>
      <c r="M765" s="1454" t="str">
        <f>IF(H765="","",SUM(H765)-SUM(C765))</f>
        <v/>
      </c>
      <c r="N765" s="1454" t="str">
        <f>IF(I765="","",SUM(I765)-SUM(D765))</f>
        <v/>
      </c>
      <c r="O765" s="1454" t="str">
        <f>IF(J765="","",SUM(J765)-SUM(E765))</f>
        <v/>
      </c>
      <c r="P765" s="1454" t="str">
        <f>IF(K765="","",SUM(K765)-SUM(F765))</f>
        <v/>
      </c>
      <c r="Q765" s="1464"/>
      <c r="R765" s="1402"/>
      <c r="S765" s="1403"/>
      <c r="T765" s="1403"/>
      <c r="U765" s="1394">
        <v>765</v>
      </c>
      <c r="V765" s="1421"/>
    </row>
    <row r="766" spans="1:22" ht="15.75" customHeight="1">
      <c r="A766" s="1553" t="str">
        <f>IF(Data!A766="","",Data!A766)</f>
        <v>Other income: e.g. Credit (cotton loans)</v>
      </c>
      <c r="B766" s="1559"/>
      <c r="C766" s="1444" t="str">
        <f>IF(Data!BV766="","",Data!BV766)</f>
        <v/>
      </c>
      <c r="D766" s="1444" t="str">
        <f>IF(Data!BW766="","",Data!BW766)</f>
        <v/>
      </c>
      <c r="E766" s="1444" t="str">
        <f>IF(Data!BX766="","",Data!BX766)</f>
        <v/>
      </c>
      <c r="F766" s="1444" t="str">
        <f>IF(Data!BY766="","",Data!BY766)</f>
        <v/>
      </c>
      <c r="G766" s="1433"/>
      <c r="H766" s="1427"/>
      <c r="I766" s="1427"/>
      <c r="J766" s="1427"/>
      <c r="K766" s="1427"/>
      <c r="L766" s="1433"/>
      <c r="M766" s="1427"/>
      <c r="N766" s="1427"/>
      <c r="O766" s="1427"/>
      <c r="P766" s="1427"/>
      <c r="Q766" s="1464"/>
      <c r="R766" s="1378"/>
      <c r="S766" s="1378"/>
      <c r="T766" s="1378"/>
      <c r="U766" s="1394">
        <v>766</v>
      </c>
      <c r="V766" s="1421"/>
    </row>
    <row r="767" spans="1:22" ht="15.75" customHeight="1">
      <c r="A767" s="1558" t="s">
        <v>298</v>
      </c>
      <c r="B767" s="1559"/>
      <c r="C767" s="1444" t="str">
        <f>IF(Data!BV767="","",Data!BV767)</f>
        <v/>
      </c>
      <c r="D767" s="1444" t="str">
        <f>IF(Data!BW767="","",Data!BW767)</f>
        <v/>
      </c>
      <c r="E767" s="1444">
        <f>IF(Data!BX767="","",Data!BX767)</f>
        <v>1</v>
      </c>
      <c r="F767" s="1444" t="str">
        <f>IF(Data!BY767="","",Data!BY767)</f>
        <v/>
      </c>
      <c r="G767" s="1433"/>
      <c r="H767" s="1492"/>
      <c r="I767" s="1492"/>
      <c r="J767" s="1492"/>
      <c r="K767" s="1492"/>
      <c r="L767" s="1433"/>
      <c r="M767" s="1427"/>
      <c r="N767" s="1427"/>
      <c r="O767" s="1427"/>
      <c r="P767" s="1427"/>
      <c r="Q767" s="1464"/>
      <c r="R767" s="1445"/>
      <c r="S767" s="1446"/>
      <c r="T767" s="1446"/>
      <c r="U767" s="1394">
        <v>767</v>
      </c>
      <c r="V767" s="1421"/>
    </row>
    <row r="768" spans="1:22" ht="15.75" customHeight="1">
      <c r="A768" s="1558" t="s">
        <v>283</v>
      </c>
      <c r="B768" s="1559"/>
      <c r="C768" s="1444" t="str">
        <f>IF(Data!BV768="","",Data!BV768)</f>
        <v/>
      </c>
      <c r="D768" s="1444" t="str">
        <f>IF(Data!BW768="","",Data!BW768)</f>
        <v/>
      </c>
      <c r="E768" s="1444">
        <f>IF(Data!BX768="","",Data!BX768)</f>
        <v>2</v>
      </c>
      <c r="F768" s="1444" t="str">
        <f>IF(Data!BY768="","",Data!BY768)</f>
        <v/>
      </c>
      <c r="G768" s="1433"/>
      <c r="H768" s="1492"/>
      <c r="I768" s="1492"/>
      <c r="J768" s="1492"/>
      <c r="K768" s="1492"/>
      <c r="L768" s="1433"/>
      <c r="M768" s="1427"/>
      <c r="N768" s="1427"/>
      <c r="O768" s="1427"/>
      <c r="P768" s="1427"/>
      <c r="Q768" s="1464"/>
      <c r="R768" s="1445"/>
      <c r="S768" s="1446"/>
      <c r="T768" s="1446"/>
      <c r="U768" s="1394">
        <v>768</v>
      </c>
      <c r="V768" s="1421"/>
    </row>
    <row r="769" spans="1:22" ht="15.75" customHeight="1">
      <c r="A769" s="1558" t="s">
        <v>314</v>
      </c>
      <c r="B769" s="1559"/>
      <c r="C769" s="1444" t="str">
        <f>IF(Data!BV769="","",Data!BV769)</f>
        <v/>
      </c>
      <c r="D769" s="1444" t="str">
        <f>IF(Data!BW769="","",Data!BW769)</f>
        <v/>
      </c>
      <c r="E769" s="1444">
        <f>IF(Data!BX769="","",Data!BX769)</f>
        <v>800</v>
      </c>
      <c r="F769" s="1444" t="str">
        <f>IF(Data!BY769="","",Data!BY769)</f>
        <v/>
      </c>
      <c r="G769" s="1433"/>
      <c r="H769" s="1492"/>
      <c r="I769" s="1492"/>
      <c r="J769" s="1492"/>
      <c r="K769" s="1492"/>
      <c r="L769" s="1433"/>
      <c r="M769" s="1427"/>
      <c r="N769" s="1427"/>
      <c r="O769" s="1427"/>
      <c r="P769" s="1427"/>
      <c r="Q769" s="1464"/>
      <c r="R769" s="1445"/>
      <c r="S769" s="1446"/>
      <c r="T769" s="1446"/>
      <c r="U769" s="1394">
        <v>769</v>
      </c>
      <c r="V769" s="1421"/>
    </row>
    <row r="770" spans="1:22" ht="15.75" customHeight="1">
      <c r="A770" s="1428" t="s">
        <v>315</v>
      </c>
      <c r="B770" s="1559"/>
      <c r="C770" s="1454" t="str">
        <f>IF(SUM(C767)=0,"",C767*C768*C769)</f>
        <v/>
      </c>
      <c r="D770" s="1454" t="str">
        <f>IF(SUM(D767)=0,"",D767*D768*D769)</f>
        <v/>
      </c>
      <c r="E770" s="1454">
        <f>IF(SUM(E767)=0,"",E767*E768*E769)</f>
        <v>1600</v>
      </c>
      <c r="F770" s="1454" t="str">
        <f>IF(SUM(F767)=0,"",F767*F768*F769)</f>
        <v/>
      </c>
      <c r="G770" s="1507"/>
      <c r="H770" s="1454" t="str">
        <f>IF(H767="","",H767*H768*H769)</f>
        <v/>
      </c>
      <c r="I770" s="1454" t="str">
        <f>IF(I767="","",I767*I768*I769)</f>
        <v/>
      </c>
      <c r="J770" s="1454" t="str">
        <f>IF(J767="","",J767*J768*J769)</f>
        <v/>
      </c>
      <c r="K770" s="1454" t="str">
        <f>IF(K767="","",K767*K768*K769)</f>
        <v/>
      </c>
      <c r="L770" s="1507"/>
      <c r="M770" s="1454" t="str">
        <f>IF(H770="","",SUM(H770)-SUM(C770))</f>
        <v/>
      </c>
      <c r="N770" s="1454" t="str">
        <f>IF(I770="","",SUM(I770)-SUM(D770))</f>
        <v/>
      </c>
      <c r="O770" s="1454" t="str">
        <f>IF(J770="","",SUM(J770)-SUM(E770))</f>
        <v/>
      </c>
      <c r="P770" s="1454" t="str">
        <f>IF(K770="","",SUM(K770)-SUM(F770))</f>
        <v/>
      </c>
      <c r="Q770" s="1464"/>
      <c r="R770" s="1402"/>
      <c r="S770" s="1403"/>
      <c r="T770" s="1403"/>
      <c r="U770" s="1394">
        <v>770</v>
      </c>
      <c r="V770" s="1421"/>
    </row>
    <row r="771" spans="1:22" ht="15.75" customHeight="1">
      <c r="A771" s="1522" t="s">
        <v>331</v>
      </c>
      <c r="B771" s="1559"/>
      <c r="C771" s="1448"/>
      <c r="D771" s="1448"/>
      <c r="E771" s="1448"/>
      <c r="F771" s="1444"/>
      <c r="G771" s="1433"/>
      <c r="H771" s="1427"/>
      <c r="I771" s="1427"/>
      <c r="J771" s="1427"/>
      <c r="K771" s="1427"/>
      <c r="L771" s="1433"/>
      <c r="M771" s="1449"/>
      <c r="N771" s="1449"/>
      <c r="O771" s="1449"/>
      <c r="P771" s="1449"/>
      <c r="Q771" s="1464"/>
      <c r="R771" s="1378"/>
      <c r="S771" s="1378"/>
      <c r="T771" s="1378"/>
      <c r="U771" s="1394">
        <v>771</v>
      </c>
      <c r="V771" s="1421"/>
    </row>
    <row r="772" spans="1:22" ht="15.75" customHeight="1">
      <c r="A772" s="1494" t="str">
        <f>IF(Data!A772="","",Data!A772)</f>
        <v>Tea</v>
      </c>
      <c r="B772" s="1559"/>
      <c r="C772" s="1456">
        <f>IF(Data!BV772="","",Data!BV772)</f>
        <v>132</v>
      </c>
      <c r="D772" s="1456">
        <f>IF(Data!BW772="","",Data!BW772)</f>
        <v>132</v>
      </c>
      <c r="E772" s="1456">
        <f>IF(Data!BX772="","",Data!BX772)</f>
        <v>180</v>
      </c>
      <c r="F772" s="1456">
        <f>IF(Data!BY772="","",Data!BY772)</f>
        <v>180</v>
      </c>
      <c r="G772" s="1433"/>
      <c r="H772" s="1533">
        <f>IF(H$46="","",IF('Exp factors'!$B71="poor",'Exp factors'!$G$71*H$46,SUM(C772)*'Exp factors'!C$71))</f>
        <v>320</v>
      </c>
      <c r="I772" s="1533">
        <f>IF(I$46="","",IF('Exp factors'!$B71="poor",'Exp factors'!$G$71*I$46,SUM(D772)*'Exp factors'!D$71))</f>
        <v>320</v>
      </c>
      <c r="J772" s="1533">
        <f>IF(J$46="","",IF('Exp factors'!$B71="poor",'Exp factors'!$G$71*J$46,SUM(E772)*'Exp factors'!E$71))</f>
        <v>320</v>
      </c>
      <c r="K772" s="1533">
        <f>IF(K$46="","",IF('Exp factors'!$B71="poor",'Exp factors'!$G$71*K$46,SUM(F772)*'Exp factors'!F$71))</f>
        <v>360</v>
      </c>
      <c r="L772" s="1561"/>
      <c r="M772" s="1562">
        <f t="shared" ref="M772:P776" si="113">IF(H772="","",SUM(H772)-SUM(C772))</f>
        <v>188</v>
      </c>
      <c r="N772" s="1562">
        <f t="shared" si="113"/>
        <v>188</v>
      </c>
      <c r="O772" s="1562">
        <f t="shared" si="113"/>
        <v>140</v>
      </c>
      <c r="P772" s="1562">
        <f t="shared" si="113"/>
        <v>180</v>
      </c>
      <c r="Q772" s="1464" t="str">
        <f>'Exp factors'!I71</f>
        <v>lbpl</v>
      </c>
      <c r="R772" s="1445"/>
      <c r="S772" s="1446"/>
      <c r="T772" s="1446"/>
      <c r="U772" s="1394">
        <v>772</v>
      </c>
      <c r="V772" s="1421"/>
    </row>
    <row r="773" spans="1:22" ht="15.75" customHeight="1">
      <c r="A773" s="1494" t="str">
        <f>IF(Data!A773="","",Data!A773)</f>
        <v>Salt</v>
      </c>
      <c r="B773" s="1559"/>
      <c r="C773" s="1456">
        <f>IF(Data!BV773="","",Data!BV773)</f>
        <v>60</v>
      </c>
      <c r="D773" s="1456">
        <f>IF(Data!BW773="","",Data!BW773)</f>
        <v>60</v>
      </c>
      <c r="E773" s="1456">
        <f>IF(Data!BX773="","",Data!BX773)</f>
        <v>60</v>
      </c>
      <c r="F773" s="1456">
        <f>IF(Data!BY773="","",Data!BY773)</f>
        <v>60</v>
      </c>
      <c r="G773" s="1433"/>
      <c r="H773" s="1533">
        <f>IF(H$46="","",IF('Exp factors'!$B72="poor",'Exp factors'!$G$72*H$46,SUM(C773)*'Exp factors'!C$72))</f>
        <v>120</v>
      </c>
      <c r="I773" s="1533">
        <f>IF(I$46="","",IF('Exp factors'!$B72="poor",'Exp factors'!$G$72*I$46,SUM(D773)*'Exp factors'!D$72))</f>
        <v>120</v>
      </c>
      <c r="J773" s="1533">
        <f>IF(J$46="","",IF('Exp factors'!$B72="poor",'Exp factors'!$G$72*J$46,SUM(E773)*'Exp factors'!E$72))</f>
        <v>120</v>
      </c>
      <c r="K773" s="1533">
        <f>IF(K$46="","",IF('Exp factors'!$B72="poor",'Exp factors'!$G$72*K$46,SUM(F773)*'Exp factors'!F$72))</f>
        <v>135</v>
      </c>
      <c r="L773" s="1561"/>
      <c r="M773" s="1562">
        <f t="shared" si="113"/>
        <v>60</v>
      </c>
      <c r="N773" s="1562">
        <f t="shared" si="113"/>
        <v>60</v>
      </c>
      <c r="O773" s="1562">
        <f t="shared" si="113"/>
        <v>60</v>
      </c>
      <c r="P773" s="1562">
        <f t="shared" si="113"/>
        <v>75</v>
      </c>
      <c r="Q773" s="1464" t="str">
        <f>'Exp factors'!I72</f>
        <v>lbpl</v>
      </c>
      <c r="R773" s="1445"/>
      <c r="S773" s="1446"/>
      <c r="T773" s="1446"/>
      <c r="U773" s="1394">
        <v>773</v>
      </c>
      <c r="V773" s="1421"/>
    </row>
    <row r="774" spans="1:22" ht="15.75" customHeight="1">
      <c r="A774" s="1494" t="str">
        <f>IF(Data!A774="","",Data!A774)</f>
        <v>Soap</v>
      </c>
      <c r="B774" s="1559"/>
      <c r="C774" s="1456">
        <f>IF(Data!BV774="","",Data!BV774)</f>
        <v>300</v>
      </c>
      <c r="D774" s="1456">
        <f>IF(Data!BW774="","",Data!BW774)</f>
        <v>300</v>
      </c>
      <c r="E774" s="1456">
        <f>IF(Data!BX774="","",Data!BX774)</f>
        <v>540</v>
      </c>
      <c r="F774" s="1456">
        <f>IF(Data!BY774="","",Data!BY774)</f>
        <v>600</v>
      </c>
      <c r="G774" s="1433"/>
      <c r="H774" s="1533">
        <f>IF(H$46="","",IF('Exp factors'!$B73="poor",'Exp factors'!$G$73*H$46,SUM(C774)*'Exp factors'!C$73))</f>
        <v>800</v>
      </c>
      <c r="I774" s="1533">
        <f>IF(I$46="","",IF('Exp factors'!$B73="poor",'Exp factors'!$G$73*I$46,SUM(D774)*'Exp factors'!D$73))</f>
        <v>800</v>
      </c>
      <c r="J774" s="1533">
        <f>IF(J$46="","",IF('Exp factors'!$B73="poor",'Exp factors'!$G$73*J$46,SUM(E774)*'Exp factors'!E$73))</f>
        <v>800</v>
      </c>
      <c r="K774" s="1533">
        <f>IF(K$46="","",IF('Exp factors'!$B73="poor",'Exp factors'!$G$73*K$46,SUM(F774)*'Exp factors'!F$73))</f>
        <v>900</v>
      </c>
      <c r="L774" s="1561"/>
      <c r="M774" s="1562">
        <f t="shared" si="113"/>
        <v>500</v>
      </c>
      <c r="N774" s="1562">
        <f t="shared" si="113"/>
        <v>500</v>
      </c>
      <c r="O774" s="1562">
        <f t="shared" si="113"/>
        <v>260</v>
      </c>
      <c r="P774" s="1562">
        <f t="shared" si="113"/>
        <v>300</v>
      </c>
      <c r="Q774" s="1464" t="str">
        <f>'Exp factors'!I73</f>
        <v>lbpl</v>
      </c>
      <c r="R774" s="1445"/>
      <c r="S774" s="1446"/>
      <c r="T774" s="1446"/>
      <c r="U774" s="1394">
        <v>774</v>
      </c>
      <c r="V774" s="1421"/>
    </row>
    <row r="775" spans="1:22" ht="15.75" customHeight="1">
      <c r="A775" s="1494" t="str">
        <f>IF(Data!A775="","",Data!A775)</f>
        <v>Kerosene/electricity</v>
      </c>
      <c r="B775" s="1559"/>
      <c r="C775" s="1456">
        <f>IF(Data!BV775="","",Data!BV775)</f>
        <v>420</v>
      </c>
      <c r="D775" s="1456">
        <f>IF(Data!BW775="","",Data!BW775)</f>
        <v>420</v>
      </c>
      <c r="E775" s="1456">
        <f>IF(Data!BX775="","",Data!BX775)</f>
        <v>1200</v>
      </c>
      <c r="F775" s="1456">
        <f>IF(Data!BY775="","",Data!BY775)</f>
        <v>1800</v>
      </c>
      <c r="G775" s="1433"/>
      <c r="H775" s="1533">
        <f>IF(H$46="","",IF('Exp factors'!$B74="poor",'Exp factors'!$G$74*H$46,SUM(C775)*'Exp factors'!C$74))</f>
        <v>800</v>
      </c>
      <c r="I775" s="1533">
        <f>IF(I$46="","",IF('Exp factors'!$B74="poor",'Exp factors'!$G$74*I$46,SUM(D775)*'Exp factors'!D$74))</f>
        <v>800</v>
      </c>
      <c r="J775" s="1533">
        <f>IF(J$46="","",IF('Exp factors'!$B74="poor",'Exp factors'!$G$74*J$46,SUM(E775)*'Exp factors'!E$74))</f>
        <v>800</v>
      </c>
      <c r="K775" s="1533">
        <f>IF(K$46="","",IF('Exp factors'!$B74="poor",'Exp factors'!$G$74*K$46,SUM(F775)*'Exp factors'!F$74))</f>
        <v>900</v>
      </c>
      <c r="L775" s="1561"/>
      <c r="M775" s="1562">
        <f t="shared" si="113"/>
        <v>380</v>
      </c>
      <c r="N775" s="1562">
        <f t="shared" si="113"/>
        <v>380</v>
      </c>
      <c r="O775" s="1562">
        <f t="shared" si="113"/>
        <v>-400</v>
      </c>
      <c r="P775" s="1562">
        <f t="shared" si="113"/>
        <v>-900</v>
      </c>
      <c r="Q775" s="1464" t="str">
        <f>'Exp factors'!I74</f>
        <v>lbpl</v>
      </c>
      <c r="R775" s="1445"/>
      <c r="S775" s="1446"/>
      <c r="T775" s="1446"/>
      <c r="U775" s="1394">
        <v>775</v>
      </c>
      <c r="V775" s="1421"/>
    </row>
    <row r="776" spans="1:22" ht="15.75" customHeight="1">
      <c r="A776" s="1494" t="str">
        <f>IF(Data!A776="","",Data!A776)</f>
        <v>Grinding</v>
      </c>
      <c r="B776" s="1559"/>
      <c r="C776" s="1444" t="str">
        <f>IF(Data!BV776="","",Data!BV776)</f>
        <v/>
      </c>
      <c r="D776" s="1444" t="str">
        <f>IF(Data!BW776="","",Data!BW776)</f>
        <v/>
      </c>
      <c r="E776" s="1444" t="str">
        <f>IF(Data!BX776="","",Data!BX776)</f>
        <v/>
      </c>
      <c r="F776" s="1444" t="str">
        <f>IF(Data!BY776="","",Data!BY776)</f>
        <v/>
      </c>
      <c r="G776" s="1433"/>
      <c r="H776" s="1533">
        <f>IF(H$46="","",IF('Exp factors'!$B75="poor",'Exp factors'!$G$75*H$46,SUM(C776)*'Exp factors'!C$75))</f>
        <v>0</v>
      </c>
      <c r="I776" s="1533">
        <f>IF(I$46="","",IF('Exp factors'!$B75="poor",'Exp factors'!$G$75*I$46,SUM(D776)*'Exp factors'!D$75))</f>
        <v>0</v>
      </c>
      <c r="J776" s="1533">
        <f>IF(J$46="","",IF('Exp factors'!$B75="poor",'Exp factors'!$G$75*J$46,SUM(E776)*'Exp factors'!E$75))</f>
        <v>0</v>
      </c>
      <c r="K776" s="1533">
        <f>IF(K$46="","",IF('Exp factors'!$B75="poor",'Exp factors'!$G$75*K$46,SUM(F776)*'Exp factors'!F$75))</f>
        <v>0</v>
      </c>
      <c r="L776" s="1561"/>
      <c r="M776" s="1562">
        <f t="shared" si="113"/>
        <v>0</v>
      </c>
      <c r="N776" s="1562">
        <f t="shared" si="113"/>
        <v>0</v>
      </c>
      <c r="O776" s="1562">
        <f t="shared" si="113"/>
        <v>0</v>
      </c>
      <c r="P776" s="1562">
        <f t="shared" si="113"/>
        <v>0</v>
      </c>
      <c r="Q776" s="1464" t="str">
        <f>'Exp factors'!I75</f>
        <v>des</v>
      </c>
      <c r="R776" s="1445"/>
      <c r="S776" s="1446"/>
      <c r="T776" s="1446"/>
      <c r="U776" s="1394">
        <v>776</v>
      </c>
      <c r="V776" s="1421"/>
    </row>
    <row r="777" spans="1:22" ht="15.75" customHeight="1">
      <c r="A777" s="1494" t="str">
        <f>IF(Data!A777="","",Data!A777)</f>
        <v>Water for humans: name of local meas.</v>
      </c>
      <c r="B777" s="1559"/>
      <c r="C777" s="1444" t="str">
        <f>IF(Data!BV777="","",Data!BV777)</f>
        <v>litre</v>
      </c>
      <c r="D777" s="1444" t="str">
        <f>IF(Data!BW777="","",Data!BW777)</f>
        <v>litre</v>
      </c>
      <c r="E777" s="1444" t="str">
        <f>IF(Data!BX777="","",Data!BX777)</f>
        <v>litre</v>
      </c>
      <c r="F777" s="1444" t="str">
        <f>IF(Data!BY777="","",Data!BY777)</f>
        <v>litre</v>
      </c>
      <c r="G777" s="1433"/>
      <c r="H777" s="1427"/>
      <c r="I777" s="1427"/>
      <c r="J777" s="1427"/>
      <c r="K777" s="1427"/>
      <c r="L777" s="1561"/>
      <c r="M777" s="1563"/>
      <c r="N777" s="1563"/>
      <c r="O777" s="1563"/>
      <c r="P777" s="1563"/>
      <c r="Q777" s="1564">
        <f>SUMIF($Q$772:$Q$776,"lbpl",I$772:I$776)</f>
        <v>2040</v>
      </c>
      <c r="R777" s="1378"/>
      <c r="S777" s="1378"/>
      <c r="T777" s="1378"/>
      <c r="U777" s="1394">
        <v>777</v>
      </c>
      <c r="V777" s="1421"/>
    </row>
    <row r="778" spans="1:22" ht="15.75" customHeight="1">
      <c r="A778" s="1429" t="s">
        <v>282</v>
      </c>
      <c r="B778" s="1559"/>
      <c r="C778" s="1444" t="str">
        <f>IF(Data!BV778="","",Data!BV778)</f>
        <v/>
      </c>
      <c r="D778" s="1444" t="str">
        <f>IF(Data!BW778="","",Data!BW778)</f>
        <v/>
      </c>
      <c r="E778" s="1444" t="str">
        <f>IF(Data!BX778="","",Data!BX778)</f>
        <v/>
      </c>
      <c r="F778" s="1444" t="str">
        <f>IF(Data!BY778="","",Data!BY778)</f>
        <v/>
      </c>
      <c r="G778" s="1433"/>
      <c r="H778" s="1533">
        <f>IF(H$46="","",IF('Exp factors'!$B90="poor",'Exp factors'!$G$90*H$46,SUM(C778)*'Exp factors'!C$90))</f>
        <v>133.33333333333334</v>
      </c>
      <c r="I778" s="1533">
        <f>IF(I$46="","",IF('Exp factors'!$B90="poor",'Exp factors'!$G$90*I$46,SUM(D778)*'Exp factors'!D$90))</f>
        <v>133.33333333333334</v>
      </c>
      <c r="J778" s="1533">
        <f>IF(J$46="","",IF('Exp factors'!$B90="poor",'Exp factors'!$G$90*J$46,SUM(E778)*'Exp factors'!E$90))</f>
        <v>133.33333333333334</v>
      </c>
      <c r="K778" s="1533">
        <f>IF(K$46="","",IF('Exp factors'!$B90="poor",'Exp factors'!$G$90*K$46,SUM(F778)*'Exp factors'!F$90))</f>
        <v>150</v>
      </c>
      <c r="L778" s="1561"/>
      <c r="M778" s="1563"/>
      <c r="N778" s="1563"/>
      <c r="O778" s="1563"/>
      <c r="P778" s="1563"/>
      <c r="Q778" s="1464">
        <f>+SUMIF($Q$781:$Q$785,"lbpl",I$781:I$785)</f>
        <v>1600</v>
      </c>
      <c r="R778" s="1445"/>
      <c r="S778" s="1446"/>
      <c r="T778" s="1446"/>
      <c r="U778" s="1394">
        <v>778</v>
      </c>
      <c r="V778" s="1421"/>
    </row>
    <row r="779" spans="1:22" ht="15.75" customHeight="1">
      <c r="A779" s="1429" t="s">
        <v>283</v>
      </c>
      <c r="B779" s="1559"/>
      <c r="C779" s="1444">
        <f>IF(SUM(Data!BV779)=0,"",Data!BV779)</f>
        <v>12</v>
      </c>
      <c r="D779" s="1444">
        <f>IF(SUM(Data!BW779)=0,"",Data!BW779)</f>
        <v>12</v>
      </c>
      <c r="E779" s="1444">
        <f>IF(SUM(Data!BX779)=0,"",Data!BX779)</f>
        <v>12</v>
      </c>
      <c r="F779" s="1444">
        <f>IF(SUM(Data!BY779)=0,"",Data!BY779)</f>
        <v>12</v>
      </c>
      <c r="G779" s="1433"/>
      <c r="H779" s="1533">
        <f>IF(H$46="","",IF('Exp factors'!$B90="poor",SUM($D779),SUM(C779)))</f>
        <v>12</v>
      </c>
      <c r="I779" s="1533">
        <f>IF(I$46="","",IF('Exp factors'!$B90="poor",SUM($D779),SUM(D779)))</f>
        <v>12</v>
      </c>
      <c r="J779" s="1533">
        <f>IF(J$46="","",IF('Exp factors'!$B90="poor",SUM($D779),SUM(E779)))</f>
        <v>12</v>
      </c>
      <c r="K779" s="1533">
        <f>IF(K$46="","",IF('Exp factors'!$B90="poor",SUM($D779),SUM(F779)))</f>
        <v>12</v>
      </c>
      <c r="L779" s="1561"/>
      <c r="M779" s="1563"/>
      <c r="N779" s="1563"/>
      <c r="O779" s="1563"/>
      <c r="P779" s="1563"/>
      <c r="Q779" s="1565">
        <f>+SUMIF($Q$790:$Q$810,"lbpl",I$790:I$810)</f>
        <v>10338.666666666668</v>
      </c>
      <c r="R779" s="1445"/>
      <c r="S779" s="1446"/>
      <c r="T779" s="1446"/>
      <c r="U779" s="1394">
        <v>779</v>
      </c>
      <c r="V779" s="1421"/>
    </row>
    <row r="780" spans="1:22" ht="15.75" customHeight="1">
      <c r="A780" s="1429" t="s">
        <v>339</v>
      </c>
      <c r="B780" s="1559"/>
      <c r="C780" s="1444" t="str">
        <f>IF(Data!BV780="","",Data!BV780)</f>
        <v/>
      </c>
      <c r="D780" s="1444" t="str">
        <f>IF(Data!BW780="","",Data!BW780)</f>
        <v/>
      </c>
      <c r="E780" s="1444" t="str">
        <f>IF(Data!BX780="","",Data!BX780)</f>
        <v/>
      </c>
      <c r="F780" s="1444" t="str">
        <f>IF(Data!BY780="","",Data!BY780)</f>
        <v/>
      </c>
      <c r="G780" s="1433"/>
      <c r="H780" s="1427"/>
      <c r="I780" s="1427"/>
      <c r="J780" s="1427"/>
      <c r="K780" s="1427"/>
      <c r="L780" s="1561"/>
      <c r="M780" s="1563"/>
      <c r="N780" s="1563"/>
      <c r="O780" s="1563"/>
      <c r="P780" s="1563"/>
      <c r="Q780" s="1566">
        <f>SUM(Q777:Q779)</f>
        <v>13978.666666666668</v>
      </c>
      <c r="R780" s="1445"/>
      <c r="S780" s="1446"/>
      <c r="T780" s="1446"/>
      <c r="U780" s="1394">
        <v>780</v>
      </c>
      <c r="V780" s="1421"/>
    </row>
    <row r="781" spans="1:22" ht="15.75" customHeight="1">
      <c r="A781" s="1429" t="s">
        <v>286</v>
      </c>
      <c r="B781" s="1559"/>
      <c r="C781" s="1454" t="str">
        <f>IF(SUM(C778)=0,"",C778*C779*C780)</f>
        <v/>
      </c>
      <c r="D781" s="1454" t="str">
        <f>IF(SUM(D778)=0,"",D778*D779*D780)</f>
        <v/>
      </c>
      <c r="E781" s="1454" t="str">
        <f>IF(SUM(E778)=0,"",E778*E779*E780)</f>
        <v/>
      </c>
      <c r="F781" s="1454" t="str">
        <f>IF(SUM(F778)=0,"",F778*F779*F780)</f>
        <v/>
      </c>
      <c r="G781" s="1507"/>
      <c r="H781" s="1454" t="str">
        <f>IF(SUM(H778)*SUM(H779)*SUM(C780)=0,"",H778*H779*C780)</f>
        <v/>
      </c>
      <c r="I781" s="1454" t="str">
        <f t="shared" ref="I781:K781" si="114">IF(SUM(I778)*SUM(I779)*SUM(D780)=0,"",I778*I779*D780)</f>
        <v/>
      </c>
      <c r="J781" s="1454" t="str">
        <f t="shared" si="114"/>
        <v/>
      </c>
      <c r="K781" s="1454" t="str">
        <f t="shared" si="114"/>
        <v/>
      </c>
      <c r="L781" s="1567"/>
      <c r="M781" s="1562" t="str">
        <f t="shared" ref="M781:P785" si="115">IF(H781="","",SUM(H781)-SUM(C781))</f>
        <v/>
      </c>
      <c r="N781" s="1562" t="str">
        <f t="shared" si="115"/>
        <v/>
      </c>
      <c r="O781" s="1562" t="str">
        <f t="shared" si="115"/>
        <v/>
      </c>
      <c r="P781" s="1562" t="str">
        <f t="shared" si="115"/>
        <v/>
      </c>
      <c r="Q781" s="1464" t="str">
        <f>'Exp factors'!I90</f>
        <v>lbpl</v>
      </c>
      <c r="R781" s="1445"/>
      <c r="S781" s="1446"/>
      <c r="T781" s="1446"/>
      <c r="U781" s="1394">
        <v>781</v>
      </c>
      <c r="V781" s="1421"/>
    </row>
    <row r="782" spans="1:22" ht="15.75" customHeight="1">
      <c r="A782" s="1494" t="str">
        <f>IF(Data!A782="","",Data!A782)</f>
        <v>Firewood</v>
      </c>
      <c r="B782" s="1559"/>
      <c r="C782" s="1444" t="str">
        <f>IF(Data!BV782="","",Data!BV782)</f>
        <v/>
      </c>
      <c r="D782" s="1444" t="str">
        <f>IF(Data!BW782="","",Data!BW782)</f>
        <v/>
      </c>
      <c r="E782" s="1444" t="str">
        <f>IF(Data!BX782="","",Data!BX782)</f>
        <v/>
      </c>
      <c r="F782" s="1444" t="str">
        <f>IF(Data!BY782="","",Data!BY782)</f>
        <v/>
      </c>
      <c r="G782" s="1433"/>
      <c r="H782" s="1533">
        <f>IF(H$46="","",IF('Exp factors'!$B76="poor",'Exp factors'!$G$76*H$46,SUM(C782)*'Exp factors'!C$76))</f>
        <v>1600</v>
      </c>
      <c r="I782" s="1533">
        <f>IF(I$46="","",IF('Exp factors'!$B76="poor",'Exp factors'!$G$76*I$46,SUM(D782)*'Exp factors'!D$76))</f>
        <v>1600</v>
      </c>
      <c r="J782" s="1533">
        <f>IF(J$46="","",IF('Exp factors'!$B76="poor",'Exp factors'!$G$76*J$46,SUM(E782)*'Exp factors'!E$76))</f>
        <v>1600</v>
      </c>
      <c r="K782" s="1533">
        <f>IF(K$46="","",IF('Exp factors'!$B76="poor",'Exp factors'!$G$76*K$46,SUM(F782)*'Exp factors'!F$76))</f>
        <v>1800</v>
      </c>
      <c r="L782" s="1561"/>
      <c r="M782" s="1562">
        <f t="shared" si="115"/>
        <v>1600</v>
      </c>
      <c r="N782" s="1562">
        <f t="shared" si="115"/>
        <v>1600</v>
      </c>
      <c r="O782" s="1562">
        <f t="shared" si="115"/>
        <v>1600</v>
      </c>
      <c r="P782" s="1562">
        <f t="shared" si="115"/>
        <v>1800</v>
      </c>
      <c r="Q782" s="1464" t="str">
        <f>'Exp factors'!I76</f>
        <v>lbpl</v>
      </c>
      <c r="R782" s="1445"/>
      <c r="S782" s="1446"/>
      <c r="T782" s="1446"/>
      <c r="U782" s="1394">
        <v>782</v>
      </c>
      <c r="V782" s="1421"/>
    </row>
    <row r="783" spans="1:22" ht="15.75" customHeight="1">
      <c r="A783" s="1494" t="str">
        <f>IF(Data!A783="","",Data!A783)</f>
        <v>Utensils</v>
      </c>
      <c r="B783" s="1559"/>
      <c r="C783" s="1444" t="str">
        <f>IF(Data!BV783="","",Data!BV783)</f>
        <v/>
      </c>
      <c r="D783" s="1444">
        <f>IF(Data!BW783="","",Data!BW783)</f>
        <v>60</v>
      </c>
      <c r="E783" s="1444">
        <f>IF(Data!BX783="","",Data!BX783)</f>
        <v>60</v>
      </c>
      <c r="F783" s="1444">
        <f>IF(Data!BY783="","",Data!BY783)</f>
        <v>60</v>
      </c>
      <c r="G783" s="1433"/>
      <c r="H783" s="1533">
        <f>IF(H$46="","",IF('Exp factors'!$B77="poor",'Exp factors'!$G$77*H$46,SUM(C783)*'Exp factors'!C$77))</f>
        <v>0</v>
      </c>
      <c r="I783" s="1533">
        <f>IF(I$46="","",IF('Exp factors'!$B77="poor",'Exp factors'!$G$77*I$46,SUM(D783)*'Exp factors'!D$77))</f>
        <v>60</v>
      </c>
      <c r="J783" s="1533">
        <f>IF(J$46="","",IF('Exp factors'!$B77="poor",'Exp factors'!$G$77*J$46,SUM(E783)*'Exp factors'!E$77))</f>
        <v>60</v>
      </c>
      <c r="K783" s="1533">
        <f>IF(K$46="","",IF('Exp factors'!$B77="poor",'Exp factors'!$G$77*K$46,SUM(F783)*'Exp factors'!F$77))</f>
        <v>60</v>
      </c>
      <c r="L783" s="1561"/>
      <c r="M783" s="1562">
        <f t="shared" si="115"/>
        <v>0</v>
      </c>
      <c r="N783" s="1562">
        <f t="shared" si="115"/>
        <v>0</v>
      </c>
      <c r="O783" s="1562">
        <f t="shared" si="115"/>
        <v>0</v>
      </c>
      <c r="P783" s="1562">
        <f t="shared" si="115"/>
        <v>0</v>
      </c>
      <c r="Q783" s="1464" t="str">
        <f>'Exp factors'!I77</f>
        <v>des</v>
      </c>
      <c r="R783" s="1445"/>
      <c r="S783" s="1446"/>
      <c r="T783" s="1446"/>
      <c r="U783" s="1394">
        <v>783</v>
      </c>
      <c r="V783" s="1421"/>
    </row>
    <row r="784" spans="1:22" ht="15.75" customHeight="1">
      <c r="A784" s="1494" t="str">
        <f>IF(Data!A784="","",Data!A784)</f>
        <v>Animal drugs</v>
      </c>
      <c r="B784" s="1559"/>
      <c r="C784" s="1444" t="str">
        <f>IF(Data!BV784="","",Data!BV784)</f>
        <v/>
      </c>
      <c r="D784" s="1444">
        <f>IF(Data!BW784="","",Data!BW784)</f>
        <v>480</v>
      </c>
      <c r="E784" s="1444">
        <f>IF(Data!BX784="","",Data!BX784)</f>
        <v>750</v>
      </c>
      <c r="F784" s="1444">
        <f>IF(Data!BY784="","",Data!BY784)</f>
        <v>1500</v>
      </c>
      <c r="G784" s="1433"/>
      <c r="H784" s="1533">
        <f>IF(H$46="","",IF('Exp factors'!$B96="poor",'Exp factors'!$G$96*H$46,SUM(C784)*'Exp factors'!C$96))</f>
        <v>0</v>
      </c>
      <c r="I784" s="1533">
        <f>IF(I$46="","",IF('Exp factors'!$B96="poor",'Exp factors'!$G$96*I$46,SUM(D784)*'Exp factors'!D$96))</f>
        <v>480</v>
      </c>
      <c r="J784" s="1533">
        <f>IF(J$46="","",IF('Exp factors'!$B96="poor",'Exp factors'!$G$96*J$46,SUM(E784)*'Exp factors'!E$96))</f>
        <v>750</v>
      </c>
      <c r="K784" s="1533">
        <f>IF(K$46="","",IF('Exp factors'!$B96="poor",'Exp factors'!$G$96*K$46,SUM(F784)*'Exp factors'!F$96))</f>
        <v>1500</v>
      </c>
      <c r="L784" s="1561"/>
      <c r="M784" s="1562">
        <f t="shared" si="115"/>
        <v>0</v>
      </c>
      <c r="N784" s="1562">
        <f t="shared" si="115"/>
        <v>0</v>
      </c>
      <c r="O784" s="1562">
        <f t="shared" si="115"/>
        <v>0</v>
      </c>
      <c r="P784" s="1562">
        <f t="shared" si="115"/>
        <v>0</v>
      </c>
      <c r="Q784" s="1464" t="str">
        <f>'Exp factors'!I96</f>
        <v>des</v>
      </c>
      <c r="R784" s="1445"/>
      <c r="S784" s="1446"/>
      <c r="T784" s="1446"/>
      <c r="U784" s="1394">
        <v>784</v>
      </c>
      <c r="V784" s="1421"/>
    </row>
    <row r="785" spans="1:22" ht="15.75" customHeight="1">
      <c r="A785" s="1494" t="str">
        <f>IF(Data!A785="","",Data!A785)</f>
        <v>Animal supplements</v>
      </c>
      <c r="B785" s="1559"/>
      <c r="C785" s="1444" t="str">
        <f>IF(Data!BV785="","",Data!BV785)</f>
        <v/>
      </c>
      <c r="D785" s="1444" t="str">
        <f>IF(Data!BW785="","",Data!BW785)</f>
        <v/>
      </c>
      <c r="E785" s="1444" t="str">
        <f>IF(Data!BX785="","",Data!BX785)</f>
        <v/>
      </c>
      <c r="F785" s="1444" t="str">
        <f>IF(Data!BY785="","",Data!BY785)</f>
        <v/>
      </c>
      <c r="G785" s="1433"/>
      <c r="H785" s="1533">
        <f>IF(H$46="","",IF('Exp factors'!$B97="poor",'Exp factors'!$G$97*H$46,SUM(C785)*'Exp factors'!C$97))</f>
        <v>0</v>
      </c>
      <c r="I785" s="1533">
        <f>IF(I$46="","",IF('Exp factors'!$B97="poor",'Exp factors'!$G$97*I$46,SUM(D785)*'Exp factors'!D$97))</f>
        <v>0</v>
      </c>
      <c r="J785" s="1533">
        <f>IF(J$46="","",IF('Exp factors'!$B97="poor",'Exp factors'!$G$97*J$46,SUM(E785)*'Exp factors'!E$97))</f>
        <v>0</v>
      </c>
      <c r="K785" s="1533">
        <f>IF(K$46="","",IF('Exp factors'!$B97="poor",'Exp factors'!$G$97*K$46,SUM(F785)*'Exp factors'!F$97))</f>
        <v>0</v>
      </c>
      <c r="L785" s="1561"/>
      <c r="M785" s="1562">
        <f t="shared" si="115"/>
        <v>0</v>
      </c>
      <c r="N785" s="1562">
        <f t="shared" si="115"/>
        <v>0</v>
      </c>
      <c r="O785" s="1562">
        <f t="shared" si="115"/>
        <v>0</v>
      </c>
      <c r="P785" s="1562">
        <f t="shared" si="115"/>
        <v>0</v>
      </c>
      <c r="Q785" s="1464" t="str">
        <f>'Exp factors'!I97</f>
        <v>des</v>
      </c>
      <c r="R785" s="1445"/>
      <c r="S785" s="1446"/>
      <c r="T785" s="1446"/>
      <c r="U785" s="1394">
        <v>785</v>
      </c>
      <c r="V785" s="1421"/>
    </row>
    <row r="786" spans="1:22" ht="15.75" customHeight="1">
      <c r="A786" s="1494" t="str">
        <f>IF(Data!A786="","",Data!A786)</f>
        <v>Water for animals: name of local meas.</v>
      </c>
      <c r="B786" s="1559"/>
      <c r="C786" s="1444" t="str">
        <f>IF(Data!BV786="","",Data!BV786)</f>
        <v>litre</v>
      </c>
      <c r="D786" s="1444" t="str">
        <f>IF(Data!BW786="","",Data!BW786)</f>
        <v>litre</v>
      </c>
      <c r="E786" s="1444" t="str">
        <f>IF(Data!BX786="","",Data!BX786)</f>
        <v>litre</v>
      </c>
      <c r="F786" s="1444" t="str">
        <f>IF(Data!BY786="","",Data!BY786)</f>
        <v>litre</v>
      </c>
      <c r="G786" s="1433"/>
      <c r="H786" s="1427"/>
      <c r="I786" s="1427"/>
      <c r="J786" s="1427"/>
      <c r="K786" s="1427"/>
      <c r="L786" s="1561"/>
      <c r="M786" s="1563"/>
      <c r="N786" s="1563"/>
      <c r="O786" s="1563"/>
      <c r="P786" s="1563"/>
      <c r="Q786" s="1464"/>
      <c r="R786" s="1378"/>
      <c r="S786" s="1378"/>
      <c r="T786" s="1378"/>
      <c r="U786" s="1394">
        <v>786</v>
      </c>
      <c r="V786" s="1421"/>
    </row>
    <row r="787" spans="1:22" ht="15.75" customHeight="1">
      <c r="A787" s="1429" t="s">
        <v>282</v>
      </c>
      <c r="B787" s="1559"/>
      <c r="C787" s="1444" t="str">
        <f>IF(Data!BV787="","",Data!BV787)</f>
        <v/>
      </c>
      <c r="D787" s="1444" t="str">
        <f>IF(Data!BW787="","",Data!BW787)</f>
        <v/>
      </c>
      <c r="E787" s="1444" t="str">
        <f>IF(Data!BX787="","",Data!BX787)</f>
        <v/>
      </c>
      <c r="F787" s="1444" t="str">
        <f>IF(Data!BY787="","",Data!BY787)</f>
        <v/>
      </c>
      <c r="G787" s="1433"/>
      <c r="H787" s="1533">
        <f>IF(H$46="","",IF('Exp factors'!$B91="poor",'Exp factors'!$G$91*H$46,SUM(C787)*'Exp factors'!C$91))</f>
        <v>0</v>
      </c>
      <c r="I787" s="1533">
        <f>IF(I$46="","",IF('Exp factors'!$B91="poor",'Exp factors'!$G$91*I$46,SUM(D787)*'Exp factors'!D$91))</f>
        <v>0</v>
      </c>
      <c r="J787" s="1533">
        <f>IF(J$46="","",IF('Exp factors'!$B91="poor",'Exp factors'!$G$91*J$46,SUM(E787)*'Exp factors'!E$91))</f>
        <v>0</v>
      </c>
      <c r="K787" s="1533">
        <f>IF(K$46="","",IF('Exp factors'!$B91="poor",'Exp factors'!$G$91*K$46,SUM(F787)*'Exp factors'!F$91))</f>
        <v>0</v>
      </c>
      <c r="L787" s="1561"/>
      <c r="M787" s="1563"/>
      <c r="N787" s="1563"/>
      <c r="O787" s="1563"/>
      <c r="P787" s="1563"/>
      <c r="R787" s="1445"/>
      <c r="S787" s="1446"/>
      <c r="T787" s="1446"/>
      <c r="U787" s="1394">
        <v>787</v>
      </c>
      <c r="V787" s="1421"/>
    </row>
    <row r="788" spans="1:22" ht="15.75" customHeight="1">
      <c r="A788" s="1429" t="s">
        <v>283</v>
      </c>
      <c r="B788" s="1559"/>
      <c r="C788" s="1444" t="str">
        <f>IF(SUM(Data!BV788)=0,"",Data!BV788)</f>
        <v/>
      </c>
      <c r="D788" s="1444" t="str">
        <f>IF(SUM(Data!BW788)=0,"",Data!BW788)</f>
        <v/>
      </c>
      <c r="E788" s="1444" t="str">
        <f>IF(SUM(Data!BX788)=0,"",Data!BX788)</f>
        <v/>
      </c>
      <c r="F788" s="1444" t="str">
        <f>IF(SUM(Data!BY788)=0,"",Data!BY788)</f>
        <v/>
      </c>
      <c r="G788" s="1433"/>
      <c r="H788" s="1533">
        <f>IF(H$46="","",IF('Exp factors'!$B87="poor",$D788,SUM(C788)))</f>
        <v>0</v>
      </c>
      <c r="I788" s="1533">
        <f>IF(I$46="","",IF('Exp factors'!$B87="poor",$D788,SUM(D788)))</f>
        <v>0</v>
      </c>
      <c r="J788" s="1533">
        <f>IF(J$46="","",IF('Exp factors'!$B87="poor",$D788,SUM(E788)))</f>
        <v>0</v>
      </c>
      <c r="K788" s="1533">
        <f>IF(K$46="","",IF('Exp factors'!$B87="poor",$D788,SUM(F788)))</f>
        <v>0</v>
      </c>
      <c r="L788" s="1561"/>
      <c r="M788" s="1563"/>
      <c r="N788" s="1563"/>
      <c r="O788" s="1563"/>
      <c r="P788" s="1563"/>
      <c r="Q788" s="1464"/>
      <c r="R788" s="1445"/>
      <c r="S788" s="1446"/>
      <c r="T788" s="1446"/>
      <c r="U788" s="1394">
        <v>788</v>
      </c>
      <c r="V788" s="1421"/>
    </row>
    <row r="789" spans="1:22" ht="15.75" customHeight="1">
      <c r="A789" s="1429" t="s">
        <v>339</v>
      </c>
      <c r="B789" s="1559"/>
      <c r="C789" s="1444" t="str">
        <f>IF(Data!BV789="","",Data!BV789)</f>
        <v/>
      </c>
      <c r="D789" s="1444" t="str">
        <f>IF(Data!BW789="","",Data!BW789)</f>
        <v/>
      </c>
      <c r="E789" s="1444" t="str">
        <f>IF(Data!BX789="","",Data!BX789)</f>
        <v/>
      </c>
      <c r="F789" s="1444" t="str">
        <f>IF(Data!BY789="","",Data!BY789)</f>
        <v/>
      </c>
      <c r="G789" s="1433"/>
      <c r="H789" s="1427"/>
      <c r="I789" s="1427"/>
      <c r="J789" s="1427"/>
      <c r="K789" s="1427"/>
      <c r="L789" s="1561"/>
      <c r="M789" s="1563"/>
      <c r="N789" s="1563"/>
      <c r="O789" s="1563"/>
      <c r="P789" s="1563"/>
      <c r="Q789" s="1464"/>
      <c r="R789" s="1445"/>
      <c r="S789" s="1446"/>
      <c r="T789" s="1446"/>
      <c r="U789" s="1394">
        <v>789</v>
      </c>
      <c r="V789" s="1421"/>
    </row>
    <row r="790" spans="1:22" ht="15.75" customHeight="1">
      <c r="A790" s="1429" t="s">
        <v>286</v>
      </c>
      <c r="B790" s="1559"/>
      <c r="C790" s="1454" t="str">
        <f>IF(SUM(C787)=0,"",C787*C788*C789)</f>
        <v/>
      </c>
      <c r="D790" s="1454" t="str">
        <f>IF(SUM(D787)=0,"",D787*D788*D789)</f>
        <v/>
      </c>
      <c r="E790" s="1454" t="str">
        <f>IF(SUM(E787)=0,"",E787*E788*E789)</f>
        <v/>
      </c>
      <c r="F790" s="1454" t="str">
        <f>IF(SUM(F787)=0,"",F787*F788*F789)</f>
        <v/>
      </c>
      <c r="G790" s="1507"/>
      <c r="H790" s="1454" t="str">
        <f>IF(H788=0,"",H787*H788*C789)</f>
        <v/>
      </c>
      <c r="I790" s="1454" t="str">
        <f>IF(I788=0,"",I787*I788*D789)</f>
        <v/>
      </c>
      <c r="J790" s="1454" t="str">
        <f>IF(J788=0,"",J787*J788*E789)</f>
        <v/>
      </c>
      <c r="K790" s="1454" t="str">
        <f>IF(K788=0,"",K787*K788*F789)</f>
        <v/>
      </c>
      <c r="L790" s="1567"/>
      <c r="M790" s="1562" t="str">
        <f t="shared" ref="M790:M810" si="116">IF(H790="","",SUM(H790)-SUM(C790))</f>
        <v/>
      </c>
      <c r="N790" s="1562" t="str">
        <f t="shared" ref="N790:P810" si="117">IF(I790="","",SUM(I790)-SUM(D790))</f>
        <v/>
      </c>
      <c r="O790" s="1562" t="str">
        <f t="shared" si="117"/>
        <v/>
      </c>
      <c r="P790" s="1562" t="str">
        <f t="shared" si="117"/>
        <v/>
      </c>
      <c r="Q790" s="1464" t="str">
        <f>'Exp factors'!I91</f>
        <v>des</v>
      </c>
      <c r="R790" s="1445"/>
      <c r="S790" s="1446"/>
      <c r="T790" s="1446"/>
      <c r="U790" s="1394">
        <v>790</v>
      </c>
      <c r="V790" s="1421"/>
    </row>
    <row r="791" spans="1:22" ht="15.75" customHeight="1">
      <c r="A791" s="1494" t="str">
        <f>IF(Data!A791="","",Data!A791)</f>
        <v>Ploughing</v>
      </c>
      <c r="B791" s="1559"/>
      <c r="C791" s="1444">
        <f>IF(Data!BV791="","",Data!BV791)</f>
        <v>850</v>
      </c>
      <c r="D791" s="1444">
        <f>IF(Data!BW791="","",Data!BW791)</f>
        <v>900</v>
      </c>
      <c r="E791" s="1444">
        <f>IF(Data!BX791="","",Data!BX791)</f>
        <v>1000</v>
      </c>
      <c r="F791" s="1444">
        <f>IF(Data!BY791="","",Data!BY791)</f>
        <v>1500</v>
      </c>
      <c r="G791" s="1433"/>
      <c r="H791" s="1568">
        <f>IF(H$46="","",IF('Exp factors'!$B98="poor",'Exp factors'!$G$98*H$46,SUM(C791)*'Exp factors'!C$98))</f>
        <v>850</v>
      </c>
      <c r="I791" s="1568">
        <f>IF(I$46="","",IF('Exp factors'!$B98="poor",'Exp factors'!$G$98*I$46,SUM(D791)*'Exp factors'!D$98))</f>
        <v>900</v>
      </c>
      <c r="J791" s="1568">
        <f>IF(J$46="","",IF('Exp factors'!$B98="poor",'Exp factors'!$G$98*J$46,SUM(E791)*'Exp factors'!E$98))</f>
        <v>1000</v>
      </c>
      <c r="K791" s="1568">
        <f>IF(K$46="","",IF('Exp factors'!$B98="poor",'Exp factors'!$G$98*K$46,SUM(F791)*'Exp factors'!F$98))</f>
        <v>1500</v>
      </c>
      <c r="L791" s="1561"/>
      <c r="M791" s="1569">
        <f t="shared" si="116"/>
        <v>0</v>
      </c>
      <c r="N791" s="1569">
        <f t="shared" si="117"/>
        <v>0</v>
      </c>
      <c r="O791" s="1569">
        <f t="shared" si="117"/>
        <v>0</v>
      </c>
      <c r="P791" s="1569">
        <f t="shared" si="117"/>
        <v>0</v>
      </c>
      <c r="Q791" s="1464" t="str">
        <f>'Exp factors'!I98</f>
        <v>des</v>
      </c>
      <c r="R791" s="1445"/>
      <c r="S791" s="1446"/>
      <c r="T791" s="1446"/>
      <c r="U791" s="1394">
        <v>791</v>
      </c>
      <c r="V791" s="1421"/>
    </row>
    <row r="792" spans="1:22" ht="15.75" customHeight="1">
      <c r="A792" s="1494" t="str">
        <f>IF(Data!A792="","",Data!A792)</f>
        <v>Seeds</v>
      </c>
      <c r="B792" s="1559"/>
      <c r="C792" s="1444">
        <f>IF(Data!BV792="","",Data!BV792)</f>
        <v>350</v>
      </c>
      <c r="D792" s="1444">
        <f>IF(Data!BW792="","",Data!BW792)</f>
        <v>350</v>
      </c>
      <c r="E792" s="1444">
        <f>IF(Data!BX792="","",Data!BX792)</f>
        <v>350</v>
      </c>
      <c r="F792" s="1444">
        <f>IF(Data!BY792="","",Data!BY792)</f>
        <v>350</v>
      </c>
      <c r="G792" s="1431"/>
      <c r="H792" s="1568">
        <f>IF(H$46="","",IF('Exp factors'!$B99="poor",'Exp factors'!$G$99*H$46,SUM(C792)*'Exp factors'!C$99))</f>
        <v>350</v>
      </c>
      <c r="I792" s="1568">
        <f>IF(I$46="","",IF('Exp factors'!$B99="poor",'Exp factors'!$G$99*I$46,SUM(D792)*'Exp factors'!D$99))</f>
        <v>350</v>
      </c>
      <c r="J792" s="1568">
        <f>IF(J$46="","",IF('Exp factors'!$B99="poor",'Exp factors'!$G$99*J$46,SUM(E792)*'Exp factors'!E$99))</f>
        <v>350</v>
      </c>
      <c r="K792" s="1568">
        <f>IF(K$46="","",IF('Exp factors'!$B99="poor",'Exp factors'!$G$99*K$46,SUM(F792)*'Exp factors'!F$99))</f>
        <v>350</v>
      </c>
      <c r="L792" s="1570"/>
      <c r="M792" s="1569">
        <f t="shared" si="116"/>
        <v>0</v>
      </c>
      <c r="N792" s="1569">
        <f t="shared" si="117"/>
        <v>0</v>
      </c>
      <c r="O792" s="1569">
        <f t="shared" si="117"/>
        <v>0</v>
      </c>
      <c r="P792" s="1569">
        <f t="shared" si="117"/>
        <v>0</v>
      </c>
      <c r="Q792" s="1464" t="str">
        <f>'Exp factors'!I99</f>
        <v>des</v>
      </c>
      <c r="R792" s="1445"/>
      <c r="S792" s="1446"/>
      <c r="T792" s="1446"/>
      <c r="U792" s="1394">
        <v>792</v>
      </c>
      <c r="V792" s="1421"/>
    </row>
    <row r="793" spans="1:22" ht="15.75" customHeight="1">
      <c r="A793" s="1494" t="str">
        <f>IF(Data!A793="","",Data!A793)</f>
        <v>Fertilizer</v>
      </c>
      <c r="B793" s="1559"/>
      <c r="C793" s="1444" t="str">
        <f>IF(Data!BV793="","",Data!BV793)</f>
        <v/>
      </c>
      <c r="D793" s="1444" t="str">
        <f>IF(Data!BW793="","",Data!BW793)</f>
        <v/>
      </c>
      <c r="E793" s="1444" t="str">
        <f>IF(Data!BX793="","",Data!BX793)</f>
        <v/>
      </c>
      <c r="F793" s="1444" t="str">
        <f>IF(Data!BY793="","",Data!BY793)</f>
        <v/>
      </c>
      <c r="G793" s="1461"/>
      <c r="H793" s="1568">
        <f>IF(H$46="","",IF('Exp factors'!$B100="poor",'Exp factors'!$G$100*H$46,SUM(C793)*'Exp factors'!C$100))</f>
        <v>0</v>
      </c>
      <c r="I793" s="1568">
        <f>IF(I$46="","",IF('Exp factors'!$B100="poor",'Exp factors'!$G$100*I$46,SUM(D793)*'Exp factors'!D$100))</f>
        <v>0</v>
      </c>
      <c r="J793" s="1568">
        <f>IF(J$46="","",IF('Exp factors'!$B100="poor",'Exp factors'!$G$100*J$46,SUM(E793)*'Exp factors'!E$100))</f>
        <v>0</v>
      </c>
      <c r="K793" s="1568">
        <f>IF(K$46="","",IF('Exp factors'!$B100="poor",'Exp factors'!$G$100*K$46,SUM(F793)*'Exp factors'!F$100))</f>
        <v>0</v>
      </c>
      <c r="L793" s="1570"/>
      <c r="M793" s="1569">
        <f t="shared" si="116"/>
        <v>0</v>
      </c>
      <c r="N793" s="1569">
        <f t="shared" si="117"/>
        <v>0</v>
      </c>
      <c r="O793" s="1569">
        <f t="shared" si="117"/>
        <v>0</v>
      </c>
      <c r="P793" s="1569">
        <f t="shared" si="117"/>
        <v>0</v>
      </c>
      <c r="Q793" s="1464" t="str">
        <f>'Exp factors'!I100</f>
        <v>des</v>
      </c>
      <c r="R793" s="1445"/>
      <c r="S793" s="1446"/>
      <c r="T793" s="1446"/>
      <c r="U793" s="1394">
        <v>793</v>
      </c>
      <c r="V793" s="1421"/>
    </row>
    <row r="794" spans="1:22" ht="15.75" customHeight="1">
      <c r="A794" s="1494" t="str">
        <f>IF(Data!A794="","",Data!A794)</f>
        <v>Pesticides</v>
      </c>
      <c r="B794" s="1559"/>
      <c r="C794" s="1444" t="str">
        <f>IF(Data!BV794="","",Data!BV794)</f>
        <v/>
      </c>
      <c r="D794" s="1444" t="str">
        <f>IF(Data!BW794="","",Data!BW794)</f>
        <v/>
      </c>
      <c r="E794" s="1444" t="str">
        <f>IF(Data!BX794="","",Data!BX794)</f>
        <v/>
      </c>
      <c r="F794" s="1444" t="str">
        <f>IF(Data!BY794="","",Data!BY794)</f>
        <v/>
      </c>
      <c r="G794" s="1431"/>
      <c r="H794" s="1568">
        <f>IF(H$46="","",IF('Exp factors'!$B101="poor",'Exp factors'!$G$101*H$46,SUM(C794)*'Exp factors'!C$101))</f>
        <v>0</v>
      </c>
      <c r="I794" s="1568">
        <f>IF(I$46="","",IF('Exp factors'!$B101="poor",'Exp factors'!$G$101*I$46,SUM(D794)*'Exp factors'!D$101))</f>
        <v>0</v>
      </c>
      <c r="J794" s="1568">
        <f>IF(J$46="","",IF('Exp factors'!$B101="poor",'Exp factors'!$G$101*J$46,SUM(E794)*'Exp factors'!E$101))</f>
        <v>0</v>
      </c>
      <c r="K794" s="1568">
        <f>IF(K$46="","",IF('Exp factors'!$B101="poor",'Exp factors'!$G$101*K$46,SUM(F794)*'Exp factors'!F$101))</f>
        <v>0</v>
      </c>
      <c r="L794" s="1570"/>
      <c r="M794" s="1569">
        <f t="shared" si="116"/>
        <v>0</v>
      </c>
      <c r="N794" s="1569">
        <f t="shared" si="117"/>
        <v>0</v>
      </c>
      <c r="O794" s="1569">
        <f t="shared" si="117"/>
        <v>0</v>
      </c>
      <c r="P794" s="1569">
        <f t="shared" si="117"/>
        <v>0</v>
      </c>
      <c r="Q794" s="1464" t="str">
        <f>'Exp factors'!I101</f>
        <v>des</v>
      </c>
      <c r="R794" s="1445"/>
      <c r="S794" s="1446"/>
      <c r="T794" s="1446"/>
      <c r="U794" s="1394">
        <v>794</v>
      </c>
      <c r="V794" s="1421"/>
    </row>
    <row r="795" spans="1:22" ht="15.75" customHeight="1">
      <c r="A795" s="1494" t="str">
        <f>IF(Data!A795="","",Data!A795)</f>
        <v>Labour</v>
      </c>
      <c r="B795" s="1559"/>
      <c r="C795" s="1444" t="str">
        <f>IF(Data!BV795="","",Data!BV795)</f>
        <v/>
      </c>
      <c r="D795" s="1444" t="str">
        <f>IF(Data!BW795="","",Data!BW795)</f>
        <v/>
      </c>
      <c r="E795" s="1444">
        <f>IF(Data!BX795="","",Data!BX795)</f>
        <v>1300</v>
      </c>
      <c r="F795" s="1444">
        <f>IF(Data!BY795="","",Data!BY795)</f>
        <v>5000</v>
      </c>
      <c r="G795" s="1431"/>
      <c r="H795" s="1568">
        <f>IF(H$46="","",IF('Exp factors'!$B102="poor",'Exp factors'!$G$102*H$46,SUM(C795)*'Exp factors'!C$102))</f>
        <v>0</v>
      </c>
      <c r="I795" s="1568">
        <f>IF(I$46="","",IF('Exp factors'!$B102="poor",'Exp factors'!$G$102*I$46,SUM(D795)*'Exp factors'!D$102))</f>
        <v>0</v>
      </c>
      <c r="J795" s="1568">
        <f>IF(J$46="","",IF('Exp factors'!$B102="poor",'Exp factors'!$G$102*J$46,SUM(E795)*'Exp factors'!E$102))</f>
        <v>1300</v>
      </c>
      <c r="K795" s="1568">
        <f>IF(K$46="","",IF('Exp factors'!$B102="poor",'Exp factors'!$G$102*K$46,SUM(F795)*'Exp factors'!F$102))</f>
        <v>5000</v>
      </c>
      <c r="L795" s="1570"/>
      <c r="M795" s="1569">
        <f t="shared" si="116"/>
        <v>0</v>
      </c>
      <c r="N795" s="1569">
        <f t="shared" si="117"/>
        <v>0</v>
      </c>
      <c r="O795" s="1569">
        <f t="shared" si="117"/>
        <v>0</v>
      </c>
      <c r="P795" s="1569">
        <f t="shared" si="117"/>
        <v>0</v>
      </c>
      <c r="Q795" s="1464" t="str">
        <f>'Exp factors'!I102</f>
        <v>des</v>
      </c>
      <c r="R795" s="1445"/>
      <c r="S795" s="1446"/>
      <c r="T795" s="1446"/>
      <c r="U795" s="1394">
        <v>795</v>
      </c>
      <c r="V795" s="1421"/>
    </row>
    <row r="796" spans="1:22" ht="15.75" customHeight="1">
      <c r="A796" s="1494" t="str">
        <f>IF(Data!A796="","",Data!A796)</f>
        <v>Livestock restocking</v>
      </c>
      <c r="B796" s="1559"/>
      <c r="C796" s="1444" t="str">
        <f>IF(Data!BV796="","",Data!BV796)</f>
        <v/>
      </c>
      <c r="D796" s="1444" t="str">
        <f>IF(Data!BW796="","",Data!BW796)</f>
        <v/>
      </c>
      <c r="E796" s="1444" t="str">
        <f>IF(Data!BX796="","",Data!BX796)</f>
        <v/>
      </c>
      <c r="F796" s="1444" t="str">
        <f>IF(Data!BY796="","",Data!BY796)</f>
        <v/>
      </c>
      <c r="G796" s="1431"/>
      <c r="H796" s="1568">
        <f>IF(H$46="","",IF('Exp factors'!$B103="poor",'Exp factors'!$G$103*H$46,SUM(C796)*'Exp factors'!C$103))</f>
        <v>0</v>
      </c>
      <c r="I796" s="1568">
        <f>IF(I$46="","",IF('Exp factors'!$B103="poor",'Exp factors'!$G$103*I$46,SUM(D796)*'Exp factors'!D$103))</f>
        <v>0</v>
      </c>
      <c r="J796" s="1568">
        <f>IF(J$46="","",IF('Exp factors'!$B103="poor",'Exp factors'!$G$103*J$46,SUM(E796)*'Exp factors'!E$103))</f>
        <v>0</v>
      </c>
      <c r="K796" s="1568">
        <f>IF(K$46="","",IF('Exp factors'!$B103="poor",'Exp factors'!$G$103*K$46,SUM(F796)*'Exp factors'!F$103))</f>
        <v>0</v>
      </c>
      <c r="L796" s="1570"/>
      <c r="M796" s="1569">
        <f t="shared" si="116"/>
        <v>0</v>
      </c>
      <c r="N796" s="1569">
        <f t="shared" si="117"/>
        <v>0</v>
      </c>
      <c r="O796" s="1569">
        <f t="shared" si="117"/>
        <v>0</v>
      </c>
      <c r="P796" s="1569">
        <f t="shared" si="117"/>
        <v>0</v>
      </c>
      <c r="Q796" s="1464" t="str">
        <f>'Exp factors'!I103</f>
        <v>des</v>
      </c>
      <c r="R796" s="1445"/>
      <c r="S796" s="1446"/>
      <c r="T796" s="1446"/>
      <c r="U796" s="1394">
        <v>796</v>
      </c>
      <c r="V796" s="1421"/>
    </row>
    <row r="797" spans="1:22" ht="15.75" customHeight="1">
      <c r="A797" s="1494" t="str">
        <f>IF(Data!A797="","",Data!A797)</f>
        <v>Other essential inputs</v>
      </c>
      <c r="B797" s="1559"/>
      <c r="C797" s="1444" t="str">
        <f>IF(Data!BV797="","",Data!BV797)</f>
        <v/>
      </c>
      <c r="D797" s="1444" t="str">
        <f>IF(Data!BW797="","",Data!BW797)</f>
        <v/>
      </c>
      <c r="E797" s="1444">
        <f>IF(Data!BX797="","",Data!BX797)</f>
        <v>100</v>
      </c>
      <c r="F797" s="1444" t="str">
        <f>IF(Data!BY797="","",Data!BY797)</f>
        <v/>
      </c>
      <c r="G797" s="1431"/>
      <c r="H797" s="1568">
        <f>IF(H$46="","",IF('Exp factors'!$B104="poor",'Exp factors'!$G$104*H$46,SUM(C797)*'Exp factors'!C$104))</f>
        <v>0</v>
      </c>
      <c r="I797" s="1568">
        <f>IF(I$46="","",IF('Exp factors'!$B104="poor",'Exp factors'!$G$104*I$46,SUM(D797)*'Exp factors'!D$104))</f>
        <v>0</v>
      </c>
      <c r="J797" s="1568">
        <f>IF(J$46="","",IF('Exp factors'!$B104="poor",'Exp factors'!$G$104*J$46,SUM(E797)*'Exp factors'!E$104))</f>
        <v>100</v>
      </c>
      <c r="K797" s="1568">
        <f>IF(K$46="","",IF('Exp factors'!$B104="poor",'Exp factors'!$G$104*K$46,SUM(F797)*'Exp factors'!F$104))</f>
        <v>0</v>
      </c>
      <c r="L797" s="1570"/>
      <c r="M797" s="1569">
        <f t="shared" si="116"/>
        <v>0</v>
      </c>
      <c r="N797" s="1569">
        <f t="shared" si="117"/>
        <v>0</v>
      </c>
      <c r="O797" s="1569">
        <f t="shared" si="117"/>
        <v>0</v>
      </c>
      <c r="P797" s="1569">
        <f t="shared" si="117"/>
        <v>0</v>
      </c>
      <c r="Q797" s="1464" t="str">
        <f>'Exp factors'!I104</f>
        <v>des</v>
      </c>
      <c r="R797" s="1445"/>
      <c r="S797" s="1446"/>
      <c r="T797" s="1446"/>
      <c r="U797" s="1394">
        <v>797</v>
      </c>
      <c r="V797" s="1421"/>
    </row>
    <row r="798" spans="1:22" ht="15.75" customHeight="1">
      <c r="A798" s="1494" t="str">
        <f>IF(Data!A798="","",Data!A798)</f>
        <v>Other inputs (tools)</v>
      </c>
      <c r="B798" s="1559"/>
      <c r="C798" s="1444" t="str">
        <f>IF(Data!BV798="","",Data!BV798)</f>
        <v/>
      </c>
      <c r="D798" s="1444">
        <f>IF(Data!BW798="","",Data!BW798)</f>
        <v>100</v>
      </c>
      <c r="E798" s="1444">
        <f>IF(Data!BX798="","",Data!BX798)</f>
        <v>100</v>
      </c>
      <c r="F798" s="1444">
        <f>IF(Data!BY798="","",Data!BY798)</f>
        <v>100</v>
      </c>
      <c r="G798" s="1431"/>
      <c r="H798" s="1568">
        <f>IF(H$46="","",IF('Exp factors'!$B105="poor",'Exp factors'!$G$105*H$46,SUM(C798)*'Exp factors'!C$105))</f>
        <v>0</v>
      </c>
      <c r="I798" s="1568">
        <f>IF(I$46="","",IF('Exp factors'!$B105="poor",'Exp factors'!$G$105*I$46,SUM(D798)*'Exp factors'!D$105))</f>
        <v>100</v>
      </c>
      <c r="J798" s="1568">
        <f>IF(J$46="","",IF('Exp factors'!$B105="poor",'Exp factors'!$G$105*J$46,SUM(E798)*'Exp factors'!E$105))</f>
        <v>100</v>
      </c>
      <c r="K798" s="1568">
        <f>IF(K$46="","",IF('Exp factors'!$B105="poor",'Exp factors'!$G$105*K$46,SUM(F798)*'Exp factors'!F$105))</f>
        <v>100</v>
      </c>
      <c r="L798" s="1570"/>
      <c r="M798" s="1569">
        <f t="shared" si="116"/>
        <v>0</v>
      </c>
      <c r="N798" s="1569">
        <f t="shared" si="117"/>
        <v>0</v>
      </c>
      <c r="O798" s="1569">
        <f t="shared" si="117"/>
        <v>0</v>
      </c>
      <c r="P798" s="1569">
        <f t="shared" si="117"/>
        <v>0</v>
      </c>
      <c r="Q798" s="1464" t="str">
        <f>'Exp factors'!I105</f>
        <v>des</v>
      </c>
      <c r="R798" s="1445"/>
      <c r="S798" s="1446"/>
      <c r="T798" s="1446"/>
      <c r="U798" s="1394">
        <v>798</v>
      </c>
      <c r="V798" s="1421"/>
    </row>
    <row r="799" spans="1:22" ht="15.75" customHeight="1">
      <c r="A799" s="1494" t="str">
        <f>IF(Data!A799="","",Data!A799)</f>
        <v>School</v>
      </c>
      <c r="B799" s="1559"/>
      <c r="C799" s="1456">
        <f>IF(Data!BV799="","",Data!BV799)</f>
        <v>1050</v>
      </c>
      <c r="D799" s="1456">
        <f>IF(Data!BW799="","",Data!BW799)</f>
        <v>1400</v>
      </c>
      <c r="E799" s="1456">
        <f>IF(Data!BX799="","",Data!BX799)</f>
        <v>2100</v>
      </c>
      <c r="F799" s="1456">
        <f>IF(Data!BY799="","",Data!BY799)</f>
        <v>4500</v>
      </c>
      <c r="G799" s="1431"/>
      <c r="H799" s="1568">
        <f>IF(H$46="","",IF('Exp factors'!$B93="poor",'Exp factors'!$G$93*H$46,SUM(C799)*'Exp factors'!C$93))</f>
        <v>1200</v>
      </c>
      <c r="I799" s="1568">
        <f>IF(I$46="","",IF('Exp factors'!$B93="poor",'Exp factors'!$G$93*I$46,SUM(D799)*'Exp factors'!D$93))</f>
        <v>1200</v>
      </c>
      <c r="J799" s="1568">
        <f>IF(J$46="","",IF('Exp factors'!$B93="poor",'Exp factors'!$G$93*J$46,SUM(E799)*'Exp factors'!E$93))</f>
        <v>1200</v>
      </c>
      <c r="K799" s="1568">
        <f>IF(K$46="","",IF('Exp factors'!$B93="poor",'Exp factors'!$G$93*K$46,SUM(F799)*'Exp factors'!F$93))</f>
        <v>1350</v>
      </c>
      <c r="L799" s="1570"/>
      <c r="M799" s="1569">
        <f t="shared" si="116"/>
        <v>150</v>
      </c>
      <c r="N799" s="1569">
        <f t="shared" si="117"/>
        <v>-200</v>
      </c>
      <c r="O799" s="1569">
        <f t="shared" si="117"/>
        <v>-900</v>
      </c>
      <c r="P799" s="1569">
        <f t="shared" si="117"/>
        <v>-3150</v>
      </c>
      <c r="Q799" s="1464" t="str">
        <f>'Exp factors'!I93</f>
        <v>lbpl</v>
      </c>
      <c r="R799" s="1445"/>
      <c r="S799" s="1446"/>
      <c r="T799" s="1446"/>
      <c r="U799" s="1394">
        <v>799</v>
      </c>
      <c r="V799" s="1421"/>
    </row>
    <row r="800" spans="1:22" ht="15.75" customHeight="1">
      <c r="A800" s="1494" t="str">
        <f>IF(Data!A800="","",Data!A800)</f>
        <v>Medicine</v>
      </c>
      <c r="B800" s="1559"/>
      <c r="C800" s="1444">
        <f>IF(Data!BX800="","",Data!BX800)</f>
        <v>300</v>
      </c>
      <c r="D800" s="1444">
        <f>IF(Data!BW800="","",Data!BW800)</f>
        <v>300</v>
      </c>
      <c r="E800" s="1444">
        <f>IF(Data!BX800="","",Data!BX800)</f>
        <v>300</v>
      </c>
      <c r="F800" s="1444">
        <f>IF(Data!BY800="","",Data!BY800)</f>
        <v>500</v>
      </c>
      <c r="G800" s="1431"/>
      <c r="H800" s="1568">
        <f>IF(H$46="","",IF('Exp factors'!$B94="poor",'Exp factors'!$G$94*H$46,SUM(C800)*'Exp factors'!C$94))</f>
        <v>560</v>
      </c>
      <c r="I800" s="1568">
        <f>IF(I$46="","",IF('Exp factors'!$B94="poor",'Exp factors'!$G$94*I$46,SUM(D800)*'Exp factors'!D$94))</f>
        <v>560</v>
      </c>
      <c r="J800" s="1568">
        <f>IF(J$46="","",IF('Exp factors'!$B94="poor",'Exp factors'!$G$94*J$46,SUM(E800)*'Exp factors'!E$94))</f>
        <v>560</v>
      </c>
      <c r="K800" s="1568">
        <f>IF(K$46="","",IF('Exp factors'!$B94="poor",'Exp factors'!$G$94*K$46,SUM(F800)*'Exp factors'!F$94))</f>
        <v>630</v>
      </c>
      <c r="L800" s="1570"/>
      <c r="M800" s="1569">
        <f t="shared" si="116"/>
        <v>260</v>
      </c>
      <c r="N800" s="1569">
        <f t="shared" si="117"/>
        <v>260</v>
      </c>
      <c r="O800" s="1569">
        <f t="shared" si="117"/>
        <v>260</v>
      </c>
      <c r="P800" s="1569">
        <f t="shared" si="117"/>
        <v>130</v>
      </c>
      <c r="Q800" s="1464" t="str">
        <f>'Exp factors'!I94</f>
        <v>lbpl</v>
      </c>
      <c r="R800" s="1445"/>
      <c r="S800" s="1446"/>
      <c r="T800" s="1446"/>
      <c r="U800" s="1394">
        <v>800</v>
      </c>
      <c r="V800" s="1421"/>
    </row>
    <row r="801" spans="1:22" ht="15.75" customHeight="1">
      <c r="A801" s="1494" t="str">
        <f>IF(Data!A801="","",Data!A801)</f>
        <v>Clothing</v>
      </c>
      <c r="B801" s="1559"/>
      <c r="C801" s="1444">
        <f>IF(Data!BV801="","",Data!BV801)</f>
        <v>1250</v>
      </c>
      <c r="D801" s="1444">
        <f>IF(Data!BW801="","",Data!BW801)</f>
        <v>1750</v>
      </c>
      <c r="E801" s="1444">
        <f>IF(Data!BX801="","",Data!BX801)</f>
        <v>3000</v>
      </c>
      <c r="F801" s="1444">
        <f>IF(Data!BY801="","",Data!BY801)</f>
        <v>6500</v>
      </c>
      <c r="G801" s="1461"/>
      <c r="H801" s="1568">
        <f>IF(H$46="","",IF('Exp factors'!$B78="poor",'Exp factors'!$G$78*H$46,SUM(C801)*'Exp factors'!C$78))</f>
        <v>2400</v>
      </c>
      <c r="I801" s="1568">
        <f>IF(I$46="","",IF('Exp factors'!$B78="poor",'Exp factors'!$G$78*I$46,SUM(D801)*'Exp factors'!D$78))</f>
        <v>2400</v>
      </c>
      <c r="J801" s="1568">
        <f>IF(J$46="","",IF('Exp factors'!$B78="poor",'Exp factors'!$G$78*J$46,SUM(E801)*'Exp factors'!E$78))</f>
        <v>2400</v>
      </c>
      <c r="K801" s="1568">
        <f>IF(K$46="","",IF('Exp factors'!$B78="poor",'Exp factors'!$G$78*K$46,SUM(F801)*'Exp factors'!F$78))</f>
        <v>2700</v>
      </c>
      <c r="L801" s="1570"/>
      <c r="M801" s="1569">
        <f t="shared" si="116"/>
        <v>1150</v>
      </c>
      <c r="N801" s="1569">
        <f t="shared" si="117"/>
        <v>650</v>
      </c>
      <c r="O801" s="1569">
        <f t="shared" si="117"/>
        <v>-600</v>
      </c>
      <c r="P801" s="1569">
        <f t="shared" si="117"/>
        <v>-3800</v>
      </c>
      <c r="Q801" s="1464" t="str">
        <f>'Exp factors'!I78</f>
        <v>lbpl</v>
      </c>
      <c r="R801" s="1445"/>
      <c r="S801" s="1446"/>
      <c r="T801" s="1446"/>
      <c r="U801" s="1394">
        <v>801</v>
      </c>
      <c r="V801" s="1421"/>
    </row>
    <row r="802" spans="1:22" ht="15.75" customHeight="1">
      <c r="A802" s="1494" t="s">
        <v>520</v>
      </c>
      <c r="B802" s="1559"/>
      <c r="C802" s="1444">
        <f>IF(Data!BV802="","",Data!BV802)</f>
        <v>700</v>
      </c>
      <c r="D802" s="1444">
        <f>IF(Data!BW802="","",Data!BW802)</f>
        <v>900</v>
      </c>
      <c r="E802" s="1444">
        <f>IF(Data!BX802="","",Data!BX802)</f>
        <v>2500</v>
      </c>
      <c r="F802" s="1444">
        <f>IF(Data!BY802="","",Data!BY802)</f>
        <v>2700</v>
      </c>
      <c r="G802" s="1461"/>
      <c r="H802" s="1568">
        <f>IF(H$46="","",IF('Exp factors'!$B80="poor",'Exp factors'!$G$80*H$46,SUM(C802)*'Exp factors'!C$80))</f>
        <v>480</v>
      </c>
      <c r="I802" s="1568">
        <f>IF(I$46="","",IF('Exp factors'!$B80="poor",'Exp factors'!$G$80*I$46,SUM(D802)*'Exp factors'!D$80))</f>
        <v>480</v>
      </c>
      <c r="J802" s="1568">
        <f>IF(J$46="","",IF('Exp factors'!$B80="poor",'Exp factors'!$G$80*J$46,SUM(E802)*'Exp factors'!E$80))</f>
        <v>480</v>
      </c>
      <c r="K802" s="1568">
        <f>IF(K$46="","",IF('Exp factors'!$B80="poor",'Exp factors'!$G$80*K$46,SUM(F802)*'Exp factors'!F$80))</f>
        <v>540</v>
      </c>
      <c r="L802" s="1570"/>
      <c r="M802" s="1569">
        <f t="shared" si="116"/>
        <v>-220</v>
      </c>
      <c r="N802" s="1569">
        <f t="shared" si="117"/>
        <v>-420</v>
      </c>
      <c r="O802" s="1569">
        <f t="shared" si="117"/>
        <v>-2020</v>
      </c>
      <c r="P802" s="1569">
        <f t="shared" si="117"/>
        <v>-2160</v>
      </c>
      <c r="Q802" s="1464" t="str">
        <f>'Exp factors'!I80</f>
        <v>lbpl</v>
      </c>
      <c r="R802" s="1445"/>
      <c r="S802" s="1446"/>
      <c r="T802" s="1446"/>
      <c r="U802" s="1394">
        <v>802</v>
      </c>
      <c r="V802" s="1421"/>
    </row>
    <row r="803" spans="1:22" ht="15.75" customHeight="1">
      <c r="A803" s="1494" t="str">
        <f>IF(Data!A803="","",Data!A803)</f>
        <v>Transport</v>
      </c>
      <c r="B803" s="1559"/>
      <c r="C803" s="1444">
        <f>IF(Data!BV803="","",Data!BV803)</f>
        <v>1200</v>
      </c>
      <c r="D803" s="1444">
        <f>IF(Data!BW803="","",Data!BW803)</f>
        <v>1200</v>
      </c>
      <c r="E803" s="1444">
        <f>IF(Data!BX803="","",Data!BX803)</f>
        <v>2600</v>
      </c>
      <c r="F803" s="1444">
        <f>IF(Data!BY803="","",Data!BY803)</f>
        <v>8500</v>
      </c>
      <c r="G803" s="1431"/>
      <c r="H803" s="1568">
        <f>IF(H$46="","",IF('Exp factors'!$B79="poor",'Exp factors'!$G$79*H$46,SUM(C803)*'Exp factors'!C$79))</f>
        <v>704</v>
      </c>
      <c r="I803" s="1568">
        <f>IF(I$46="","",IF('Exp factors'!$B79="poor",'Exp factors'!$G$79*I$46,SUM(D803)*'Exp factors'!D$79))</f>
        <v>704</v>
      </c>
      <c r="J803" s="1568">
        <f>IF(J$46="","",IF('Exp factors'!$B79="poor",'Exp factors'!$G$79*J$46,SUM(E803)*'Exp factors'!E$79))</f>
        <v>704</v>
      </c>
      <c r="K803" s="1568">
        <f>IF(K$46="","",IF('Exp factors'!$B79="poor",'Exp factors'!$G$79*K$46,SUM(F803)*'Exp factors'!F$79))</f>
        <v>792</v>
      </c>
      <c r="L803" s="1570"/>
      <c r="M803" s="1569">
        <f t="shared" si="116"/>
        <v>-496</v>
      </c>
      <c r="N803" s="1569">
        <f t="shared" si="117"/>
        <v>-496</v>
      </c>
      <c r="O803" s="1569">
        <f t="shared" si="117"/>
        <v>-1896</v>
      </c>
      <c r="P803" s="1569">
        <f t="shared" si="117"/>
        <v>-7708</v>
      </c>
      <c r="Q803" s="1464" t="str">
        <f>'Exp factors'!I79</f>
        <v>lbpl</v>
      </c>
      <c r="R803" s="1445"/>
      <c r="S803" s="1446"/>
      <c r="T803" s="1446"/>
      <c r="U803" s="1394">
        <v>803</v>
      </c>
      <c r="V803" s="1421"/>
    </row>
    <row r="804" spans="1:22" ht="15.75" customHeight="1">
      <c r="A804" s="1494" t="str">
        <f>IF(Data!A804="","",Data!A804)</f>
        <v>Gifts/Community obligations</v>
      </c>
      <c r="B804" s="1559"/>
      <c r="C804" s="1444">
        <f>IF(Data!BV804="","",Data!BV804)</f>
        <v>600</v>
      </c>
      <c r="D804" s="1444">
        <f>IF(Data!BW804="","",Data!BW804)</f>
        <v>850</v>
      </c>
      <c r="E804" s="1444">
        <f>IF(Data!BX804="","",Data!BX804)</f>
        <v>2400</v>
      </c>
      <c r="F804" s="1444">
        <f>IF(Data!BY804="","",Data!BY804)</f>
        <v>1500</v>
      </c>
      <c r="G804" s="1431"/>
      <c r="H804" s="1568">
        <f>IF(H$46="","",IF('Exp factors'!$B81="poor",'Exp factors'!$G$81*H$46,SUM(C804)*'Exp factors'!C$81))</f>
        <v>600</v>
      </c>
      <c r="I804" s="1568">
        <f>IF(I$46="","",IF('Exp factors'!$B81="poor",'Exp factors'!$G$81*I$46,SUM(D804)*'Exp factors'!D$81))</f>
        <v>850</v>
      </c>
      <c r="J804" s="1568">
        <f>IF(J$46="","",IF('Exp factors'!$B81="poor",'Exp factors'!$G$81*J$46,SUM(E804)*'Exp factors'!E$81))</f>
        <v>2400</v>
      </c>
      <c r="K804" s="1568">
        <f>IF(K$46="","",IF('Exp factors'!$B81="poor",'Exp factors'!$G$81*K$46,SUM(F804)*'Exp factors'!F$81))</f>
        <v>1500</v>
      </c>
      <c r="L804" s="1570"/>
      <c r="M804" s="1569">
        <f t="shared" si="116"/>
        <v>0</v>
      </c>
      <c r="N804" s="1569">
        <f t="shared" si="117"/>
        <v>0</v>
      </c>
      <c r="O804" s="1569">
        <f t="shared" si="117"/>
        <v>0</v>
      </c>
      <c r="P804" s="1569">
        <f t="shared" si="117"/>
        <v>0</v>
      </c>
      <c r="Q804" s="1464" t="str">
        <f>'Exp factors'!I81</f>
        <v>des</v>
      </c>
      <c r="R804" s="1445"/>
      <c r="S804" s="1446"/>
      <c r="T804" s="1446"/>
      <c r="U804" s="1394">
        <v>804</v>
      </c>
      <c r="V804" s="1421"/>
    </row>
    <row r="805" spans="1:22" ht="15.75" customHeight="1">
      <c r="A805" s="1494" t="str">
        <f>IF(Data!A805="","",Data!A805)</f>
        <v>Beer, cigarettes &amp; tobacco</v>
      </c>
      <c r="B805" s="1559"/>
      <c r="C805" s="1444">
        <f>IF(Data!BV805="","",Data!BV805)</f>
        <v>500</v>
      </c>
      <c r="D805" s="1444">
        <f>IF(Data!BW805="","",Data!BW805)</f>
        <v>500</v>
      </c>
      <c r="E805" s="1444">
        <f>IF(Data!BX805="","",Data!BX805)</f>
        <v>500</v>
      </c>
      <c r="F805" s="1444">
        <f>IF(Data!BY805="","",Data!BY805)</f>
        <v>1200</v>
      </c>
      <c r="G805" s="1431"/>
      <c r="H805" s="1568">
        <f>IF(H$46="","",IF('Exp factors'!$B88="poor",'Exp factors'!$G$88*H$46,SUM(C805)*'Exp factors'!C$88))</f>
        <v>0</v>
      </c>
      <c r="I805" s="1568">
        <f>IF(I$46="","",IF('Exp factors'!$B88="poor",'Exp factors'!$G$88*I$46,SUM(D805)*'Exp factors'!D$88))</f>
        <v>0</v>
      </c>
      <c r="J805" s="1568">
        <f>IF(J$46="","",IF('Exp factors'!$B88="poor",'Exp factors'!$G$88*J$46,SUM(E805)*'Exp factors'!E$88))</f>
        <v>0</v>
      </c>
      <c r="K805" s="1568">
        <f>IF(K$46="","",IF('Exp factors'!$B88="poor",'Exp factors'!$G$88*K$46,SUM(F805)*'Exp factors'!F$88))</f>
        <v>0</v>
      </c>
      <c r="L805" s="1570"/>
      <c r="M805" s="1569">
        <f t="shared" si="116"/>
        <v>-500</v>
      </c>
      <c r="N805" s="1569">
        <f t="shared" si="117"/>
        <v>-500</v>
      </c>
      <c r="O805" s="1569">
        <f t="shared" si="117"/>
        <v>-500</v>
      </c>
      <c r="P805" s="1569">
        <f t="shared" si="117"/>
        <v>-1200</v>
      </c>
      <c r="Q805" s="1464" t="str">
        <f>'Exp factors'!I88</f>
        <v>dis</v>
      </c>
      <c r="R805" s="1445"/>
      <c r="S805" s="1446"/>
      <c r="T805" s="1446"/>
      <c r="U805" s="1394">
        <v>805</v>
      </c>
      <c r="V805" s="1421"/>
    </row>
    <row r="806" spans="1:22" ht="15.75" customHeight="1">
      <c r="A806" s="1494" t="str">
        <f>IF(Data!A806="","",Data!A806)</f>
        <v>Matches</v>
      </c>
      <c r="B806" s="1559"/>
      <c r="C806" s="1444">
        <f>IF(Data!BV806="","",Data!BV806)</f>
        <v>50</v>
      </c>
      <c r="D806" s="1444">
        <f>IF(Data!BW806="","",Data!BW806)</f>
        <v>50</v>
      </c>
      <c r="E806" s="1444">
        <f>IF(Data!BX806="","",Data!BX806)</f>
        <v>50</v>
      </c>
      <c r="F806" s="1444">
        <f>IF(Data!BY806="","",Data!BY806)</f>
        <v>50</v>
      </c>
      <c r="G806" s="1461"/>
      <c r="H806" s="1568">
        <f>IF(H$46="","",IF('Exp factors'!$B82="poor",'Exp factors'!$G$82*H$46,SUM(C806)*'Exp factors'!C$82))</f>
        <v>60</v>
      </c>
      <c r="I806" s="1568">
        <f>IF(I$46="","",IF('Exp factors'!$B82="poor",'Exp factors'!$G$82*I$46,SUM(D806)*'Exp factors'!D$82))</f>
        <v>60</v>
      </c>
      <c r="J806" s="1568">
        <f>IF(J$46="","",IF('Exp factors'!$B82="poor",'Exp factors'!$G$82*J$46,SUM(E806)*'Exp factors'!E$82))</f>
        <v>60</v>
      </c>
      <c r="K806" s="1568">
        <f>IF(K$46="","",IF('Exp factors'!$B82="poor",'Exp factors'!$G$82*K$46,SUM(F806)*'Exp factors'!F$82))</f>
        <v>67.5</v>
      </c>
      <c r="L806" s="1570"/>
      <c r="M806" s="1569">
        <f t="shared" si="116"/>
        <v>10</v>
      </c>
      <c r="N806" s="1569">
        <f t="shared" si="117"/>
        <v>10</v>
      </c>
      <c r="O806" s="1569">
        <f t="shared" si="117"/>
        <v>10</v>
      </c>
      <c r="P806" s="1569">
        <f t="shared" si="117"/>
        <v>17.5</v>
      </c>
      <c r="Q806" s="1464" t="str">
        <f>'Exp factors'!I82</f>
        <v>lbpl</v>
      </c>
      <c r="R806" s="1445"/>
      <c r="S806" s="1446"/>
      <c r="T806" s="1446"/>
      <c r="U806" s="1394">
        <v>806</v>
      </c>
      <c r="V806" s="1421"/>
    </row>
    <row r="807" spans="1:22" ht="15.75" customHeight="1">
      <c r="A807" s="1494" t="str">
        <f>IF(Data!A807="","",Data!A807)</f>
        <v>Lower Bound Poverty Line</v>
      </c>
      <c r="B807" s="1559"/>
      <c r="C807" s="1571" t="str">
        <f>IF(Data!BV807="","",Data!BV807)</f>
        <v/>
      </c>
      <c r="D807" s="1571" t="str">
        <f>IF(Data!BW807="","",Data!BW807)</f>
        <v/>
      </c>
      <c r="E807" s="1571" t="str">
        <f>IF(Data!BX807="","",Data!BX807)</f>
        <v/>
      </c>
      <c r="F807" s="1571" t="str">
        <f>IF(Data!BY807="","",Data!BY807)</f>
        <v/>
      </c>
      <c r="G807" s="1461"/>
      <c r="H807" s="1568">
        <f>IF(H$46="","",IF('Exp factors'!$B84="poor",'Exp factors'!$G$84*H$46,SUM(C807)*'Exp factors'!C$84))</f>
        <v>4934.6666666666679</v>
      </c>
      <c r="I807" s="1568">
        <f>IF(I$46="","",IF('Exp factors'!$B84="poor",'Exp factors'!$G$84*I$46,SUM(D807)*'Exp factors'!D$84))</f>
        <v>4934.6666666666679</v>
      </c>
      <c r="J807" s="1568">
        <f>IF(J$46="","",IF('Exp factors'!$B84="poor",'Exp factors'!$G$84*J$46,SUM(E807)*'Exp factors'!E$84))</f>
        <v>4934.6666666666679</v>
      </c>
      <c r="K807" s="1568">
        <f>IF(K$46="","",IF('Exp factors'!$B84="poor",'Exp factors'!$G$84*K$46,SUM(F807)*'Exp factors'!F$84))</f>
        <v>5551.5000000000018</v>
      </c>
      <c r="L807" s="1570"/>
      <c r="M807" s="1569">
        <f t="shared" si="116"/>
        <v>4934.6666666666679</v>
      </c>
      <c r="N807" s="1569">
        <f t="shared" si="117"/>
        <v>4934.6666666666679</v>
      </c>
      <c r="O807" s="1569">
        <f t="shared" si="117"/>
        <v>4934.6666666666679</v>
      </c>
      <c r="P807" s="1569">
        <f t="shared" si="117"/>
        <v>5551.5000000000018</v>
      </c>
      <c r="Q807" s="1464" t="str">
        <f>'Exp factors'!I84</f>
        <v>lbpl</v>
      </c>
      <c r="R807" s="1445"/>
      <c r="S807" s="1446"/>
      <c r="T807" s="1446"/>
      <c r="U807" s="1394">
        <v>807</v>
      </c>
      <c r="V807" s="1421"/>
    </row>
    <row r="808" spans="1:22" ht="15.75" customHeight="1">
      <c r="A808" s="1494" t="str">
        <f>IF(Data!A808="","",Data!A808)</f>
        <v>Upper Bound Poverty Line</v>
      </c>
      <c r="B808" s="1559"/>
      <c r="C808" s="1571" t="str">
        <f>IF(Data!BV808="","",Data!BV808)</f>
        <v/>
      </c>
      <c r="D808" s="1571" t="str">
        <f>IF(Data!BW808="","",Data!BW808)</f>
        <v/>
      </c>
      <c r="E808" s="1571" t="str">
        <f>IF(Data!BX808="","",Data!BX808)</f>
        <v/>
      </c>
      <c r="F808" s="1571" t="str">
        <f>IF(Data!BY808="","",Data!BY808)</f>
        <v/>
      </c>
      <c r="G808" s="1461"/>
      <c r="H808" s="1568">
        <f>IF(H$46="","",IF('Exp factors'!$B85="poor",'Exp factors'!$G$85*H$46,SUM(C808)*'Exp factors'!C$85))</f>
        <v>27744</v>
      </c>
      <c r="I808" s="1568">
        <f>IF(I$46="","",IF('Exp factors'!$B85="poor",'Exp factors'!$G$85*I$46,SUM(D808)*'Exp factors'!D$85))</f>
        <v>27744</v>
      </c>
      <c r="J808" s="1568">
        <f>IF(J$46="","",IF('Exp factors'!$B85="poor",'Exp factors'!$G$85*J$46,SUM(E808)*'Exp factors'!E$85))</f>
        <v>27744</v>
      </c>
      <c r="K808" s="1568">
        <f>IF(K$46="","",IF('Exp factors'!$B85="poor",'Exp factors'!$G$85*K$46,SUM(F808)*'Exp factors'!F$85))</f>
        <v>31212</v>
      </c>
      <c r="L808" s="1570"/>
      <c r="M808" s="1569">
        <f t="shared" si="116"/>
        <v>27744</v>
      </c>
      <c r="N808" s="1569">
        <f t="shared" si="117"/>
        <v>27744</v>
      </c>
      <c r="O808" s="1569">
        <f t="shared" si="117"/>
        <v>27744</v>
      </c>
      <c r="P808" s="1569">
        <f t="shared" si="117"/>
        <v>31212</v>
      </c>
      <c r="Q808" s="1464" t="str">
        <f>'Exp factors'!I85</f>
        <v>ubpl</v>
      </c>
      <c r="R808" s="1445"/>
      <c r="S808" s="1446"/>
      <c r="T808" s="1446"/>
      <c r="U808" s="1394">
        <v>808</v>
      </c>
      <c r="V808" s="1421"/>
    </row>
    <row r="809" spans="1:22" ht="15.75" customHeight="1">
      <c r="A809" s="1494" t="str">
        <f>IF(Data!A809="","",Data!A809)</f>
        <v>Shelter (maintenance)</v>
      </c>
      <c r="B809" s="1559"/>
      <c r="C809" s="1444">
        <f>IF(Data!BV809="","",Data!BV809)</f>
        <v>1000</v>
      </c>
      <c r="D809" s="1444">
        <f>IF(Data!BW809="","",Data!BW809)</f>
        <v>1000</v>
      </c>
      <c r="E809" s="1444">
        <f>IF(Data!BX809="","",Data!BX809)</f>
        <v>1450</v>
      </c>
      <c r="F809" s="1444">
        <f>IF(Data!BY809="","",Data!BY809)</f>
        <v>1500</v>
      </c>
      <c r="G809" s="1461"/>
      <c r="H809" s="1568">
        <f>IF(H$46="","",IF('Exp factors'!$B87="poor",'Exp factors'!$G$87*H$46,SUM(C809)*'Exp factors'!C$87))</f>
        <v>1000</v>
      </c>
      <c r="I809" s="1568">
        <f>IF(I$46="","",IF('Exp factors'!$B87="poor",'Exp factors'!$G$87*I$46,SUM(D809)*'Exp factors'!D$87))</f>
        <v>1000</v>
      </c>
      <c r="J809" s="1568">
        <f>IF(J$46="","",IF('Exp factors'!$B87="poor",'Exp factors'!$G$87*J$46,SUM(E809)*'Exp factors'!E$87))</f>
        <v>1450</v>
      </c>
      <c r="K809" s="1568">
        <f>IF(K$46="","",IF('Exp factors'!$B87="poor",'Exp factors'!$G$87*K$46,SUM(F809)*'Exp factors'!F$87))</f>
        <v>1500</v>
      </c>
      <c r="L809" s="1570"/>
      <c r="M809" s="1569">
        <f t="shared" si="116"/>
        <v>0</v>
      </c>
      <c r="N809" s="1569">
        <f t="shared" si="117"/>
        <v>0</v>
      </c>
      <c r="O809" s="1569">
        <f t="shared" si="117"/>
        <v>0</v>
      </c>
      <c r="P809" s="1569">
        <f t="shared" si="117"/>
        <v>0</v>
      </c>
      <c r="Q809" s="1464" t="str">
        <f>'Exp factors'!I87</f>
        <v>des</v>
      </c>
      <c r="R809" s="1445"/>
      <c r="S809" s="1446"/>
      <c r="T809" s="1446"/>
      <c r="U809" s="1394">
        <v>809</v>
      </c>
      <c r="V809" s="1421"/>
    </row>
    <row r="810" spans="1:22" ht="15.75" customHeight="1">
      <c r="A810" s="1494" t="str">
        <f>IF(Data!A810="","",Data!A810)</f>
        <v>Other items</v>
      </c>
      <c r="B810" s="1559"/>
      <c r="C810" s="1444">
        <f>IF(Data!BV810="","",Data!BV810)</f>
        <v>1800</v>
      </c>
      <c r="D810" s="1444">
        <f>IF(Data!BW810="","",Data!BW810)</f>
        <v>1800</v>
      </c>
      <c r="E810" s="1444">
        <f>IF(Data!BX810="","",Data!BX810)</f>
        <v>2500</v>
      </c>
      <c r="F810" s="1444">
        <f>IF(Data!BY810="","",Data!BY810)</f>
        <v>3000</v>
      </c>
      <c r="G810" s="1431"/>
      <c r="H810" s="1568">
        <f>IF(H$46="","",IF('Exp factors'!$B88="poor",'Exp factors'!$G$88*H$46,SUM(C810)*'Exp factors'!C$88))</f>
        <v>0</v>
      </c>
      <c r="I810" s="1568">
        <f>IF(I$46="","",IF('Exp factors'!$B88="poor",'Exp factors'!$G$88*I$46,SUM(D810)*'Exp factors'!D$88))</f>
        <v>0</v>
      </c>
      <c r="J810" s="1568">
        <f>IF(J$46="","",IF('Exp factors'!$B88="poor",'Exp factors'!$G$88*J$46,SUM(E810)*'Exp factors'!E$88))</f>
        <v>0</v>
      </c>
      <c r="K810" s="1568">
        <f>IF(K$46="","",IF('Exp factors'!$B88="poor",'Exp factors'!$G$88*K$46,SUM(F810)*'Exp factors'!F$88))</f>
        <v>0</v>
      </c>
      <c r="L810" s="1570"/>
      <c r="M810" s="1569">
        <f t="shared" si="116"/>
        <v>-1800</v>
      </c>
      <c r="N810" s="1569">
        <f t="shared" si="117"/>
        <v>-1800</v>
      </c>
      <c r="O810" s="1569">
        <f t="shared" si="117"/>
        <v>-2500</v>
      </c>
      <c r="P810" s="1569">
        <f t="shared" si="117"/>
        <v>-3000</v>
      </c>
      <c r="Q810" s="1464" t="str">
        <f>'Exp factors'!I88</f>
        <v>dis</v>
      </c>
      <c r="R810" s="1445"/>
      <c r="S810" s="1446"/>
      <c r="T810" s="1446"/>
      <c r="U810" s="1394">
        <v>810</v>
      </c>
      <c r="V810" s="1421"/>
    </row>
    <row r="811" spans="1:22" ht="15.75" customHeight="1">
      <c r="A811" s="1572" t="s">
        <v>374</v>
      </c>
      <c r="B811" s="1559"/>
      <c r="C811" s="1573">
        <f>C20-C31</f>
        <v>1668</v>
      </c>
      <c r="D811" s="1573">
        <f>D20-D31</f>
        <v>1353</v>
      </c>
      <c r="E811" s="1573">
        <f>E20-E31</f>
        <v>-655</v>
      </c>
      <c r="F811" s="1573">
        <f>F20-F31</f>
        <v>728</v>
      </c>
      <c r="G811" s="1549"/>
      <c r="H811" s="1574">
        <f>C811*'Exp factors'!$D$71</f>
        <v>1668</v>
      </c>
      <c r="I811" s="1574">
        <f>D811*'Exp factors'!$D$71</f>
        <v>1353</v>
      </c>
      <c r="J811" s="1574">
        <f>E811*'Exp factors'!$D$71</f>
        <v>-655</v>
      </c>
      <c r="K811" s="1574">
        <f>F811*'Exp factors'!$D$71</f>
        <v>728</v>
      </c>
      <c r="L811" s="1549"/>
      <c r="M811" s="1574">
        <f>IF(H811="","",SUM(H811)-SUM(C811))</f>
        <v>0</v>
      </c>
      <c r="N811" s="1574">
        <f>IF(I811="","",SUM(I811)-SUM(D811))</f>
        <v>0</v>
      </c>
      <c r="O811" s="1574">
        <f>IF(J811="","",SUM(J811)-SUM(E811))</f>
        <v>0</v>
      </c>
      <c r="P811" s="1574">
        <f>IF(K811="","",SUM(K811)-SUM(F811))</f>
        <v>0</v>
      </c>
      <c r="Q811" s="1464"/>
      <c r="R811" s="1375"/>
      <c r="S811" s="1357"/>
      <c r="T811" s="1357"/>
      <c r="U811" s="1394">
        <v>811</v>
      </c>
      <c r="V811" s="1357"/>
    </row>
    <row r="812" spans="1:22" ht="15.75" customHeight="1">
      <c r="A812" s="1375" t="s">
        <v>375</v>
      </c>
      <c r="B812" s="1559"/>
      <c r="C812" s="1451">
        <f>SUM(C772:C776,C781:C785,C790:C810)</f>
        <v>10562</v>
      </c>
      <c r="D812" s="1451">
        <f>SUM(D772:D776,D781:D785,D790:D810)</f>
        <v>12552</v>
      </c>
      <c r="E812" s="1451">
        <f>SUM(E772:E776,E781:E785,E790:E810)</f>
        <v>23040</v>
      </c>
      <c r="F812" s="1451">
        <f>SUM(F772:F776,F781:F785,F790:F810)</f>
        <v>41100</v>
      </c>
      <c r="G812" s="1551"/>
      <c r="H812" s="1356">
        <f>SUM(H772:H776,H781:H785,H790:H810)</f>
        <v>44522.666666666672</v>
      </c>
      <c r="I812" s="1356">
        <f>SUM(I772:I776,I781:I785,I790:I810)</f>
        <v>45462.666666666672</v>
      </c>
      <c r="J812" s="1356">
        <f>SUM(J772:J776,J781:J785,J790:J810)</f>
        <v>49232.666666666672</v>
      </c>
      <c r="K812" s="1356">
        <f>SUM(K772:K776,K781:K785,K790:K810)</f>
        <v>58448</v>
      </c>
      <c r="L812" s="1551"/>
      <c r="M812" s="1356">
        <f>SUM(M772:M776,M781:M785,M790:M810)</f>
        <v>33960.666666666672</v>
      </c>
      <c r="N812" s="1356">
        <f>SUM(N772:N776,N781:N785,N790:N810)</f>
        <v>32910.666666666672</v>
      </c>
      <c r="O812" s="1356">
        <f>SUM(O772:O776,O781:O785,O790:O810)</f>
        <v>26192.666666666668</v>
      </c>
      <c r="P812" s="1356">
        <f>SUM(P772:P776,P781:P785,P790:P810)</f>
        <v>17348</v>
      </c>
      <c r="Q812" s="1464"/>
      <c r="R812" s="1375"/>
      <c r="S812" s="1357"/>
      <c r="T812" s="1357"/>
      <c r="U812" s="1394">
        <v>812</v>
      </c>
      <c r="V812" s="1357"/>
    </row>
    <row r="813" spans="1:22" ht="15.75" customHeight="1">
      <c r="A813" s="1575" t="s">
        <v>376</v>
      </c>
      <c r="B813" s="1559"/>
      <c r="C813" s="1374"/>
      <c r="D813" s="1374"/>
      <c r="E813" s="1374"/>
      <c r="F813" s="1374"/>
      <c r="G813" s="1551"/>
      <c r="H813" s="1576"/>
      <c r="I813" s="1576"/>
      <c r="J813" s="1576"/>
      <c r="K813" s="1576"/>
      <c r="L813" s="1551"/>
      <c r="M813" s="1374"/>
      <c r="N813" s="1374"/>
      <c r="O813" s="1374"/>
      <c r="P813" s="1374"/>
      <c r="R813" s="1375"/>
      <c r="S813" s="1357"/>
      <c r="T813" s="1357"/>
      <c r="U813" s="1394">
        <v>813</v>
      </c>
      <c r="V813" s="1357"/>
    </row>
    <row r="814" spans="1:22" ht="15.75" customHeight="1">
      <c r="A814" s="1575"/>
      <c r="B814" s="1559"/>
      <c r="C814" s="1451"/>
      <c r="D814" s="1451"/>
      <c r="E814" s="1451"/>
      <c r="F814" s="1451"/>
      <c r="G814" s="1551"/>
      <c r="H814" s="1576"/>
      <c r="I814" s="1576"/>
      <c r="J814" s="1576"/>
      <c r="K814" s="1576"/>
      <c r="L814" s="1551"/>
      <c r="M814" s="1374"/>
      <c r="N814" s="1374"/>
      <c r="O814" s="1374"/>
      <c r="P814" s="1374"/>
      <c r="Q814" s="1464"/>
      <c r="R814" s="1375"/>
      <c r="S814" s="1357"/>
      <c r="T814" s="1357"/>
      <c r="U814" s="1394">
        <v>814</v>
      </c>
      <c r="V814" s="1357"/>
    </row>
    <row r="815" spans="1:22" ht="15.75" customHeight="1">
      <c r="A815" s="1575"/>
      <c r="B815" s="1559"/>
      <c r="C815" s="1374"/>
      <c r="D815" s="1374"/>
      <c r="E815" s="1374"/>
      <c r="F815" s="1374"/>
      <c r="G815" s="1551"/>
      <c r="H815" s="1576"/>
      <c r="I815" s="1576"/>
      <c r="J815" s="1576"/>
      <c r="K815" s="1576"/>
      <c r="L815" s="1551"/>
      <c r="M815" s="1374"/>
      <c r="N815" s="1374"/>
      <c r="O815" s="1374"/>
      <c r="P815" s="1374"/>
      <c r="Q815" s="1464"/>
      <c r="R815" s="1375"/>
      <c r="S815" s="1357"/>
      <c r="T815" s="1357"/>
      <c r="U815" s="1394">
        <v>815</v>
      </c>
      <c r="V815" s="1357"/>
    </row>
    <row r="816" spans="1:22" ht="15.75" customHeight="1">
      <c r="A816" s="1575"/>
      <c r="B816" s="1559"/>
      <c r="C816" s="1374"/>
      <c r="D816" s="1374"/>
      <c r="E816" s="1374"/>
      <c r="F816" s="1374"/>
      <c r="G816" s="1551"/>
      <c r="H816" s="1576"/>
      <c r="I816" s="1576"/>
      <c r="J816" s="1576"/>
      <c r="K816" s="1576"/>
      <c r="L816" s="1551"/>
      <c r="M816" s="1374"/>
      <c r="N816" s="1374"/>
      <c r="O816" s="1374"/>
      <c r="P816" s="1374"/>
      <c r="Q816" s="1464"/>
      <c r="R816" s="1375"/>
      <c r="S816" s="1357"/>
      <c r="T816" s="1357"/>
      <c r="U816" s="1394">
        <v>816</v>
      </c>
      <c r="V816" s="1357"/>
    </row>
    <row r="817" spans="1:22" ht="15.75" customHeight="1">
      <c r="A817" s="1375"/>
      <c r="B817" s="1559"/>
      <c r="C817" s="1467"/>
      <c r="D817" s="1467"/>
      <c r="E817" s="1467"/>
      <c r="F817" s="1467"/>
      <c r="G817" s="1550"/>
      <c r="H817" s="1577"/>
      <c r="I817" s="1577"/>
      <c r="J817" s="1577"/>
      <c r="K817" s="1577"/>
      <c r="L817" s="1550"/>
      <c r="M817" s="1467"/>
      <c r="N817" s="1467"/>
      <c r="O817" s="1467"/>
      <c r="P817" s="1467"/>
      <c r="Q817" s="1464"/>
      <c r="R817" s="1375"/>
      <c r="S817" s="1357"/>
      <c r="T817" s="1357"/>
      <c r="U817" s="1394">
        <v>817</v>
      </c>
      <c r="V817" s="1357"/>
    </row>
    <row r="818" spans="1:22" ht="15.75" customHeight="1">
      <c r="A818" s="1578" t="s">
        <v>377</v>
      </c>
      <c r="B818" s="1559"/>
      <c r="C818" s="1374"/>
      <c r="D818" s="1374"/>
      <c r="E818" s="1374"/>
      <c r="F818" s="1374"/>
      <c r="G818" s="1551"/>
      <c r="H818" s="1579"/>
      <c r="I818" s="1579"/>
      <c r="J818" s="1579"/>
      <c r="K818" s="1579"/>
      <c r="L818" s="1551"/>
      <c r="M818" s="1374"/>
      <c r="N818" s="1374"/>
      <c r="O818" s="1374"/>
      <c r="P818" s="1374"/>
      <c r="R818" s="1375" t="s">
        <v>521</v>
      </c>
      <c r="S818" s="1357"/>
      <c r="T818" s="1357"/>
      <c r="U818" s="1394">
        <v>818</v>
      </c>
      <c r="V818" s="1357"/>
    </row>
    <row r="819" spans="1:22" ht="15.75" customHeight="1">
      <c r="A819" s="1580" t="s">
        <v>19</v>
      </c>
      <c r="B819" s="1559"/>
      <c r="C819" s="1374"/>
      <c r="D819" s="1374"/>
      <c r="E819" s="1374"/>
      <c r="F819" s="1374"/>
      <c r="G819" s="1551"/>
      <c r="H819" s="1579"/>
      <c r="I819" s="1579"/>
      <c r="J819" s="1579"/>
      <c r="K819" s="1579"/>
      <c r="L819" s="1551"/>
      <c r="M819" s="1374"/>
      <c r="N819" s="1374"/>
      <c r="O819" s="1374"/>
      <c r="P819" s="1374"/>
      <c r="R819" s="1375" t="s">
        <v>522</v>
      </c>
      <c r="S819" s="1357"/>
      <c r="T819" s="1357"/>
      <c r="U819" s="1394">
        <v>819</v>
      </c>
      <c r="V819" s="1357"/>
    </row>
    <row r="820" spans="1:22" ht="15.75" customHeight="1">
      <c r="A820" s="1581" t="s">
        <v>378</v>
      </c>
      <c r="B820" s="1559"/>
      <c r="C820" s="1467">
        <f>SUM($C$89)</f>
        <v>0</v>
      </c>
      <c r="D820" s="1467">
        <f>SUM($D$89)</f>
        <v>0</v>
      </c>
      <c r="E820" s="1467">
        <f>SUM($E$89)</f>
        <v>0</v>
      </c>
      <c r="F820" s="1467">
        <f>SUM($F$89)</f>
        <v>0</v>
      </c>
      <c r="G820" s="1551"/>
      <c r="H820" s="1467">
        <f>SUM($H$89)</f>
        <v>0</v>
      </c>
      <c r="I820" s="1467">
        <f>SUM($I$89)</f>
        <v>0</v>
      </c>
      <c r="J820" s="1467">
        <f>SUM($J$89)</f>
        <v>0</v>
      </c>
      <c r="K820" s="1467">
        <f>SUM($K$89)</f>
        <v>0</v>
      </c>
      <c r="L820" s="1551"/>
      <c r="M820" s="1467">
        <f>SUM($M$89)</f>
        <v>0</v>
      </c>
      <c r="N820" s="1467">
        <f>SUM($N$89)</f>
        <v>0</v>
      </c>
      <c r="O820" s="1467">
        <f>SUM($O$89)</f>
        <v>0</v>
      </c>
      <c r="P820" s="1467">
        <f>SUM($P$89)</f>
        <v>0</v>
      </c>
      <c r="R820" s="1375">
        <v>1</v>
      </c>
      <c r="S820" s="1357">
        <f>IF(MAX(C820:F820,H820:K820)&gt;0,1,0)</f>
        <v>0</v>
      </c>
      <c r="T820" s="1357" t="str">
        <f t="shared" ref="T820:T857" si="118">IF(S820&gt;S819,S820,"")</f>
        <v/>
      </c>
      <c r="U820" s="1394">
        <v>820</v>
      </c>
      <c r="V820" s="1357"/>
    </row>
    <row r="821" spans="1:22" ht="15.75" customHeight="1">
      <c r="A821" s="1375" t="s">
        <v>379</v>
      </c>
      <c r="B821" s="1559"/>
      <c r="C821" s="1467">
        <f>SUM($C$90)</f>
        <v>0</v>
      </c>
      <c r="D821" s="1467">
        <f>SUM($D$90)</f>
        <v>0</v>
      </c>
      <c r="E821" s="1467">
        <f>SUM($E$90)</f>
        <v>0</v>
      </c>
      <c r="F821" s="1467">
        <f>SUM($F$90)</f>
        <v>0</v>
      </c>
      <c r="G821" s="1551"/>
      <c r="H821" s="1467">
        <f>SUM($H$90)</f>
        <v>0</v>
      </c>
      <c r="I821" s="1467">
        <f>SUM($I$90)</f>
        <v>0</v>
      </c>
      <c r="J821" s="1467">
        <f>SUM($J$90)</f>
        <v>0</v>
      </c>
      <c r="K821" s="1467">
        <f>SUM($K$90)</f>
        <v>0</v>
      </c>
      <c r="L821" s="1551"/>
      <c r="M821" s="1467">
        <f>SUM($M$90)</f>
        <v>0</v>
      </c>
      <c r="N821" s="1467">
        <f>SUM($N$90)</f>
        <v>0</v>
      </c>
      <c r="O821" s="1467">
        <f>SUM($O$90)</f>
        <v>0</v>
      </c>
      <c r="P821" s="1467">
        <f>SUM($P$90)</f>
        <v>0</v>
      </c>
      <c r="R821" s="1375">
        <v>2</v>
      </c>
      <c r="S821" s="1357">
        <f t="shared" ref="S821:S857" si="119">IF(MAX(C821:F821,H821:K821)&gt;0,S820+1,S820)</f>
        <v>0</v>
      </c>
      <c r="T821" s="1357" t="str">
        <f t="shared" si="118"/>
        <v/>
      </c>
      <c r="U821" s="1394">
        <v>821</v>
      </c>
      <c r="V821" s="1357"/>
    </row>
    <row r="822" spans="1:22" ht="15.75" customHeight="1">
      <c r="A822" s="1581" t="s">
        <v>380</v>
      </c>
      <c r="B822" s="1559"/>
      <c r="C822" s="1467">
        <f>SUM($C$116)</f>
        <v>1.4080012453300126E-2</v>
      </c>
      <c r="D822" s="1467">
        <f>SUM($D$116)</f>
        <v>8.3437110834371116E-3</v>
      </c>
      <c r="E822" s="1467">
        <f>SUM($E$116)</f>
        <v>1.3037048567870486E-2</v>
      </c>
      <c r="F822" s="1467">
        <f>SUM($F$116)</f>
        <v>8.5476684654766849E-2</v>
      </c>
      <c r="G822" s="1550"/>
      <c r="H822" s="1467">
        <f>SUM($H$116)</f>
        <v>0</v>
      </c>
      <c r="I822" s="1467">
        <f>SUM($I$116)</f>
        <v>0</v>
      </c>
      <c r="J822" s="1467">
        <f>SUM($J$116)</f>
        <v>0</v>
      </c>
      <c r="K822" s="1467">
        <f>SUM($K$116)</f>
        <v>0</v>
      </c>
      <c r="L822" s="1550"/>
      <c r="M822" s="1467">
        <f>SUM($M$116)</f>
        <v>0</v>
      </c>
      <c r="N822" s="1467">
        <f>SUM($N$116)</f>
        <v>0</v>
      </c>
      <c r="O822" s="1467">
        <f>SUM($O$116)</f>
        <v>0</v>
      </c>
      <c r="P822" s="1467">
        <f>SUM($P$116)</f>
        <v>0</v>
      </c>
      <c r="R822" s="1375">
        <v>3</v>
      </c>
      <c r="S822" s="1357">
        <f t="shared" si="119"/>
        <v>1</v>
      </c>
      <c r="T822" s="1357">
        <f t="shared" si="118"/>
        <v>1</v>
      </c>
      <c r="U822" s="1394">
        <v>822</v>
      </c>
      <c r="V822" s="1357"/>
    </row>
    <row r="823" spans="1:22" ht="15.75" customHeight="1">
      <c r="A823" s="1375" t="s">
        <v>381</v>
      </c>
      <c r="B823" s="1559"/>
      <c r="C823" s="1467">
        <f>SUM($C$117)</f>
        <v>2.3466687422166875E-3</v>
      </c>
      <c r="D823" s="1467">
        <f>SUM($D$117)</f>
        <v>0</v>
      </c>
      <c r="E823" s="1467">
        <f>SUM($E$117)</f>
        <v>0</v>
      </c>
      <c r="F823" s="1467">
        <f>SUM($F$117)</f>
        <v>0</v>
      </c>
      <c r="G823" s="1550"/>
      <c r="H823" s="1467">
        <f>SUM($H$117)</f>
        <v>0</v>
      </c>
      <c r="I823" s="1467">
        <f>SUM($I$117)</f>
        <v>0</v>
      </c>
      <c r="J823" s="1467">
        <f>SUM($J$117)</f>
        <v>0</v>
      </c>
      <c r="K823" s="1467">
        <f>SUM($K$117)</f>
        <v>0</v>
      </c>
      <c r="L823" s="1550"/>
      <c r="M823" s="1467">
        <f>SUM($M$117)</f>
        <v>0</v>
      </c>
      <c r="N823" s="1467">
        <f>SUM($N$117)</f>
        <v>0</v>
      </c>
      <c r="O823" s="1467">
        <f>SUM($O$117)</f>
        <v>0</v>
      </c>
      <c r="P823" s="1467">
        <f>SUM($P$117)</f>
        <v>0</v>
      </c>
      <c r="R823" s="1375">
        <v>4</v>
      </c>
      <c r="S823" s="1357">
        <f t="shared" si="119"/>
        <v>2</v>
      </c>
      <c r="T823" s="1357">
        <f t="shared" si="118"/>
        <v>2</v>
      </c>
      <c r="U823" s="1394">
        <v>823</v>
      </c>
      <c r="V823" s="1357"/>
    </row>
    <row r="824" spans="1:22" ht="15.75" customHeight="1">
      <c r="A824" s="1581" t="s">
        <v>382</v>
      </c>
      <c r="B824" s="1559"/>
      <c r="C824" s="1467">
        <f>SUM($C$144)</f>
        <v>0</v>
      </c>
      <c r="D824" s="1467">
        <f>SUM($D$144)</f>
        <v>0</v>
      </c>
      <c r="E824" s="1467">
        <f>SUM($E$144)</f>
        <v>0</v>
      </c>
      <c r="F824" s="1467">
        <f>SUM($F$144)</f>
        <v>0</v>
      </c>
      <c r="G824" s="1550"/>
      <c r="H824" s="1467">
        <f>SUM($H$144)</f>
        <v>0</v>
      </c>
      <c r="I824" s="1467">
        <f>SUM($I$144)</f>
        <v>0</v>
      </c>
      <c r="J824" s="1467">
        <f>SUM($J$144)</f>
        <v>0</v>
      </c>
      <c r="K824" s="1467">
        <f>SUM($K$144)</f>
        <v>0</v>
      </c>
      <c r="L824" s="1550"/>
      <c r="M824" s="1467">
        <f>SUM($M$144)</f>
        <v>0</v>
      </c>
      <c r="N824" s="1467">
        <f>SUM($N$144)</f>
        <v>0</v>
      </c>
      <c r="O824" s="1467">
        <f>SUM($O$144)</f>
        <v>0</v>
      </c>
      <c r="P824" s="1467">
        <f>SUM($P$144)</f>
        <v>0</v>
      </c>
      <c r="R824" s="1375">
        <v>5</v>
      </c>
      <c r="S824" s="1357">
        <f t="shared" si="119"/>
        <v>2</v>
      </c>
      <c r="T824" s="1357" t="str">
        <f t="shared" si="118"/>
        <v/>
      </c>
      <c r="U824" s="1394">
        <v>824</v>
      </c>
      <c r="V824" s="1357"/>
    </row>
    <row r="825" spans="1:22" ht="15.75" customHeight="1">
      <c r="A825" s="1375" t="s">
        <v>383</v>
      </c>
      <c r="B825" s="1559"/>
      <c r="C825" s="1467">
        <f>SUM($C$145)</f>
        <v>0</v>
      </c>
      <c r="D825" s="1467">
        <f>SUM($D$145)</f>
        <v>0</v>
      </c>
      <c r="E825" s="1467">
        <f>SUM($E$145)</f>
        <v>0</v>
      </c>
      <c r="F825" s="1467">
        <f>SUM($F$145)</f>
        <v>0</v>
      </c>
      <c r="G825" s="1550"/>
      <c r="H825" s="1467">
        <f>SUM($H$145)</f>
        <v>0</v>
      </c>
      <c r="I825" s="1467">
        <f>SUM($I$145)</f>
        <v>0</v>
      </c>
      <c r="J825" s="1467">
        <f>SUM($J$145)</f>
        <v>0</v>
      </c>
      <c r="K825" s="1467">
        <f>SUM($K$145)</f>
        <v>0</v>
      </c>
      <c r="L825" s="1550"/>
      <c r="M825" s="1467">
        <f>SUM($M$145)</f>
        <v>0</v>
      </c>
      <c r="N825" s="1467">
        <f>SUM($N$145)</f>
        <v>0</v>
      </c>
      <c r="O825" s="1467">
        <f>SUM($O$145)</f>
        <v>0</v>
      </c>
      <c r="P825" s="1467">
        <f>SUM($P$145)</f>
        <v>0</v>
      </c>
      <c r="R825" s="1375">
        <v>6</v>
      </c>
      <c r="S825" s="1357">
        <f t="shared" si="119"/>
        <v>2</v>
      </c>
      <c r="T825" s="1357" t="str">
        <f t="shared" si="118"/>
        <v/>
      </c>
      <c r="U825" s="1394">
        <v>825</v>
      </c>
      <c r="V825" s="1357"/>
    </row>
    <row r="826" spans="1:22" ht="15.75" customHeight="1">
      <c r="A826" s="1581" t="s">
        <v>384</v>
      </c>
      <c r="B826" s="1559"/>
      <c r="C826" s="1467">
        <f>SUM($C$172)</f>
        <v>0</v>
      </c>
      <c r="D826" s="1467">
        <f>SUM($D$172)</f>
        <v>0</v>
      </c>
      <c r="E826" s="1467">
        <f>SUM($E$172)</f>
        <v>0</v>
      </c>
      <c r="F826" s="1467">
        <f>SUM($F$172)</f>
        <v>0</v>
      </c>
      <c r="G826" s="1550"/>
      <c r="H826" s="1467">
        <f>SUM($H$172)</f>
        <v>0</v>
      </c>
      <c r="I826" s="1467">
        <f>SUM($I$172)</f>
        <v>0</v>
      </c>
      <c r="J826" s="1467">
        <f>SUM($J$172)</f>
        <v>0</v>
      </c>
      <c r="K826" s="1467">
        <f>SUM($K$172)</f>
        <v>0</v>
      </c>
      <c r="L826" s="1550"/>
      <c r="M826" s="1467">
        <f>SUM($M$172)</f>
        <v>0</v>
      </c>
      <c r="N826" s="1467">
        <f>SUM($N$172)</f>
        <v>0</v>
      </c>
      <c r="O826" s="1467">
        <f>SUM($O$172)</f>
        <v>0</v>
      </c>
      <c r="P826" s="1467">
        <f>SUM($P$172)</f>
        <v>0</v>
      </c>
      <c r="R826" s="1375">
        <v>7</v>
      </c>
      <c r="S826" s="1357">
        <f t="shared" si="119"/>
        <v>2</v>
      </c>
      <c r="T826" s="1357" t="str">
        <f t="shared" si="118"/>
        <v/>
      </c>
      <c r="U826" s="1394">
        <v>826</v>
      </c>
      <c r="V826" s="1357"/>
    </row>
    <row r="827" spans="1:22" ht="15.75" customHeight="1">
      <c r="A827" s="1375" t="s">
        <v>385</v>
      </c>
      <c r="B827" s="1559"/>
      <c r="C827" s="1467">
        <f>SUM($C$173)</f>
        <v>0</v>
      </c>
      <c r="D827" s="1467">
        <f>SUM($D$173)</f>
        <v>0</v>
      </c>
      <c r="E827" s="1467">
        <f>SUM($E$173)</f>
        <v>0</v>
      </c>
      <c r="F827" s="1467">
        <f>SUM($F$173)</f>
        <v>0</v>
      </c>
      <c r="G827" s="1550"/>
      <c r="H827" s="1467">
        <f>SUM($H$173)</f>
        <v>0</v>
      </c>
      <c r="I827" s="1467">
        <f>SUM($I$173)</f>
        <v>0</v>
      </c>
      <c r="J827" s="1467">
        <f>SUM($J$173)</f>
        <v>0</v>
      </c>
      <c r="K827" s="1467">
        <f>SUM($K$173)</f>
        <v>0</v>
      </c>
      <c r="L827" s="1550"/>
      <c r="M827" s="1467">
        <f>SUM($M$173)</f>
        <v>0</v>
      </c>
      <c r="N827" s="1467">
        <f>SUM($N$173)</f>
        <v>0</v>
      </c>
      <c r="O827" s="1467">
        <f>SUM($O$173)</f>
        <v>0</v>
      </c>
      <c r="P827" s="1467">
        <f>SUM($P$173)</f>
        <v>0</v>
      </c>
      <c r="R827" s="1375">
        <v>8</v>
      </c>
      <c r="S827" s="1357">
        <f t="shared" si="119"/>
        <v>2</v>
      </c>
      <c r="T827" s="1357" t="str">
        <f t="shared" si="118"/>
        <v/>
      </c>
      <c r="U827" s="1394">
        <v>827</v>
      </c>
      <c r="V827" s="1357"/>
    </row>
    <row r="828" spans="1:22" ht="15.75" customHeight="1">
      <c r="A828" s="1581" t="s">
        <v>386</v>
      </c>
      <c r="B828" s="1559"/>
      <c r="C828" s="1467">
        <f>SUM($C$183,$C$180,$C$177)</f>
        <v>5.906425124533001E-3</v>
      </c>
      <c r="D828" s="1467">
        <f>SUM($D$183,$D$180,$D$177)</f>
        <v>2.6171573396637608E-2</v>
      </c>
      <c r="E828" s="1467">
        <f>SUM($E$183,$E$180,$E$177)</f>
        <v>4.6436721668742222E-2</v>
      </c>
      <c r="F828" s="1467">
        <f>SUM($F$183,$F$180,$F$177)</f>
        <v>6.942878268991283E-2</v>
      </c>
      <c r="G828" s="1550"/>
      <c r="H828" s="1467">
        <f>SUM($H$183,$H$180,$H$177)</f>
        <v>0</v>
      </c>
      <c r="I828" s="1467">
        <f>SUM($I$183,$I$180,$I$177)</f>
        <v>0</v>
      </c>
      <c r="J828" s="1467">
        <f>SUM($J$183,$J$180,$J$177)</f>
        <v>0</v>
      </c>
      <c r="K828" s="1467">
        <f>SUM($K$183,$K$180,$K$177)</f>
        <v>0</v>
      </c>
      <c r="L828" s="1550"/>
      <c r="M828" s="1467">
        <f>SUM($M$183,$M$180,$M$177)</f>
        <v>0</v>
      </c>
      <c r="N828" s="1467">
        <f>SUM($N$183,$N$180,$N$177)</f>
        <v>0</v>
      </c>
      <c r="O828" s="1467">
        <f>SUM($O$183,$O$180,$O$177)</f>
        <v>0</v>
      </c>
      <c r="P828" s="1467">
        <f>SUM($P$183,$P$180,$P$177)</f>
        <v>0</v>
      </c>
      <c r="R828" s="1375"/>
      <c r="S828" s="1357">
        <f t="shared" si="119"/>
        <v>3</v>
      </c>
      <c r="T828" s="1357">
        <f t="shared" si="118"/>
        <v>3</v>
      </c>
      <c r="U828" s="1394">
        <v>828</v>
      </c>
      <c r="V828" s="1357"/>
    </row>
    <row r="829" spans="1:22" ht="15.75" customHeight="1">
      <c r="A829" s="1580" t="s">
        <v>20</v>
      </c>
      <c r="B829" s="1559"/>
      <c r="C829" s="1550"/>
      <c r="D829" s="1550"/>
      <c r="E829" s="1550"/>
      <c r="F829" s="1550"/>
      <c r="G829" s="1550"/>
      <c r="H829" s="1550"/>
      <c r="I829" s="1550"/>
      <c r="J829" s="1550"/>
      <c r="K829" s="1550"/>
      <c r="L829" s="1550"/>
      <c r="M829" s="1550"/>
      <c r="N829" s="1550"/>
      <c r="O829" s="1550"/>
      <c r="P829" s="1550"/>
      <c r="R829" s="1375"/>
      <c r="S829" s="1357">
        <f t="shared" si="119"/>
        <v>3</v>
      </c>
      <c r="T829" s="1357" t="str">
        <f t="shared" si="118"/>
        <v/>
      </c>
      <c r="U829" s="1394">
        <v>829</v>
      </c>
      <c r="V829" s="1357"/>
    </row>
    <row r="830" spans="1:22" ht="15.75" customHeight="1">
      <c r="A830" s="1375" t="str">
        <f>$A$228</f>
        <v>Green cons - Season 1: no of months</v>
      </c>
      <c r="B830" s="1551"/>
      <c r="C830" s="1467">
        <f>SUM($C$230)</f>
        <v>4.2500000000000003E-2</v>
      </c>
      <c r="D830" s="1467">
        <f>SUM($D$230)</f>
        <v>4.2500000000000003E-2</v>
      </c>
      <c r="E830" s="1582">
        <f>SUM($E$230)</f>
        <v>4.2500000000000003E-2</v>
      </c>
      <c r="F830" s="1467">
        <f>SUM($F$230)</f>
        <v>0.05</v>
      </c>
      <c r="G830" s="1550"/>
      <c r="H830" s="1467">
        <f>SUM($H$230)</f>
        <v>0</v>
      </c>
      <c r="I830" s="1467">
        <f>SUM($I$230)</f>
        <v>0</v>
      </c>
      <c r="J830" s="1467">
        <f>SUM($J$230)</f>
        <v>0</v>
      </c>
      <c r="K830" s="1467">
        <f>SUM($K$230)</f>
        <v>0</v>
      </c>
      <c r="L830" s="1550"/>
      <c r="M830" s="1467">
        <f>SUM($M$230)</f>
        <v>0</v>
      </c>
      <c r="N830" s="1467">
        <f>SUM($N$230)</f>
        <v>0</v>
      </c>
      <c r="O830" s="1467">
        <f>SUM($O$230)</f>
        <v>0</v>
      </c>
      <c r="P830" s="1467">
        <f>SUM($P$230)</f>
        <v>0</v>
      </c>
      <c r="R830" s="1375">
        <v>9</v>
      </c>
      <c r="S830" s="1357">
        <f t="shared" si="119"/>
        <v>4</v>
      </c>
      <c r="T830" s="1357">
        <f t="shared" si="118"/>
        <v>4</v>
      </c>
      <c r="U830" s="1394">
        <v>830</v>
      </c>
      <c r="V830" s="1357"/>
    </row>
    <row r="831" spans="1:22" ht="15.75" customHeight="1">
      <c r="A831" s="1375" t="str">
        <f>$A$231</f>
        <v xml:space="preserve">Green beans </v>
      </c>
      <c r="B831" s="1559"/>
      <c r="C831" s="1467">
        <f>SUM($C$233)</f>
        <v>0</v>
      </c>
      <c r="D831" s="1467">
        <f>SUM($D$233)</f>
        <v>0</v>
      </c>
      <c r="E831" s="1582">
        <f>SUM($E$233)</f>
        <v>0</v>
      </c>
      <c r="F831" s="1467">
        <f>SUM($F$233)</f>
        <v>0</v>
      </c>
      <c r="G831" s="1550"/>
      <c r="H831" s="1467">
        <f>SUM($H$233)</f>
        <v>0</v>
      </c>
      <c r="I831" s="1467">
        <f>SUM($I$233)</f>
        <v>0</v>
      </c>
      <c r="J831" s="1467">
        <f>SUM($J$233)</f>
        <v>0</v>
      </c>
      <c r="K831" s="1467">
        <f>SUM($K$233)</f>
        <v>0</v>
      </c>
      <c r="L831" s="1550"/>
      <c r="M831" s="1467">
        <f>SUM($M$233)</f>
        <v>0</v>
      </c>
      <c r="N831" s="1467">
        <f>SUM($N$233)</f>
        <v>0</v>
      </c>
      <c r="O831" s="1467">
        <f>SUM($O$233)</f>
        <v>0</v>
      </c>
      <c r="P831" s="1467">
        <f>SUM($P$233)</f>
        <v>0</v>
      </c>
      <c r="R831" s="1375"/>
      <c r="S831" s="1357">
        <f t="shared" si="119"/>
        <v>4</v>
      </c>
      <c r="T831" s="1357" t="str">
        <f t="shared" si="118"/>
        <v/>
      </c>
      <c r="U831" s="1394">
        <v>831</v>
      </c>
      <c r="V831" s="1357"/>
    </row>
    <row r="832" spans="1:22" ht="15.75" customHeight="1">
      <c r="A832" s="1583" t="str">
        <f>$A$237</f>
        <v>Maize: kg produced</v>
      </c>
      <c r="B832" s="1559"/>
      <c r="C832" s="1467">
        <f>SUM($C$243)</f>
        <v>8.8718578767123274E-2</v>
      </c>
      <c r="D832" s="1467">
        <f>SUM($D$243)</f>
        <v>8.8718578767123274E-2</v>
      </c>
      <c r="E832" s="1467">
        <f>SUM($E$243)</f>
        <v>0.13307786815068492</v>
      </c>
      <c r="F832" s="1467">
        <f>SUM($F$243)</f>
        <v>0.16245357534246571</v>
      </c>
      <c r="G832" s="1550"/>
      <c r="H832" s="1467">
        <f>SUM($H$243)</f>
        <v>0</v>
      </c>
      <c r="I832" s="1467">
        <f>SUM($I$243)</f>
        <v>0</v>
      </c>
      <c r="J832" s="1467">
        <f>SUM($J$243)</f>
        <v>0.20701001712328765</v>
      </c>
      <c r="K832" s="1467">
        <f>SUM($K$243)</f>
        <v>0.23132547945205478</v>
      </c>
      <c r="L832" s="1550"/>
      <c r="M832" s="1467">
        <f>SUM($M$243)</f>
        <v>0</v>
      </c>
      <c r="N832" s="1467">
        <f>SUM($N$243)</f>
        <v>0</v>
      </c>
      <c r="O832" s="1467">
        <f>SUM($O$243)</f>
        <v>7.3932148972602724E-2</v>
      </c>
      <c r="P832" s="1467">
        <f>SUM($P$243)</f>
        <v>6.8871904109589072E-2</v>
      </c>
      <c r="R832" s="1375">
        <v>10</v>
      </c>
      <c r="S832" s="1357">
        <f t="shared" si="119"/>
        <v>5</v>
      </c>
      <c r="T832" s="1357">
        <f t="shared" si="118"/>
        <v>5</v>
      </c>
      <c r="U832" s="1394">
        <v>832</v>
      </c>
      <c r="V832" s="1357"/>
    </row>
    <row r="833" spans="1:22" ht="15.75" customHeight="1">
      <c r="A833" s="1375" t="str">
        <f>$A$244</f>
        <v>Sorghum: kg produced</v>
      </c>
      <c r="B833" s="1551"/>
      <c r="C833" s="1467">
        <f>SUM($C$250)</f>
        <v>0</v>
      </c>
      <c r="D833" s="1467">
        <f>SUM($D$250)</f>
        <v>0</v>
      </c>
      <c r="E833" s="1467">
        <f>SUM($E$250)</f>
        <v>0</v>
      </c>
      <c r="F833" s="1467">
        <f>SUM($F$250)</f>
        <v>3.8561488169364881E-2</v>
      </c>
      <c r="G833" s="1550"/>
      <c r="H833" s="1467">
        <f>SUM($H$250)</f>
        <v>0</v>
      </c>
      <c r="I833" s="1467">
        <f>SUM($I$250)</f>
        <v>0</v>
      </c>
      <c r="J833" s="1467">
        <f>SUM($J$250)</f>
        <v>0</v>
      </c>
      <c r="K833" s="1467">
        <f>SUM($K$250)</f>
        <v>0</v>
      </c>
      <c r="L833" s="1550"/>
      <c r="M833" s="1467">
        <f>SUM($M$250)</f>
        <v>0</v>
      </c>
      <c r="N833" s="1467">
        <f>SUM($N$250)</f>
        <v>0</v>
      </c>
      <c r="O833" s="1467">
        <f>SUM($O$250)</f>
        <v>0</v>
      </c>
      <c r="P833" s="1467">
        <f>SUM($P$250)</f>
        <v>0</v>
      </c>
      <c r="R833" s="1375">
        <v>11</v>
      </c>
      <c r="S833" s="1357">
        <f t="shared" si="119"/>
        <v>6</v>
      </c>
      <c r="T833" s="1357">
        <f t="shared" si="118"/>
        <v>6</v>
      </c>
      <c r="U833" s="1394">
        <v>833</v>
      </c>
      <c r="V833" s="1357"/>
    </row>
    <row r="834" spans="1:22" ht="15.75" customHeight="1">
      <c r="A834" s="1375" t="str">
        <f>$A$251</f>
        <v>High value cereal: kg produced</v>
      </c>
      <c r="B834" s="1551"/>
      <c r="C834" s="1467">
        <f>SUM($C$257)</f>
        <v>0</v>
      </c>
      <c r="D834" s="1467">
        <f>SUM($D$257)</f>
        <v>0</v>
      </c>
      <c r="E834" s="1467">
        <f>SUM($E$257)</f>
        <v>0</v>
      </c>
      <c r="F834" s="1467">
        <f>SUM($F$257)</f>
        <v>0</v>
      </c>
      <c r="G834" s="1550"/>
      <c r="H834" s="1467">
        <f>SUM($H$257)</f>
        <v>0</v>
      </c>
      <c r="I834" s="1467">
        <f>SUM($I$257)</f>
        <v>0</v>
      </c>
      <c r="J834" s="1467">
        <f>SUM($J$257)</f>
        <v>0</v>
      </c>
      <c r="K834" s="1467">
        <f>SUM($K$257)</f>
        <v>0</v>
      </c>
      <c r="L834" s="1550"/>
      <c r="M834" s="1467">
        <f>SUM($M$257)</f>
        <v>0</v>
      </c>
      <c r="N834" s="1467">
        <f>SUM($N$257)</f>
        <v>0</v>
      </c>
      <c r="O834" s="1467">
        <f>SUM($O$257)</f>
        <v>0</v>
      </c>
      <c r="P834" s="1467">
        <f>SUM($P$257)</f>
        <v>0</v>
      </c>
      <c r="R834" s="1375">
        <v>12</v>
      </c>
      <c r="S834" s="1357">
        <f t="shared" si="119"/>
        <v>6</v>
      </c>
      <c r="T834" s="1357" t="str">
        <f t="shared" si="118"/>
        <v/>
      </c>
      <c r="U834" s="1394">
        <v>834</v>
      </c>
      <c r="V834" s="1357"/>
    </row>
    <row r="835" spans="1:22" ht="15.75" customHeight="1">
      <c r="A835" s="1375" t="str">
        <f>$A$258</f>
        <v>High value cereal: kg produced</v>
      </c>
      <c r="B835" s="1551"/>
      <c r="C835" s="1467">
        <f>SUM($C$264)</f>
        <v>0</v>
      </c>
      <c r="D835" s="1467">
        <f>SUM($D$264)</f>
        <v>0</v>
      </c>
      <c r="E835" s="1467">
        <f>SUM($E$264)</f>
        <v>0</v>
      </c>
      <c r="F835" s="1467">
        <f>SUM($F$264)</f>
        <v>0</v>
      </c>
      <c r="G835" s="1550"/>
      <c r="H835" s="1467">
        <f>SUM($H$264)</f>
        <v>0</v>
      </c>
      <c r="I835" s="1467">
        <f>SUM($I$264)</f>
        <v>0</v>
      </c>
      <c r="J835" s="1467">
        <f>SUM($J$264)</f>
        <v>0</v>
      </c>
      <c r="K835" s="1467">
        <f>SUM($K$264)</f>
        <v>0</v>
      </c>
      <c r="L835" s="1550"/>
      <c r="M835" s="1467">
        <f>SUM($M$264)</f>
        <v>0</v>
      </c>
      <c r="N835" s="1467">
        <f>SUM($N$264)</f>
        <v>0</v>
      </c>
      <c r="O835" s="1467">
        <f>SUM($O$264)</f>
        <v>0</v>
      </c>
      <c r="P835" s="1467">
        <f>SUM($P$264)</f>
        <v>0</v>
      </c>
      <c r="R835" s="1375">
        <v>13</v>
      </c>
      <c r="S835" s="1357">
        <f t="shared" si="119"/>
        <v>6</v>
      </c>
      <c r="T835" s="1357" t="str">
        <f t="shared" si="118"/>
        <v/>
      </c>
      <c r="U835" s="1394">
        <v>835</v>
      </c>
      <c r="V835" s="1357"/>
    </row>
    <row r="836" spans="1:22" ht="15.75" customHeight="1">
      <c r="A836" s="1375" t="str">
        <f>$A$265</f>
        <v>Cowpeas: kg produced (Mbumba)</v>
      </c>
      <c r="B836" s="1551"/>
      <c r="C836" s="1467">
        <f>SUM($C$271)</f>
        <v>0</v>
      </c>
      <c r="D836" s="1467">
        <f>SUM($D$271)</f>
        <v>0</v>
      </c>
      <c r="E836" s="1582">
        <f>SUM($E$271)</f>
        <v>0</v>
      </c>
      <c r="F836" s="1467">
        <f>SUM($F$271)</f>
        <v>0</v>
      </c>
      <c r="G836" s="1550"/>
      <c r="H836" s="1467">
        <f>SUM($H$271)</f>
        <v>0</v>
      </c>
      <c r="I836" s="1467">
        <f>SUM($I$271)</f>
        <v>0</v>
      </c>
      <c r="J836" s="1467">
        <f>SUM($J$271)</f>
        <v>0</v>
      </c>
      <c r="K836" s="1467">
        <f>SUM($K$271)</f>
        <v>0</v>
      </c>
      <c r="L836" s="1550"/>
      <c r="M836" s="1467">
        <f>SUM($M$271)</f>
        <v>0</v>
      </c>
      <c r="N836" s="1467">
        <f>SUM($N$271)</f>
        <v>0</v>
      </c>
      <c r="O836" s="1467">
        <f>SUM($O$271)</f>
        <v>0</v>
      </c>
      <c r="P836" s="1467">
        <f>SUM($P$271)</f>
        <v>0</v>
      </c>
      <c r="R836" s="1375">
        <v>14</v>
      </c>
      <c r="S836" s="1357">
        <f t="shared" si="119"/>
        <v>6</v>
      </c>
      <c r="T836" s="1357" t="str">
        <f t="shared" si="118"/>
        <v/>
      </c>
      <c r="U836" s="1394">
        <v>836</v>
      </c>
      <c r="V836" s="1357"/>
    </row>
    <row r="837" spans="1:22" ht="15.75" customHeight="1">
      <c r="A837" s="1375" t="str">
        <f>$A$272</f>
        <v>Beans: kg produced</v>
      </c>
      <c r="B837" s="1559"/>
      <c r="C837" s="1467">
        <f>SUM($C$278)</f>
        <v>4.4188206724782075E-2</v>
      </c>
      <c r="D837" s="1467">
        <f>SUM($D$278)</f>
        <v>8.2852887608966391E-2</v>
      </c>
      <c r="E837" s="1582">
        <f>SUM($E$278)</f>
        <v>0.10770875389165629</v>
      </c>
      <c r="F837" s="1467">
        <f>SUM($F$278)</f>
        <v>6.6773290161892901E-2</v>
      </c>
      <c r="G837" s="1550"/>
      <c r="H837" s="1467">
        <f>SUM($H$278)</f>
        <v>0</v>
      </c>
      <c r="I837" s="1467">
        <f>SUM($I$278)</f>
        <v>0</v>
      </c>
      <c r="J837" s="1467">
        <f>SUM($J$278)</f>
        <v>6.7663191547322546E-2</v>
      </c>
      <c r="K837" s="1467">
        <f>SUM($K$278)</f>
        <v>4.5661146948941467E-2</v>
      </c>
      <c r="L837" s="1550"/>
      <c r="M837" s="1467">
        <f>SUM($M$278)</f>
        <v>0</v>
      </c>
      <c r="N837" s="1467">
        <f>SUM($N$278)</f>
        <v>0</v>
      </c>
      <c r="O837" s="1467">
        <f>SUM($O$278)</f>
        <v>-4.0045562344333749E-2</v>
      </c>
      <c r="P837" s="1467">
        <f>SUM($P$278)</f>
        <v>-2.1112143212951434E-2</v>
      </c>
      <c r="R837" s="1375">
        <v>15</v>
      </c>
      <c r="S837" s="1357">
        <f t="shared" si="119"/>
        <v>7</v>
      </c>
      <c r="T837" s="1357">
        <f t="shared" si="118"/>
        <v>7</v>
      </c>
      <c r="U837" s="1394">
        <v>837</v>
      </c>
      <c r="V837" s="1357"/>
    </row>
    <row r="838" spans="1:22" ht="15.75" customHeight="1">
      <c r="A838" s="1375" t="str">
        <f>$A$279</f>
        <v>Millet: kg produced</v>
      </c>
      <c r="B838" s="1559"/>
      <c r="C838" s="1467">
        <f>SUM($C$285)</f>
        <v>0</v>
      </c>
      <c r="D838" s="1467">
        <f>SUM($D$285)</f>
        <v>0</v>
      </c>
      <c r="E838" s="1467">
        <f>SUM($E$285)</f>
        <v>0</v>
      </c>
      <c r="F838" s="1467">
        <f>SUM($F$285)</f>
        <v>0</v>
      </c>
      <c r="G838" s="1550"/>
      <c r="H838" s="1467">
        <f>SUM($H$285)</f>
        <v>0</v>
      </c>
      <c r="I838" s="1467">
        <f>SUM($I$285)</f>
        <v>0</v>
      </c>
      <c r="J838" s="1467">
        <f>SUM($J$285)</f>
        <v>0</v>
      </c>
      <c r="K838" s="1467">
        <f>SUM($K$285)</f>
        <v>0</v>
      </c>
      <c r="L838" s="1550"/>
      <c r="M838" s="1467">
        <f>SUM($M$285)</f>
        <v>0</v>
      </c>
      <c r="N838" s="1467">
        <f>SUM($N$285)</f>
        <v>0</v>
      </c>
      <c r="O838" s="1467">
        <f>SUM($O$285)</f>
        <v>0</v>
      </c>
      <c r="P838" s="1467">
        <f>SUM($P$285)</f>
        <v>0</v>
      </c>
      <c r="R838" s="1375">
        <v>16</v>
      </c>
      <c r="S838" s="1357">
        <f t="shared" si="119"/>
        <v>7</v>
      </c>
      <c r="T838" s="1357" t="str">
        <f t="shared" si="118"/>
        <v/>
      </c>
      <c r="U838" s="1394">
        <v>838</v>
      </c>
      <c r="V838" s="1357"/>
    </row>
    <row r="839" spans="1:22" ht="15.75" customHeight="1">
      <c r="A839" s="1375" t="str">
        <f>$A$286</f>
        <v>Finger millet: kg produced</v>
      </c>
      <c r="B839" s="1559"/>
      <c r="C839" s="1467">
        <f>SUM($C$292)</f>
        <v>0</v>
      </c>
      <c r="D839" s="1467">
        <f>SUM($D$292)</f>
        <v>0</v>
      </c>
      <c r="E839" s="1467">
        <f>SUM($E$292)</f>
        <v>0</v>
      </c>
      <c r="F839" s="1467">
        <f>SUM($F$292)</f>
        <v>0</v>
      </c>
      <c r="G839" s="1550"/>
      <c r="H839" s="1467">
        <f>SUM($H$292)</f>
        <v>0</v>
      </c>
      <c r="I839" s="1467">
        <f>SUM($I$292)</f>
        <v>0</v>
      </c>
      <c r="J839" s="1467">
        <f>SUM($J$292)</f>
        <v>0</v>
      </c>
      <c r="K839" s="1467">
        <f>SUM($K$292)</f>
        <v>0</v>
      </c>
      <c r="L839" s="1550"/>
      <c r="M839" s="1467">
        <f>SUM($M$292)</f>
        <v>0</v>
      </c>
      <c r="N839" s="1467">
        <f>SUM($N$292)</f>
        <v>0</v>
      </c>
      <c r="O839" s="1467">
        <f>SUM($O$292)</f>
        <v>0</v>
      </c>
      <c r="P839" s="1467">
        <f>SUM($P$292)</f>
        <v>0</v>
      </c>
      <c r="R839" s="1375">
        <v>17</v>
      </c>
      <c r="S839" s="1357">
        <f t="shared" si="119"/>
        <v>7</v>
      </c>
      <c r="T839" s="1357" t="str">
        <f t="shared" si="118"/>
        <v/>
      </c>
      <c r="U839" s="1394">
        <v>839</v>
      </c>
      <c r="V839" s="1357"/>
    </row>
    <row r="840" spans="1:22" ht="15.75" customHeight="1">
      <c r="A840" s="1375" t="str">
        <f>$A$293</f>
        <v>Wheat: kg produced</v>
      </c>
      <c r="B840" s="1559"/>
      <c r="C840" s="1467">
        <f>SUM($C$299)</f>
        <v>0</v>
      </c>
      <c r="D840" s="1467">
        <f>SUM($D$299)</f>
        <v>0</v>
      </c>
      <c r="E840" s="1467">
        <f>SUM($E$299)</f>
        <v>0</v>
      </c>
      <c r="F840" s="1467">
        <f>SUM($F$299)</f>
        <v>0</v>
      </c>
      <c r="G840" s="1550"/>
      <c r="H840" s="1467">
        <f>SUM($H$299)</f>
        <v>0</v>
      </c>
      <c r="I840" s="1467">
        <f>SUM($I$299)</f>
        <v>0</v>
      </c>
      <c r="J840" s="1467">
        <f>SUM($J$299)</f>
        <v>0</v>
      </c>
      <c r="K840" s="1467">
        <f>SUM($K$299)</f>
        <v>0</v>
      </c>
      <c r="L840" s="1550"/>
      <c r="M840" s="1467">
        <f>SUM($M$299)</f>
        <v>0</v>
      </c>
      <c r="N840" s="1467">
        <f>SUM($N$299)</f>
        <v>0</v>
      </c>
      <c r="O840" s="1467">
        <f>SUM($O$299)</f>
        <v>0</v>
      </c>
      <c r="P840" s="1467">
        <f>SUM($P$299)</f>
        <v>0</v>
      </c>
      <c r="R840" s="1375">
        <v>18</v>
      </c>
      <c r="S840" s="1357">
        <f t="shared" si="119"/>
        <v>7</v>
      </c>
      <c r="T840" s="1357" t="str">
        <f t="shared" si="118"/>
        <v/>
      </c>
      <c r="U840" s="1394">
        <v>840</v>
      </c>
      <c r="V840" s="1357"/>
    </row>
    <row r="841" spans="1:22" ht="15.75" customHeight="1">
      <c r="A841" s="1583" t="str">
        <f>$A$300</f>
        <v>Cassava: no. local meas.</v>
      </c>
      <c r="B841" s="1559"/>
      <c r="C841" s="1467">
        <f>SUM($C$309)</f>
        <v>4.9858374844333753E-2</v>
      </c>
      <c r="D841" s="1467">
        <f>SUM($D$309)</f>
        <v>0</v>
      </c>
      <c r="E841" s="1467">
        <f>SUM($E$309)</f>
        <v>0</v>
      </c>
      <c r="F841" s="1467">
        <f>SUM($F$309)</f>
        <v>0</v>
      </c>
      <c r="G841" s="1550"/>
      <c r="H841" s="1467">
        <f>SUM($H$309)</f>
        <v>6.2322968555417191E-2</v>
      </c>
      <c r="I841" s="1467">
        <f>SUM($I$309)</f>
        <v>0</v>
      </c>
      <c r="J841" s="1467">
        <f>SUM($J$309)</f>
        <v>0</v>
      </c>
      <c r="K841" s="1467">
        <f>SUM($K$309)</f>
        <v>0</v>
      </c>
      <c r="L841" s="1550"/>
      <c r="M841" s="1467">
        <f>SUM($M$309)</f>
        <v>1.2464593711083438E-2</v>
      </c>
      <c r="N841" s="1467">
        <f>SUM($N$309)</f>
        <v>0</v>
      </c>
      <c r="O841" s="1467">
        <f>SUM($O$309)</f>
        <v>0</v>
      </c>
      <c r="P841" s="1467">
        <f>SUM($P$309)</f>
        <v>0</v>
      </c>
      <c r="R841" s="1375">
        <v>19</v>
      </c>
      <c r="S841" s="1357">
        <f t="shared" si="119"/>
        <v>8</v>
      </c>
      <c r="T841" s="1357">
        <f t="shared" si="118"/>
        <v>8</v>
      </c>
      <c r="U841" s="1394">
        <v>841</v>
      </c>
      <c r="V841" s="1357"/>
    </row>
    <row r="842" spans="1:22" ht="15.75" customHeight="1">
      <c r="A842" s="1375" t="str">
        <f>$A$310</f>
        <v>Water melon: no. local meas (Bhece)</v>
      </c>
      <c r="B842" s="1559"/>
      <c r="C842" s="1467">
        <f>SUM($C$319)</f>
        <v>0</v>
      </c>
      <c r="D842" s="1467">
        <f>SUM($D$319)</f>
        <v>0</v>
      </c>
      <c r="E842" s="1582">
        <f>SUM($E$319)</f>
        <v>2.2485149439601493E-3</v>
      </c>
      <c r="F842" s="1467">
        <f>SUM($F$319)</f>
        <v>1.9986799501867992E-3</v>
      </c>
      <c r="G842" s="1550"/>
      <c r="H842" s="1467">
        <f>SUM($H$319)</f>
        <v>0</v>
      </c>
      <c r="I842" s="1467">
        <f>SUM($I$319)</f>
        <v>0</v>
      </c>
      <c r="J842" s="1467">
        <f>SUM($J$319)</f>
        <v>3.3727724159402241E-3</v>
      </c>
      <c r="K842" s="1467">
        <f>SUM($K$319)</f>
        <v>2.998019925280199E-3</v>
      </c>
      <c r="L842" s="1550"/>
      <c r="M842" s="1467">
        <f>SUM($M$319)</f>
        <v>0</v>
      </c>
      <c r="N842" s="1467">
        <f>SUM($N$319)</f>
        <v>0</v>
      </c>
      <c r="O842" s="1467">
        <f>SUM($O$319)</f>
        <v>1.1242574719800748E-3</v>
      </c>
      <c r="P842" s="1467">
        <f>SUM($P$319)</f>
        <v>9.9933997509339982E-4</v>
      </c>
      <c r="R842" s="1375">
        <v>20</v>
      </c>
      <c r="S842" s="1357">
        <f t="shared" si="119"/>
        <v>9</v>
      </c>
      <c r="T842" s="1357">
        <f t="shared" si="118"/>
        <v>9</v>
      </c>
      <c r="U842" s="1394">
        <v>842</v>
      </c>
      <c r="V842" s="1357"/>
    </row>
    <row r="843" spans="1:22" ht="15.75" customHeight="1">
      <c r="A843" s="1375" t="str">
        <f>$A$320</f>
        <v>Pumpkin: no. local meas</v>
      </c>
      <c r="B843" s="1559"/>
      <c r="C843" s="1467">
        <f>SUM($C$329)</f>
        <v>0</v>
      </c>
      <c r="D843" s="1467">
        <f>SUM($D$329)</f>
        <v>2.1996341843088418E-2</v>
      </c>
      <c r="E843" s="1582">
        <f>SUM($E$329)</f>
        <v>0</v>
      </c>
      <c r="F843" s="1467">
        <f>SUM($F$329)</f>
        <v>0</v>
      </c>
      <c r="G843" s="1550"/>
      <c r="H843" s="1467">
        <f>SUM($H$329)</f>
        <v>0</v>
      </c>
      <c r="I843" s="1467">
        <f>SUM($I$329)</f>
        <v>0</v>
      </c>
      <c r="J843" s="1467">
        <f>SUM($J$329)</f>
        <v>0</v>
      </c>
      <c r="K843" s="1467">
        <f>SUM($K$329)</f>
        <v>0</v>
      </c>
      <c r="L843" s="1550"/>
      <c r="M843" s="1467">
        <f>SUM($M$329)</f>
        <v>0</v>
      </c>
      <c r="N843" s="1467">
        <f>SUM($N$329)</f>
        <v>0</v>
      </c>
      <c r="O843" s="1467">
        <f>SUM($O$329)</f>
        <v>0</v>
      </c>
      <c r="P843" s="1467">
        <f>SUM($P$329)</f>
        <v>0</v>
      </c>
      <c r="R843" s="1375">
        <v>21</v>
      </c>
      <c r="S843" s="1357">
        <f t="shared" si="119"/>
        <v>10</v>
      </c>
      <c r="T843" s="1357">
        <f t="shared" si="118"/>
        <v>10</v>
      </c>
      <c r="U843" s="1394">
        <v>843</v>
      </c>
      <c r="V843" s="1357"/>
    </row>
    <row r="844" spans="1:22" ht="15.75" customHeight="1">
      <c r="A844" s="1375" t="str">
        <f>$A$330</f>
        <v>Sweet poatato: no. local meas</v>
      </c>
      <c r="B844" s="1559"/>
      <c r="C844" s="1467">
        <f>SUM($C$339)</f>
        <v>2.5988480697384807E-2</v>
      </c>
      <c r="D844" s="1467">
        <f>SUM($D$339)</f>
        <v>2.5988480697384807E-2</v>
      </c>
      <c r="E844" s="1467">
        <f>SUM($E$339)</f>
        <v>6.125856164383562E-2</v>
      </c>
      <c r="F844" s="1467">
        <f>SUM($F$339)</f>
        <v>3.7951432129514323E-2</v>
      </c>
      <c r="G844" s="1550"/>
      <c r="H844" s="1467">
        <f>SUM($H$339)</f>
        <v>0</v>
      </c>
      <c r="I844" s="1467">
        <f>SUM($I$339)</f>
        <v>0</v>
      </c>
      <c r="J844" s="1467">
        <f>SUM($J$339)</f>
        <v>7.0540161892901618E-2</v>
      </c>
      <c r="K844" s="1467">
        <f>SUM($K$339)</f>
        <v>6.2702366127023665E-2</v>
      </c>
      <c r="L844" s="1550"/>
      <c r="M844" s="1467">
        <f>SUM($M$339)</f>
        <v>0</v>
      </c>
      <c r="N844" s="1467">
        <f>SUM($N$339)</f>
        <v>0</v>
      </c>
      <c r="O844" s="1467">
        <f>SUM($O$339)</f>
        <v>9.281600249065998E-3</v>
      </c>
      <c r="P844" s="1467">
        <f>SUM($P$339)</f>
        <v>2.4750933997509342E-2</v>
      </c>
      <c r="R844" s="1375">
        <v>22</v>
      </c>
      <c r="S844" s="1357">
        <f t="shared" si="119"/>
        <v>11</v>
      </c>
      <c r="T844" s="1357">
        <f t="shared" si="118"/>
        <v>11</v>
      </c>
      <c r="U844" s="1394">
        <v>844</v>
      </c>
      <c r="V844" s="1357"/>
    </row>
    <row r="845" spans="1:22" ht="15.75" customHeight="1">
      <c r="A845" s="1375" t="str">
        <f>$A$340</f>
        <v>Groundnuts (dry): no. local meas</v>
      </c>
      <c r="B845" s="1559"/>
      <c r="C845" s="1467">
        <f>SUM($C$349)</f>
        <v>3.3018953144458282E-2</v>
      </c>
      <c r="D845" s="1467">
        <f>SUM($D$349)</f>
        <v>5.849071699875466E-2</v>
      </c>
      <c r="E845" s="1582">
        <f>SUM($E$349)</f>
        <v>9.4339866127023678E-2</v>
      </c>
      <c r="F845" s="1467">
        <f>SUM($F$349)</f>
        <v>0.10482207347447074</v>
      </c>
      <c r="G845" s="1550"/>
      <c r="H845" s="1467">
        <f>SUM($H$349)</f>
        <v>0</v>
      </c>
      <c r="I845" s="1467">
        <f>SUM($I$349)</f>
        <v>0.10566065006226651</v>
      </c>
      <c r="J845" s="1467">
        <f>SUM($J$349)</f>
        <v>0.1415097991905355</v>
      </c>
      <c r="K845" s="1467">
        <f>SUM($K$349)</f>
        <v>0.15513666874221671</v>
      </c>
      <c r="L845" s="1550"/>
      <c r="M845" s="1467">
        <f>SUM($M$349)</f>
        <v>0</v>
      </c>
      <c r="N845" s="1467">
        <f>SUM($N$349)</f>
        <v>4.7169933063511846E-2</v>
      </c>
      <c r="O845" s="1467">
        <f>SUM($O$349)</f>
        <v>4.7169933063511818E-2</v>
      </c>
      <c r="P845" s="1467">
        <f>SUM($P$349)</f>
        <v>5.0314595267745968E-2</v>
      </c>
      <c r="R845" s="1375">
        <v>23</v>
      </c>
      <c r="S845" s="1357">
        <f t="shared" si="119"/>
        <v>12</v>
      </c>
      <c r="T845" s="1357">
        <f t="shared" si="118"/>
        <v>12</v>
      </c>
      <c r="U845" s="1394">
        <v>845</v>
      </c>
      <c r="V845" s="1357"/>
    </row>
    <row r="846" spans="1:22" ht="15.75" customHeight="1">
      <c r="A846" s="1375" t="str">
        <f>$A$350</f>
        <v>Roundnuts (bambara): no. local meas</v>
      </c>
      <c r="B846" s="1559"/>
      <c r="C846" s="1467">
        <f>SUM($C$359)</f>
        <v>0</v>
      </c>
      <c r="D846" s="1467">
        <f>SUM($D$359)</f>
        <v>0</v>
      </c>
      <c r="E846" s="1582">
        <f>SUM($E$359)</f>
        <v>0</v>
      </c>
      <c r="F846" s="1467">
        <f>SUM($F$359)</f>
        <v>0</v>
      </c>
      <c r="G846" s="1550"/>
      <c r="H846" s="1467">
        <f>SUM($H$359)</f>
        <v>0</v>
      </c>
      <c r="I846" s="1467">
        <f>SUM($I$359)</f>
        <v>0</v>
      </c>
      <c r="J846" s="1467">
        <f>SUM($J$359)</f>
        <v>0</v>
      </c>
      <c r="K846" s="1467">
        <f>SUM($K$359)</f>
        <v>0</v>
      </c>
      <c r="L846" s="1550"/>
      <c r="M846" s="1467">
        <f>SUM($M$359)</f>
        <v>0</v>
      </c>
      <c r="N846" s="1467">
        <f>SUM($N$359)</f>
        <v>0</v>
      </c>
      <c r="O846" s="1467">
        <f>SUM($O$359)</f>
        <v>0</v>
      </c>
      <c r="P846" s="1467">
        <f>SUM($P$359)</f>
        <v>0</v>
      </c>
      <c r="R846" s="1375">
        <v>24</v>
      </c>
      <c r="S846" s="1357">
        <f t="shared" si="119"/>
        <v>12</v>
      </c>
      <c r="T846" s="1357" t="str">
        <f t="shared" si="118"/>
        <v/>
      </c>
      <c r="U846" s="1394">
        <v>846</v>
      </c>
      <c r="V846" s="1357"/>
    </row>
    <row r="847" spans="1:22" ht="15.75" customHeight="1">
      <c r="A847" s="1375" t="str">
        <f>$A$360</f>
        <v>Irish potato: type</v>
      </c>
      <c r="B847" s="1559"/>
      <c r="C847" s="1467">
        <f>SUM($C$370)</f>
        <v>6.1099003735990039E-3</v>
      </c>
      <c r="D847" s="1467">
        <f>SUM($D$370)</f>
        <v>8.3094645080946453E-3</v>
      </c>
      <c r="E847" s="1467">
        <f>SUM($E$370)</f>
        <v>2.4561799501867997E-2</v>
      </c>
      <c r="F847" s="1467">
        <f>SUM($F$370)</f>
        <v>7.0603293206032928E-3</v>
      </c>
      <c r="G847" s="1550"/>
      <c r="H847" s="1467">
        <f>SUM($H$370)</f>
        <v>0</v>
      </c>
      <c r="I847" s="1467">
        <f>SUM($I$370)</f>
        <v>1.0509028642590287E-2</v>
      </c>
      <c r="J847" s="1467">
        <f>SUM($J$370)</f>
        <v>4.8146014943960147E-2</v>
      </c>
      <c r="K847" s="1467">
        <f>SUM($K$370)</f>
        <v>1.4663760896637609E-2</v>
      </c>
      <c r="L847" s="1550"/>
      <c r="M847" s="1467">
        <f>SUM($M$370)</f>
        <v>0</v>
      </c>
      <c r="N847" s="1467">
        <f>SUM($N$370)</f>
        <v>2.1995641344956414E-3</v>
      </c>
      <c r="O847" s="1467">
        <f>SUM($O$370)</f>
        <v>2.358421544209215E-2</v>
      </c>
      <c r="P847" s="1467">
        <f>SUM($P$370)</f>
        <v>7.6034315760343165E-3</v>
      </c>
      <c r="R847" s="1375">
        <v>25</v>
      </c>
      <c r="S847" s="1357">
        <f t="shared" si="119"/>
        <v>13</v>
      </c>
      <c r="T847" s="1357">
        <f t="shared" si="118"/>
        <v>13</v>
      </c>
      <c r="U847" s="1394">
        <v>847</v>
      </c>
      <c r="V847" s="1357"/>
    </row>
    <row r="848" spans="1:22" ht="15.75" customHeight="1">
      <c r="A848" s="1375" t="str">
        <f>$A$371</f>
        <v>Jugo beans:</v>
      </c>
      <c r="B848" s="1559"/>
      <c r="C848" s="1467">
        <f>SUM($C$381)</f>
        <v>0</v>
      </c>
      <c r="D848" s="1467">
        <f>SUM($D$381)</f>
        <v>0</v>
      </c>
      <c r="E848" s="1582">
        <f>SUM($E$381)</f>
        <v>0</v>
      </c>
      <c r="F848" s="1467">
        <f>SUM($F$381)</f>
        <v>0</v>
      </c>
      <c r="G848" s="1550"/>
      <c r="H848" s="1467">
        <f>SUM($H$381)</f>
        <v>0</v>
      </c>
      <c r="I848" s="1467">
        <f>SUM($I$381)</f>
        <v>0</v>
      </c>
      <c r="J848" s="1467">
        <f>SUM($J$381)</f>
        <v>0</v>
      </c>
      <c r="K848" s="1467">
        <f>SUM($K$381)</f>
        <v>0</v>
      </c>
      <c r="L848" s="1550"/>
      <c r="M848" s="1467">
        <f>SUM($M$381)</f>
        <v>0</v>
      </c>
      <c r="N848" s="1467">
        <f>SUM($N$381)</f>
        <v>0</v>
      </c>
      <c r="O848" s="1467">
        <f>SUM($O$381)</f>
        <v>0</v>
      </c>
      <c r="P848" s="1467">
        <f>SUM($P$381)</f>
        <v>0</v>
      </c>
      <c r="R848" s="1375">
        <v>26</v>
      </c>
      <c r="S848" s="1357">
        <f t="shared" si="119"/>
        <v>13</v>
      </c>
      <c r="T848" s="1357" t="str">
        <f t="shared" si="118"/>
        <v/>
      </c>
      <c r="U848" s="1394">
        <v>848</v>
      </c>
      <c r="V848" s="1357"/>
    </row>
    <row r="849" spans="1:22" ht="15.75" customHeight="1">
      <c r="A849" s="1375" t="str">
        <f>$A$382</f>
        <v>Yam: type</v>
      </c>
      <c r="B849" s="1559"/>
      <c r="C849" s="1467">
        <f>SUM($C$391)</f>
        <v>2.5393057285180574E-2</v>
      </c>
      <c r="D849" s="1467">
        <f>SUM($D$391)</f>
        <v>2.082230697384807E-2</v>
      </c>
      <c r="E849" s="1467">
        <f>SUM($E$391)</f>
        <v>2.0991594022415939E-2</v>
      </c>
      <c r="F849" s="1467">
        <f>SUM($F$391)</f>
        <v>2.2571606475716065E-2</v>
      </c>
      <c r="G849" s="1550"/>
      <c r="H849" s="1467">
        <f>SUM($H$391)</f>
        <v>0</v>
      </c>
      <c r="I849" s="1467">
        <f>SUM($I$391)</f>
        <v>0</v>
      </c>
      <c r="J849" s="1467">
        <f>SUM($J$391)</f>
        <v>0</v>
      </c>
      <c r="K849" s="1467">
        <f>SUM($K$391)</f>
        <v>0</v>
      </c>
      <c r="L849" s="1550"/>
      <c r="M849" s="1467">
        <f>SUM($M$391)</f>
        <v>0</v>
      </c>
      <c r="N849" s="1467">
        <f>SUM($N$391)</f>
        <v>0</v>
      </c>
      <c r="O849" s="1467">
        <f>SUM($O$391)</f>
        <v>0</v>
      </c>
      <c r="P849" s="1467">
        <f>SUM($P$391)</f>
        <v>0</v>
      </c>
      <c r="R849" s="1375">
        <v>27</v>
      </c>
      <c r="S849" s="1357">
        <f t="shared" si="119"/>
        <v>14</v>
      </c>
      <c r="T849" s="1357">
        <f t="shared" si="118"/>
        <v>14</v>
      </c>
      <c r="U849" s="1394">
        <v>849</v>
      </c>
      <c r="V849" s="1357"/>
    </row>
    <row r="850" spans="1:22" ht="15.75" customHeight="1">
      <c r="A850" s="1584" t="s">
        <v>678</v>
      </c>
      <c r="B850" s="1559"/>
      <c r="C850" s="1550"/>
      <c r="D850" s="1550"/>
      <c r="E850" s="1550"/>
      <c r="F850" s="1550"/>
      <c r="G850" s="1550"/>
      <c r="H850" s="1550"/>
      <c r="I850" s="1550"/>
      <c r="J850" s="1550"/>
      <c r="K850" s="1550"/>
      <c r="L850" s="1550"/>
      <c r="M850" s="1550"/>
      <c r="N850" s="1550"/>
      <c r="O850" s="1550"/>
      <c r="P850" s="1550"/>
      <c r="R850" s="1375"/>
      <c r="S850" s="1357">
        <f t="shared" si="119"/>
        <v>14</v>
      </c>
      <c r="T850" s="1357" t="str">
        <f t="shared" si="118"/>
        <v/>
      </c>
      <c r="U850" s="1394">
        <v>850</v>
      </c>
      <c r="V850" s="1357"/>
    </row>
    <row r="851" spans="1:22" ht="15.75" customHeight="1">
      <c r="A851" s="1375" t="str">
        <f>Data!$A$428</f>
        <v>FISHING -- see worksheet Data 3</v>
      </c>
      <c r="B851" s="1559"/>
      <c r="C851" s="1467">
        <f>SUM($C$437)</f>
        <v>0</v>
      </c>
      <c r="D851" s="1467">
        <f>SUM($D$437)</f>
        <v>0</v>
      </c>
      <c r="E851" s="1467">
        <f>SUM($E$437)</f>
        <v>0</v>
      </c>
      <c r="F851" s="1467">
        <f>SUM($F$437)</f>
        <v>1.1706102117061022E-2</v>
      </c>
      <c r="G851" s="1550"/>
      <c r="H851" s="1467">
        <f>SUM($H$437)</f>
        <v>0</v>
      </c>
      <c r="I851" s="1467">
        <f>SUM($I$437)</f>
        <v>0</v>
      </c>
      <c r="J851" s="1467">
        <f>SUM($J$437)</f>
        <v>0</v>
      </c>
      <c r="K851" s="1467">
        <f>SUM($K$437)</f>
        <v>1.4632627646326278E-2</v>
      </c>
      <c r="L851" s="1550"/>
      <c r="M851" s="1467">
        <f>SUM($M$437)</f>
        <v>0</v>
      </c>
      <c r="N851" s="1467">
        <f>SUM($N$437)</f>
        <v>0</v>
      </c>
      <c r="O851" s="1467">
        <f>SUM($O$437)</f>
        <v>0</v>
      </c>
      <c r="P851" s="1467">
        <f>SUM($P$437)</f>
        <v>2.9265255292652559E-3</v>
      </c>
      <c r="R851" s="1375">
        <v>28</v>
      </c>
      <c r="S851" s="1357">
        <f t="shared" si="119"/>
        <v>15</v>
      </c>
      <c r="T851" s="1357">
        <f t="shared" si="118"/>
        <v>15</v>
      </c>
      <c r="U851" s="1394">
        <v>851</v>
      </c>
      <c r="V851" s="1357"/>
    </row>
    <row r="852" spans="1:22" ht="15.75" customHeight="1">
      <c r="A852" s="1375" t="str">
        <f>Data!$A$438</f>
        <v>WILD FOODS -- see worksheet Data 3</v>
      </c>
      <c r="B852" s="1559"/>
      <c r="C852" s="1467">
        <f>SUM($C$447)</f>
        <v>0</v>
      </c>
      <c r="D852" s="1467">
        <f>SUM($D$447)</f>
        <v>0</v>
      </c>
      <c r="E852" s="1467">
        <f>SUM($E$447)</f>
        <v>0</v>
      </c>
      <c r="F852" s="1467">
        <f>SUM($F$447)</f>
        <v>0</v>
      </c>
      <c r="G852" s="1550"/>
      <c r="H852" s="1467">
        <f>SUM($H$447)</f>
        <v>0</v>
      </c>
      <c r="I852" s="1467">
        <f>SUM($I$447)</f>
        <v>0</v>
      </c>
      <c r="J852" s="1467">
        <f>SUM($J$447)</f>
        <v>0</v>
      </c>
      <c r="K852" s="1467">
        <f>SUM($K$447)</f>
        <v>0</v>
      </c>
      <c r="L852" s="1550"/>
      <c r="M852" s="1467">
        <f>SUM($M$447)</f>
        <v>0</v>
      </c>
      <c r="N852" s="1467">
        <f>SUM($N$447)</f>
        <v>0</v>
      </c>
      <c r="O852" s="1467">
        <f>SUM($O$447)</f>
        <v>0</v>
      </c>
      <c r="P852" s="1467">
        <f>SUM($P$447)</f>
        <v>0</v>
      </c>
      <c r="R852" s="1375">
        <v>29</v>
      </c>
      <c r="S852" s="1357">
        <f t="shared" si="119"/>
        <v>15</v>
      </c>
      <c r="T852" s="1357" t="str">
        <f t="shared" si="118"/>
        <v/>
      </c>
      <c r="U852" s="1394">
        <v>852</v>
      </c>
      <c r="V852" s="1357"/>
    </row>
    <row r="853" spans="1:22" ht="15.75" customHeight="1">
      <c r="A853" s="1556" t="s">
        <v>21</v>
      </c>
      <c r="B853" s="1559"/>
      <c r="C853" s="1550"/>
      <c r="D853" s="1550"/>
      <c r="E853" s="1550"/>
      <c r="F853" s="1550"/>
      <c r="G853" s="1550"/>
      <c r="H853" s="1550"/>
      <c r="I853" s="1550"/>
      <c r="J853" s="1550"/>
      <c r="K853" s="1550"/>
      <c r="L853" s="1550"/>
      <c r="M853" s="1550"/>
      <c r="N853" s="1550"/>
      <c r="O853" s="1550"/>
      <c r="P853" s="1550"/>
      <c r="R853" s="1375"/>
      <c r="S853" s="1357">
        <f t="shared" si="119"/>
        <v>15</v>
      </c>
      <c r="T853" s="1357" t="str">
        <f t="shared" si="118"/>
        <v/>
      </c>
      <c r="U853" s="1394">
        <v>853</v>
      </c>
      <c r="V853" s="1357"/>
    </row>
    <row r="854" spans="1:22" ht="15.75" customHeight="1">
      <c r="A854" s="1375" t="str">
        <f>$A$644</f>
        <v>Labour: Land clearing, construction, herding, slaughtering</v>
      </c>
      <c r="B854" s="1559"/>
      <c r="C854" s="1467">
        <f>SUM($C$649)</f>
        <v>0</v>
      </c>
      <c r="D854" s="1467">
        <f>SUM($D$649)</f>
        <v>5.6779890410958905E-2</v>
      </c>
      <c r="E854" s="1467">
        <f>SUM($E$649)</f>
        <v>0</v>
      </c>
      <c r="F854" s="1467">
        <f>SUM($F$649)</f>
        <v>0</v>
      </c>
      <c r="G854" s="1550"/>
      <c r="H854" s="1467">
        <f>SUM($H$649)</f>
        <v>0</v>
      </c>
      <c r="I854" s="1467">
        <f>SUM($I$649)</f>
        <v>5.6779890410958905E-2</v>
      </c>
      <c r="J854" s="1467">
        <f>SUM($J$649)</f>
        <v>0</v>
      </c>
      <c r="K854" s="1467">
        <f>SUM($K$649)</f>
        <v>0</v>
      </c>
      <c r="L854" s="1550"/>
      <c r="M854" s="1467">
        <f>SUM($M$649)</f>
        <v>0</v>
      </c>
      <c r="N854" s="1467">
        <f>SUM($N$649)</f>
        <v>0</v>
      </c>
      <c r="O854" s="1467">
        <f>SUM($O$649)</f>
        <v>0</v>
      </c>
      <c r="P854" s="1467">
        <f>SUM($P$649)</f>
        <v>0</v>
      </c>
      <c r="R854" s="1375"/>
      <c r="S854" s="1357">
        <f t="shared" si="119"/>
        <v>16</v>
      </c>
      <c r="T854" s="1357">
        <f t="shared" si="118"/>
        <v>16</v>
      </c>
      <c r="U854" s="1394">
        <v>854</v>
      </c>
      <c r="V854" s="1357"/>
    </row>
    <row r="855" spans="1:22" ht="15.75" customHeight="1">
      <c r="A855" s="1375" t="str">
        <f>$A$650</f>
        <v>Labour: Weeding</v>
      </c>
      <c r="B855" s="1559"/>
      <c r="C855" s="1467">
        <f>SUM($C$655)</f>
        <v>0</v>
      </c>
      <c r="D855" s="1467">
        <f>SUM($D$655)</f>
        <v>1.8926630136986301E-2</v>
      </c>
      <c r="E855" s="1467">
        <f>SUM($E$655)</f>
        <v>0</v>
      </c>
      <c r="F855" s="1467">
        <f>SUM($F$655)</f>
        <v>0</v>
      </c>
      <c r="G855" s="1550"/>
      <c r="H855" s="1467">
        <f>SUM($H$655)</f>
        <v>0</v>
      </c>
      <c r="I855" s="1467">
        <f>SUM($I$655)</f>
        <v>1.8926630136986301E-2</v>
      </c>
      <c r="J855" s="1467">
        <f>SUM($J$655)</f>
        <v>0</v>
      </c>
      <c r="K855" s="1467">
        <f>SUM($K$655)</f>
        <v>0</v>
      </c>
      <c r="L855" s="1550"/>
      <c r="M855" s="1467">
        <f>SUM($M$655)</f>
        <v>0</v>
      </c>
      <c r="N855" s="1467">
        <f>SUM($N$655)</f>
        <v>0</v>
      </c>
      <c r="O855" s="1467">
        <f>SUM($O$655)</f>
        <v>0</v>
      </c>
      <c r="P855" s="1467">
        <f>SUM($P$655)</f>
        <v>0</v>
      </c>
      <c r="R855" s="1375"/>
      <c r="S855" s="1357">
        <f t="shared" si="119"/>
        <v>17</v>
      </c>
      <c r="T855" s="1357">
        <f t="shared" si="118"/>
        <v>17</v>
      </c>
      <c r="U855" s="1394">
        <v>855</v>
      </c>
      <c r="V855" s="1357"/>
    </row>
    <row r="856" spans="1:22" ht="15.75" customHeight="1">
      <c r="A856" s="1375" t="str">
        <f>$A$656</f>
        <v>Labour: Harvesting</v>
      </c>
      <c r="B856" s="1559"/>
      <c r="C856" s="1467">
        <f>SUM($C$661)</f>
        <v>0</v>
      </c>
      <c r="D856" s="1467">
        <f>SUM($D$661)</f>
        <v>0</v>
      </c>
      <c r="E856" s="1467">
        <f>SUM($E$661)</f>
        <v>0</v>
      </c>
      <c r="F856" s="1467">
        <f>SUM($F$661)</f>
        <v>0</v>
      </c>
      <c r="G856" s="1550"/>
      <c r="H856" s="1467">
        <f>SUM($H$661)</f>
        <v>0</v>
      </c>
      <c r="I856" s="1467">
        <f>SUM($I$661)</f>
        <v>0</v>
      </c>
      <c r="J856" s="1467">
        <f>SUM($J$661)</f>
        <v>0</v>
      </c>
      <c r="K856" s="1467">
        <f>SUM($K$661)</f>
        <v>0</v>
      </c>
      <c r="L856" s="1550"/>
      <c r="M856" s="1467">
        <f>SUM($M$661)</f>
        <v>0</v>
      </c>
      <c r="N856" s="1467">
        <f>SUM($N$661)</f>
        <v>0</v>
      </c>
      <c r="O856" s="1467">
        <f>SUM($O$661)</f>
        <v>0</v>
      </c>
      <c r="P856" s="1467">
        <f>SUM($P$661)</f>
        <v>0</v>
      </c>
      <c r="R856" s="1375"/>
      <c r="S856" s="1357">
        <f t="shared" si="119"/>
        <v>17</v>
      </c>
      <c r="T856" s="1357" t="str">
        <f t="shared" si="118"/>
        <v/>
      </c>
      <c r="U856" s="1394">
        <v>856</v>
      </c>
      <c r="V856" s="1357"/>
    </row>
    <row r="857" spans="1:22" ht="15.75" customHeight="1">
      <c r="A857" s="1375" t="str">
        <f>$A$662</f>
        <v>Labour migration: no. people per HH</v>
      </c>
      <c r="B857" s="1559"/>
      <c r="C857" s="1467">
        <f>SUM($C$664)</f>
        <v>0</v>
      </c>
      <c r="D857" s="1467">
        <f>SUM($D$664)</f>
        <v>0</v>
      </c>
      <c r="E857" s="1467">
        <f>SUM($E$664)</f>
        <v>0</v>
      </c>
      <c r="F857" s="1467">
        <f>SUM($F$664)</f>
        <v>0</v>
      </c>
      <c r="G857" s="1550"/>
      <c r="H857" s="1467">
        <f>SUM($H$664)</f>
        <v>0</v>
      </c>
      <c r="I857" s="1467">
        <f>SUM($I$664)</f>
        <v>0</v>
      </c>
      <c r="J857" s="1467">
        <f>SUM($J$664)</f>
        <v>0</v>
      </c>
      <c r="K857" s="1467">
        <f>SUM($K$664)</f>
        <v>0</v>
      </c>
      <c r="L857" s="1550"/>
      <c r="M857" s="1467">
        <f>SUM($M$664)</f>
        <v>0</v>
      </c>
      <c r="N857" s="1467">
        <f>SUM($N$664)</f>
        <v>0</v>
      </c>
      <c r="O857" s="1467">
        <f>SUM($O$664)</f>
        <v>0</v>
      </c>
      <c r="P857" s="1467">
        <f>SUM($P$664)</f>
        <v>0</v>
      </c>
      <c r="R857" s="1375">
        <v>30</v>
      </c>
      <c r="S857" s="1357">
        <f t="shared" si="119"/>
        <v>17</v>
      </c>
      <c r="T857" s="1357" t="str">
        <f t="shared" si="118"/>
        <v/>
      </c>
      <c r="U857" s="1394">
        <v>857</v>
      </c>
      <c r="V857" s="1357"/>
    </row>
    <row r="858" spans="1:22" ht="15.75" customHeight="1">
      <c r="A858" s="1556" t="s">
        <v>22</v>
      </c>
      <c r="B858" s="1559"/>
      <c r="C858" s="1550"/>
      <c r="D858" s="1550"/>
      <c r="E858" s="1550"/>
      <c r="F858" s="1550"/>
      <c r="G858" s="1550"/>
      <c r="H858" s="1550"/>
      <c r="I858" s="1550"/>
      <c r="J858" s="1550"/>
      <c r="K858" s="1550"/>
      <c r="L858" s="1550"/>
      <c r="M858" s="1550"/>
      <c r="N858" s="1550"/>
      <c r="O858" s="1550"/>
      <c r="P858" s="1550"/>
      <c r="R858" s="1375"/>
      <c r="S858" s="1357"/>
      <c r="T858" s="1357"/>
      <c r="U858" s="1394">
        <v>858</v>
      </c>
      <c r="V858" s="1357"/>
    </row>
    <row r="859" spans="1:22" ht="15.75" customHeight="1">
      <c r="A859" s="1375" t="str">
        <f>$A$449</f>
        <v>Maize meal purchase</v>
      </c>
      <c r="B859" s="1559"/>
      <c r="C859" s="1467">
        <f>SUM(C$455)</f>
        <v>0.35389669987546701</v>
      </c>
      <c r="D859" s="1467">
        <f t="shared" ref="D859:F859" si="120">SUM(D$455)</f>
        <v>0.35389669987546701</v>
      </c>
      <c r="E859" s="1467">
        <f t="shared" si="120"/>
        <v>0.35389669987546701</v>
      </c>
      <c r="F859" s="1467">
        <f t="shared" si="120"/>
        <v>0.31457484433374844</v>
      </c>
      <c r="G859" s="1550"/>
      <c r="H859" s="1467">
        <f>SUM(H$455)</f>
        <v>0</v>
      </c>
      <c r="I859" s="1467">
        <f t="shared" ref="I859:K859" si="121">SUM(I$455)</f>
        <v>0</v>
      </c>
      <c r="J859" s="1467">
        <f t="shared" si="121"/>
        <v>0</v>
      </c>
      <c r="K859" s="1467">
        <f t="shared" si="121"/>
        <v>0</v>
      </c>
      <c r="L859" s="1550"/>
      <c r="M859" s="1467">
        <f>SUM(M$455)</f>
        <v>0</v>
      </c>
      <c r="N859" s="1467">
        <f t="shared" ref="N859:P859" si="122">SUM(N$455)</f>
        <v>0</v>
      </c>
      <c r="O859" s="1467">
        <f t="shared" si="122"/>
        <v>0</v>
      </c>
      <c r="P859" s="1467">
        <f t="shared" si="122"/>
        <v>0</v>
      </c>
      <c r="R859" s="1375"/>
      <c r="S859" s="1357"/>
      <c r="T859" s="1357"/>
      <c r="U859" s="1394">
        <v>859</v>
      </c>
      <c r="V859" s="1357"/>
    </row>
    <row r="860" spans="1:22" ht="15.75" customHeight="1">
      <c r="A860" s="1375" t="str">
        <f>$A$458</f>
        <v>Maize samp purchase</v>
      </c>
      <c r="B860" s="1559"/>
      <c r="C860" s="1467">
        <f>SUM(C$464)</f>
        <v>7.0974863013698625E-2</v>
      </c>
      <c r="D860" s="1467">
        <f t="shared" ref="D860:F860" si="123">SUM(D$464)</f>
        <v>6.5060291095890413E-2</v>
      </c>
      <c r="E860" s="1467">
        <f t="shared" si="123"/>
        <v>5.9145719178082187E-2</v>
      </c>
      <c r="F860" s="1467">
        <f t="shared" si="123"/>
        <v>6.3088767123287662E-2</v>
      </c>
      <c r="G860" s="1550"/>
      <c r="H860" s="1467">
        <f>SUM(H$464)</f>
        <v>0</v>
      </c>
      <c r="I860" s="1467">
        <f t="shared" ref="I860:K860" si="124">SUM(I$464)</f>
        <v>0</v>
      </c>
      <c r="J860" s="1467">
        <f t="shared" si="124"/>
        <v>0</v>
      </c>
      <c r="K860" s="1467">
        <f t="shared" si="124"/>
        <v>0</v>
      </c>
      <c r="L860" s="1550"/>
      <c r="M860" s="1467">
        <f>SUM(M$464)</f>
        <v>0</v>
      </c>
      <c r="N860" s="1467">
        <f t="shared" ref="N860:P860" si="125">SUM(N$464)</f>
        <v>0</v>
      </c>
      <c r="O860" s="1467">
        <f t="shared" si="125"/>
        <v>0</v>
      </c>
      <c r="P860" s="1467">
        <f t="shared" si="125"/>
        <v>0</v>
      </c>
      <c r="R860" s="1375"/>
      <c r="S860" s="1357"/>
      <c r="T860" s="1357"/>
      <c r="U860" s="1394">
        <v>860</v>
      </c>
      <c r="V860" s="1357"/>
    </row>
    <row r="861" spans="1:22" ht="15.75" customHeight="1">
      <c r="A861" s="1375" t="str">
        <f>$A$467</f>
        <v>Rice purchase</v>
      </c>
      <c r="B861" s="1559"/>
      <c r="C861" s="1467">
        <f>SUM(C$473)</f>
        <v>6.9215155666251554E-2</v>
      </c>
      <c r="D861" s="1467">
        <f t="shared" ref="D861:F861" si="126">SUM(D$473)</f>
        <v>6.9215155666251554E-2</v>
      </c>
      <c r="E861" s="1467">
        <f t="shared" si="126"/>
        <v>6.9215155666251554E-2</v>
      </c>
      <c r="F861" s="1467">
        <f t="shared" si="126"/>
        <v>6.1524582814445818E-2</v>
      </c>
      <c r="G861" s="1550"/>
      <c r="H861" s="1467">
        <f>SUM(H$473)</f>
        <v>4.1743776476445053E-2</v>
      </c>
      <c r="I861" s="1467">
        <f t="shared" ref="I861:K861" si="127">SUM(I$473)</f>
        <v>4.1743776476445053E-2</v>
      </c>
      <c r="J861" s="1467">
        <f t="shared" si="127"/>
        <v>4.1743776476445053E-2</v>
      </c>
      <c r="K861" s="1467">
        <f t="shared" si="127"/>
        <v>4.174377647644506E-2</v>
      </c>
      <c r="L861" s="1550"/>
      <c r="M861" s="1467">
        <f>SUM(M$473)</f>
        <v>-2.7471379189806501E-2</v>
      </c>
      <c r="N861" s="1467">
        <f t="shared" ref="N861:P861" si="128">SUM(N$473)</f>
        <v>-2.7471379189806501E-2</v>
      </c>
      <c r="O861" s="1467">
        <f t="shared" si="128"/>
        <v>-2.7471379189806501E-2</v>
      </c>
      <c r="P861" s="1467">
        <f t="shared" si="128"/>
        <v>-1.9780806338000757E-2</v>
      </c>
      <c r="R861" s="1375"/>
      <c r="S861" s="1357"/>
      <c r="T861" s="1357"/>
      <c r="U861" s="1394">
        <v>861</v>
      </c>
      <c r="V861" s="1357"/>
    </row>
    <row r="862" spans="1:22" ht="15.75" customHeight="1">
      <c r="A862" s="1375" t="str">
        <f>$A$476</f>
        <v>Potatoes purchase</v>
      </c>
      <c r="B862" s="1559"/>
      <c r="C862" s="1467">
        <f>SUM(C$482)</f>
        <v>1.3442208904109588E-2</v>
      </c>
      <c r="D862" s="1467">
        <f t="shared" ref="D862:F862" si="129">SUM(D$482)</f>
        <v>1.4664227895392278E-2</v>
      </c>
      <c r="E862" s="1467">
        <f t="shared" si="129"/>
        <v>1.4664227895392278E-2</v>
      </c>
      <c r="F862" s="1467">
        <f t="shared" si="129"/>
        <v>1.3034869240348693E-2</v>
      </c>
      <c r="G862" s="1550"/>
      <c r="H862" s="1467">
        <f>SUM(H$482)</f>
        <v>6.8499749728887158E-3</v>
      </c>
      <c r="I862" s="1467">
        <f t="shared" ref="I862:K862" si="130">SUM(I$482)</f>
        <v>6.8499749728887158E-3</v>
      </c>
      <c r="J862" s="1467">
        <f t="shared" si="130"/>
        <v>6.8499749728887158E-3</v>
      </c>
      <c r="K862" s="1467">
        <f t="shared" si="130"/>
        <v>6.8499749728887149E-3</v>
      </c>
      <c r="L862" s="1550"/>
      <c r="M862" s="1467">
        <f>SUM(M$482)</f>
        <v>-6.5922339312208724E-3</v>
      </c>
      <c r="N862" s="1467">
        <f t="shared" ref="N862:P862" si="131">SUM(N$482)</f>
        <v>-7.8142529225035621E-3</v>
      </c>
      <c r="O862" s="1467">
        <f t="shared" si="131"/>
        <v>-7.8142529225035621E-3</v>
      </c>
      <c r="P862" s="1467">
        <f t="shared" si="131"/>
        <v>-6.1848942674599785E-3</v>
      </c>
      <c r="Q862" s="1564" t="str">
        <f>$Q$484</f>
        <v>fpl</v>
      </c>
      <c r="R862" s="1375"/>
      <c r="S862" s="1357"/>
      <c r="T862" s="1357"/>
      <c r="U862" s="1394">
        <v>862</v>
      </c>
      <c r="V862" s="1357"/>
    </row>
    <row r="863" spans="1:22" ht="15.75" customHeight="1">
      <c r="A863" s="1375" t="str">
        <f>$A$485</f>
        <v>Brown bread purchase</v>
      </c>
      <c r="B863" s="1559"/>
      <c r="C863" s="1467">
        <f>SUM(C$491)</f>
        <v>0</v>
      </c>
      <c r="D863" s="1467">
        <f t="shared" ref="D863:F863" si="132">SUM(D$491)</f>
        <v>0</v>
      </c>
      <c r="E863" s="1467">
        <f t="shared" si="132"/>
        <v>0</v>
      </c>
      <c r="F863" s="1467">
        <f t="shared" si="132"/>
        <v>4.4344625155666249E-2</v>
      </c>
      <c r="G863" s="1550"/>
      <c r="H863" s="1467">
        <f>SUM(H$491)</f>
        <v>0.15239060633791646</v>
      </c>
      <c r="I863" s="1467">
        <f t="shared" ref="I863:K863" si="133">SUM(I$491)</f>
        <v>0.15239060633791646</v>
      </c>
      <c r="J863" s="1467">
        <f t="shared" si="133"/>
        <v>0.15239060633791646</v>
      </c>
      <c r="K863" s="1467">
        <f t="shared" si="133"/>
        <v>0.15239060633791646</v>
      </c>
      <c r="L863" s="1550"/>
      <c r="M863" s="1467">
        <f>SUM(M$491)</f>
        <v>0.15239060633791646</v>
      </c>
      <c r="N863" s="1467">
        <f t="shared" ref="N863:P863" si="134">SUM(N$491)</f>
        <v>0.15239060633791646</v>
      </c>
      <c r="O863" s="1467">
        <f t="shared" si="134"/>
        <v>0.15239060633791646</v>
      </c>
      <c r="P863" s="1467">
        <f t="shared" si="134"/>
        <v>0.1080459811822502</v>
      </c>
      <c r="Q863" s="1564" t="str">
        <f>$Q$493</f>
        <v>fpl</v>
      </c>
      <c r="R863" s="1375" t="str">
        <f t="shared" ref="R863:R887" si="135">IF(Q863="Response=minimum (mns)",1,IF(Q863="Response=minimum (ess)",0,""))</f>
        <v/>
      </c>
      <c r="S863" s="1357"/>
      <c r="T863" s="1357"/>
      <c r="U863" s="1394">
        <v>863</v>
      </c>
      <c r="V863" s="1357"/>
    </row>
    <row r="864" spans="1:22" ht="15.75" customHeight="1">
      <c r="A864" s="1375" t="str">
        <f>$A$494</f>
        <v>White bread purchase</v>
      </c>
      <c r="B864" s="1559"/>
      <c r="C864" s="1467">
        <f>SUM(C$500)</f>
        <v>0</v>
      </c>
      <c r="D864" s="1467">
        <f t="shared" ref="D864:F864" si="136">SUM(D$500)</f>
        <v>0</v>
      </c>
      <c r="E864" s="1467">
        <f t="shared" si="136"/>
        <v>0</v>
      </c>
      <c r="F864" s="1467">
        <f t="shared" si="136"/>
        <v>4.8906829389788298E-2</v>
      </c>
      <c r="G864" s="1550"/>
      <c r="H864" s="1467">
        <f>SUM(H$500)</f>
        <v>4.0039884208984369E-2</v>
      </c>
      <c r="I864" s="1467">
        <f t="shared" ref="I864:K864" si="137">SUM(I$500)</f>
        <v>4.0039884208984369E-2</v>
      </c>
      <c r="J864" s="1467">
        <f t="shared" si="137"/>
        <v>4.0039884208984369E-2</v>
      </c>
      <c r="K864" s="1467">
        <f t="shared" si="137"/>
        <v>4.0039884208984376E-2</v>
      </c>
      <c r="L864" s="1550"/>
      <c r="M864" s="1467">
        <f>SUM(M$500)</f>
        <v>4.0039884208984369E-2</v>
      </c>
      <c r="N864" s="1467">
        <f t="shared" ref="N864:P864" si="138">SUM(N$500)</f>
        <v>4.0039884208984369E-2</v>
      </c>
      <c r="O864" s="1467">
        <f t="shared" si="138"/>
        <v>4.0039884208984369E-2</v>
      </c>
      <c r="P864" s="1467">
        <f t="shared" si="138"/>
        <v>-8.8669451808039215E-3</v>
      </c>
      <c r="Q864" s="1564" t="str">
        <f>$Q$502</f>
        <v>fpl</v>
      </c>
      <c r="R864" s="1375" t="str">
        <f t="shared" si="135"/>
        <v/>
      </c>
      <c r="S864" s="1357"/>
      <c r="T864" s="1357"/>
      <c r="U864" s="1394">
        <v>864</v>
      </c>
      <c r="V864" s="1357"/>
    </row>
    <row r="865" spans="1:22" ht="15.75" customHeight="1">
      <c r="A865" s="1375" t="str">
        <f>$A$503</f>
        <v>Brown sugar purchase</v>
      </c>
      <c r="B865" s="1559"/>
      <c r="C865" s="1467">
        <f>SUM(C$506)</f>
        <v>0</v>
      </c>
      <c r="D865" s="1467">
        <f t="shared" ref="D865:F865" si="139">SUM(D$506)</f>
        <v>0</v>
      </c>
      <c r="E865" s="1467">
        <f t="shared" si="139"/>
        <v>0</v>
      </c>
      <c r="F865" s="1467">
        <f t="shared" si="139"/>
        <v>0</v>
      </c>
      <c r="G865" s="1550"/>
      <c r="H865" s="1467">
        <f>SUM(H$506)</f>
        <v>2.0254077046125727E-2</v>
      </c>
      <c r="I865" s="1467">
        <f t="shared" ref="I865:K865" si="140">SUM(I$506)</f>
        <v>2.0254077046125727E-2</v>
      </c>
      <c r="J865" s="1467">
        <f t="shared" si="140"/>
        <v>2.0254077046125727E-2</v>
      </c>
      <c r="K865" s="1467">
        <f t="shared" si="140"/>
        <v>2.0254077046125731E-2</v>
      </c>
      <c r="L865" s="1550"/>
      <c r="M865" s="1467">
        <f>SUM(M$506)</f>
        <v>2.0254077046125727E-2</v>
      </c>
      <c r="N865" s="1467">
        <f t="shared" ref="N865:P865" si="141">SUM(N$506)</f>
        <v>2.0254077046125727E-2</v>
      </c>
      <c r="O865" s="1467">
        <f t="shared" si="141"/>
        <v>2.0254077046125727E-2</v>
      </c>
      <c r="P865" s="1467">
        <f t="shared" si="141"/>
        <v>2.0254077046125731E-2</v>
      </c>
      <c r="Q865" s="1564" t="str">
        <f>$Q$508</f>
        <v>fpl</v>
      </c>
      <c r="R865" s="1375" t="str">
        <f t="shared" si="135"/>
        <v/>
      </c>
      <c r="S865" s="1357"/>
      <c r="T865" s="1357"/>
      <c r="U865" s="1394">
        <v>865</v>
      </c>
      <c r="V865" s="1357"/>
    </row>
    <row r="866" spans="1:22" ht="15.75" customHeight="1">
      <c r="A866" s="1375" t="str">
        <f>$A$509</f>
        <v>White sugar purchase</v>
      </c>
      <c r="B866" s="1559"/>
      <c r="C866" s="1467">
        <f>SUM(C$512)</f>
        <v>7.9186830635118305E-2</v>
      </c>
      <c r="D866" s="1467">
        <f t="shared" ref="D866:F866" si="142">SUM(D$512)</f>
        <v>7.9186830635118305E-2</v>
      </c>
      <c r="E866" s="1467">
        <f t="shared" si="142"/>
        <v>7.9186830635118305E-2</v>
      </c>
      <c r="F866" s="1467">
        <f t="shared" si="142"/>
        <v>7.0388293897882939E-2</v>
      </c>
      <c r="G866" s="1550"/>
      <c r="H866" s="1467">
        <f>SUM(H$512)</f>
        <v>1.3335009323731963E-2</v>
      </c>
      <c r="I866" s="1467">
        <f t="shared" ref="I866:K866" si="143">SUM(I$512)</f>
        <v>1.3335009323731963E-2</v>
      </c>
      <c r="J866" s="1467">
        <f t="shared" si="143"/>
        <v>1.3335009323731963E-2</v>
      </c>
      <c r="K866" s="1467">
        <f t="shared" si="143"/>
        <v>1.3335009323731963E-2</v>
      </c>
      <c r="L866" s="1550"/>
      <c r="M866" s="1467">
        <f>SUM(M$512)</f>
        <v>-6.5851821311386338E-2</v>
      </c>
      <c r="N866" s="1467">
        <f t="shared" ref="N866:P866" si="144">SUM(N$512)</f>
        <v>-6.5851821311386338E-2</v>
      </c>
      <c r="O866" s="1467">
        <f t="shared" si="144"/>
        <v>-6.5851821311386338E-2</v>
      </c>
      <c r="P866" s="1467">
        <f t="shared" si="144"/>
        <v>-5.7053284574150973E-2</v>
      </c>
      <c r="Q866" s="1565" t="str">
        <f>$Q$514</f>
        <v>fpl</v>
      </c>
      <c r="R866" s="1375" t="str">
        <f t="shared" si="135"/>
        <v/>
      </c>
      <c r="S866" s="1357"/>
      <c r="T866" s="1357"/>
      <c r="U866" s="1394">
        <v>866</v>
      </c>
      <c r="V866" s="1357"/>
    </row>
    <row r="867" spans="1:22" ht="15.75" customHeight="1">
      <c r="A867" s="1375" t="str">
        <f>$A$515</f>
        <v>Oil purchase: quantity (kg)</v>
      </c>
      <c r="B867" s="1559"/>
      <c r="C867" s="1467">
        <f>SUM(C$518)</f>
        <v>8.7985367372353671E-2</v>
      </c>
      <c r="D867" s="1467">
        <f t="shared" ref="D867:F867" si="145">SUM(D$518)</f>
        <v>8.7985367372353671E-2</v>
      </c>
      <c r="E867" s="1467">
        <f t="shared" si="145"/>
        <v>8.7985367372353671E-2</v>
      </c>
      <c r="F867" s="1467">
        <f t="shared" si="145"/>
        <v>7.8209215442092153E-2</v>
      </c>
      <c r="G867" s="1550"/>
      <c r="H867" s="1467">
        <f>SUM(H$518)</f>
        <v>6.9223060183329313E-2</v>
      </c>
      <c r="I867" s="1467">
        <f t="shared" ref="I867:K867" si="146">SUM(I$518)</f>
        <v>6.9223060183329313E-2</v>
      </c>
      <c r="J867" s="1467">
        <f t="shared" si="146"/>
        <v>6.9223060183329313E-2</v>
      </c>
      <c r="K867" s="1467">
        <f t="shared" si="146"/>
        <v>6.9223060183329313E-2</v>
      </c>
      <c r="L867" s="1550"/>
      <c r="M867" s="1467">
        <f>SUM(M$518)</f>
        <v>-1.8762307189024358E-2</v>
      </c>
      <c r="N867" s="1467">
        <f t="shared" ref="N867:P867" si="147">SUM(N$518)</f>
        <v>-1.8762307189024358E-2</v>
      </c>
      <c r="O867" s="1467">
        <f t="shared" si="147"/>
        <v>-1.8762307189024358E-2</v>
      </c>
      <c r="P867" s="1467">
        <f t="shared" si="147"/>
        <v>-8.9861552587628402E-3</v>
      </c>
      <c r="Q867" s="1564" t="str">
        <f>$Q$520</f>
        <v>fpl</v>
      </c>
      <c r="R867" s="1375" t="str">
        <f t="shared" si="135"/>
        <v/>
      </c>
      <c r="S867" s="1357"/>
      <c r="T867" s="1357"/>
      <c r="U867" s="1394">
        <v>867</v>
      </c>
      <c r="V867" s="1357"/>
    </row>
    <row r="868" spans="1:22" ht="15.75" customHeight="1">
      <c r="A868" s="1375" t="str">
        <f>$A$521</f>
        <v>Milk purchase: quantity (kg)</v>
      </c>
      <c r="B868" s="1559"/>
      <c r="C868" s="1467">
        <f>SUM(C$524)</f>
        <v>0</v>
      </c>
      <c r="D868" s="1467">
        <f t="shared" ref="D868:F868" si="148">SUM(D$524)</f>
        <v>0</v>
      </c>
      <c r="E868" s="1467">
        <f t="shared" si="148"/>
        <v>0</v>
      </c>
      <c r="F868" s="1467">
        <f t="shared" si="148"/>
        <v>0</v>
      </c>
      <c r="G868" s="1550"/>
      <c r="H868" s="1467">
        <f>SUM(H$524)</f>
        <v>4.1863769079100452E-3</v>
      </c>
      <c r="I868" s="1467">
        <f t="shared" ref="I868:K868" si="149">SUM(I$524)</f>
        <v>4.1863769079100452E-3</v>
      </c>
      <c r="J868" s="1467">
        <f t="shared" si="149"/>
        <v>4.1863769079100452E-3</v>
      </c>
      <c r="K868" s="1467">
        <f t="shared" si="149"/>
        <v>4.1863769079100461E-3</v>
      </c>
      <c r="L868" s="1550"/>
      <c r="M868" s="1467">
        <f>SUM(M$524)</f>
        <v>4.1863769079100452E-3</v>
      </c>
      <c r="N868" s="1467">
        <f t="shared" ref="N868:P868" si="150">SUM(N$524)</f>
        <v>4.1863769079100452E-3</v>
      </c>
      <c r="O868" s="1467">
        <f t="shared" si="150"/>
        <v>4.1863769079100452E-3</v>
      </c>
      <c r="P868" s="1467">
        <f t="shared" si="150"/>
        <v>4.1863769079100461E-3</v>
      </c>
      <c r="Q868" s="1564" t="str">
        <f>$Q$526</f>
        <v>fpl</v>
      </c>
      <c r="R868" s="1375" t="str">
        <f t="shared" si="135"/>
        <v/>
      </c>
      <c r="S868" s="1357"/>
      <c r="T868" s="1357"/>
      <c r="U868" s="1394">
        <v>868</v>
      </c>
      <c r="V868" s="1357"/>
    </row>
    <row r="869" spans="1:22" ht="15.75" customHeight="1">
      <c r="A869" s="1375" t="str">
        <f>$A$527</f>
        <v>Eggs purchase</v>
      </c>
      <c r="B869" s="1559"/>
      <c r="C869" s="1467">
        <f>SUM(C$530)</f>
        <v>0</v>
      </c>
      <c r="D869" s="1467">
        <f t="shared" ref="D869:F869" si="151">SUM(D$530)</f>
        <v>1.1069862702366127E-2</v>
      </c>
      <c r="E869" s="1467">
        <f t="shared" si="151"/>
        <v>1.1069862702366127E-2</v>
      </c>
      <c r="F869" s="1467">
        <f t="shared" si="151"/>
        <v>9.839877957658779E-3</v>
      </c>
      <c r="G869" s="1550"/>
      <c r="H869" s="1467">
        <f>SUM(H$530)</f>
        <v>6.6514941164040114E-3</v>
      </c>
      <c r="I869" s="1467">
        <f t="shared" ref="I869:K869" si="152">SUM(I$530)</f>
        <v>6.6514941164040114E-3</v>
      </c>
      <c r="J869" s="1467">
        <f t="shared" si="152"/>
        <v>6.6514941164040114E-3</v>
      </c>
      <c r="K869" s="1467">
        <f t="shared" si="152"/>
        <v>6.6514941164040114E-3</v>
      </c>
      <c r="L869" s="1550"/>
      <c r="M869" s="1467">
        <f>SUM(M$530)</f>
        <v>6.6514941164040114E-3</v>
      </c>
      <c r="N869" s="1467">
        <f t="shared" ref="N869:P869" si="153">SUM(N$530)</f>
        <v>-4.4183685859621154E-3</v>
      </c>
      <c r="O869" s="1467">
        <f t="shared" si="153"/>
        <v>-4.4183685859621154E-3</v>
      </c>
      <c r="P869" s="1467">
        <f t="shared" si="153"/>
        <v>-3.1883838412547676E-3</v>
      </c>
      <c r="Q869" s="1564" t="str">
        <f>$Q$532</f>
        <v>des</v>
      </c>
      <c r="R869" s="1375"/>
      <c r="S869" s="1357"/>
      <c r="T869" s="1357"/>
      <c r="U869" s="1394">
        <v>869</v>
      </c>
      <c r="V869" s="1357"/>
    </row>
    <row r="870" spans="1:22" ht="15.75" customHeight="1">
      <c r="A870" s="1375" t="str">
        <f>$A$533</f>
        <v>Poultry feet purchase</v>
      </c>
      <c r="B870" s="1559"/>
      <c r="C870" s="1467">
        <f>SUM(C$536)</f>
        <v>4.7414336861768373E-3</v>
      </c>
      <c r="D870" s="1467">
        <f t="shared" ref="D870:F870" si="154">SUM(D$536)</f>
        <v>1.422430105853051E-2</v>
      </c>
      <c r="E870" s="1467">
        <f t="shared" si="154"/>
        <v>1.422430105853051E-2</v>
      </c>
      <c r="F870" s="1467">
        <f t="shared" si="154"/>
        <v>1.2643823163138231E-2</v>
      </c>
      <c r="G870" s="1550"/>
      <c r="H870" s="1467">
        <f>SUM(H$536)</f>
        <v>4.4148398499003989E-2</v>
      </c>
      <c r="I870" s="1467">
        <f t="shared" ref="I870:K870" si="155">SUM(I$536)</f>
        <v>4.4148398499003989E-2</v>
      </c>
      <c r="J870" s="1467">
        <f t="shared" si="155"/>
        <v>4.4148398499003989E-2</v>
      </c>
      <c r="K870" s="1467">
        <f t="shared" si="155"/>
        <v>4.4148398499003989E-2</v>
      </c>
      <c r="L870" s="1550"/>
      <c r="M870" s="1467">
        <f>SUM(M$536)</f>
        <v>3.9406964812827155E-2</v>
      </c>
      <c r="N870" s="1467">
        <f t="shared" ref="N870:P870" si="156">SUM(N$536)</f>
        <v>2.9924097440473481E-2</v>
      </c>
      <c r="O870" s="1467">
        <f t="shared" si="156"/>
        <v>2.9924097440473481E-2</v>
      </c>
      <c r="P870" s="1467">
        <f t="shared" si="156"/>
        <v>3.1504575335865759E-2</v>
      </c>
      <c r="Q870" s="1564" t="str">
        <f>$Q$538</f>
        <v>fpl</v>
      </c>
      <c r="R870" s="1375"/>
      <c r="S870" s="1357"/>
      <c r="T870" s="1357"/>
      <c r="U870" s="1394">
        <v>870</v>
      </c>
      <c r="V870" s="1357"/>
    </row>
    <row r="871" spans="1:22" ht="15.75" customHeight="1">
      <c r="A871" s="1375" t="str">
        <f>$A$539</f>
        <v>Beef purchase</v>
      </c>
      <c r="B871" s="1559"/>
      <c r="C871" s="1467">
        <f>SUM(C$542)</f>
        <v>0</v>
      </c>
      <c r="D871" s="1467">
        <f t="shared" ref="D871:F871" si="157">SUM(D$542)</f>
        <v>0</v>
      </c>
      <c r="E871" s="1467">
        <f t="shared" si="157"/>
        <v>9.5724820983810709E-3</v>
      </c>
      <c r="F871" s="1467">
        <f t="shared" si="157"/>
        <v>2.0421295143212951E-2</v>
      </c>
      <c r="G871" s="1550"/>
      <c r="H871" s="1467">
        <f>SUM(H$542)</f>
        <v>1.0484878246657239E-2</v>
      </c>
      <c r="I871" s="1467">
        <f t="shared" ref="I871:K871" si="158">SUM(I$542)</f>
        <v>1.0484878246657239E-2</v>
      </c>
      <c r="J871" s="1467">
        <f t="shared" si="158"/>
        <v>1.0484878246657239E-2</v>
      </c>
      <c r="K871" s="1467">
        <f t="shared" si="158"/>
        <v>1.0484878246657239E-2</v>
      </c>
      <c r="L871" s="1550"/>
      <c r="M871" s="1467">
        <f>SUM(M$542)</f>
        <v>1.0484878246657239E-2</v>
      </c>
      <c r="N871" s="1467">
        <f t="shared" ref="N871:P871" si="159">SUM(N$542)</f>
        <v>1.0484878246657239E-2</v>
      </c>
      <c r="O871" s="1467">
        <f t="shared" si="159"/>
        <v>9.1239614827616847E-4</v>
      </c>
      <c r="P871" s="1467">
        <f t="shared" si="159"/>
        <v>-9.9364168965557116E-3</v>
      </c>
      <c r="Q871" s="1564" t="str">
        <f>$Q$544</f>
        <v>fpl</v>
      </c>
      <c r="R871" s="1375"/>
      <c r="S871" s="1357"/>
      <c r="T871" s="1357"/>
      <c r="U871" s="1394">
        <v>871</v>
      </c>
      <c r="V871" s="1357"/>
    </row>
    <row r="872" spans="1:22" ht="15.75" customHeight="1">
      <c r="A872" s="1375" t="str">
        <f>$A$545</f>
        <v>Boerewors purchase</v>
      </c>
      <c r="B872" s="1559"/>
      <c r="C872" s="1467">
        <f>SUM(C$548)</f>
        <v>0</v>
      </c>
      <c r="D872" s="1467">
        <f t="shared" ref="D872:F872" si="160">SUM(D$548)</f>
        <v>0</v>
      </c>
      <c r="E872" s="1467">
        <f t="shared" si="160"/>
        <v>0</v>
      </c>
      <c r="F872" s="1467">
        <f t="shared" si="160"/>
        <v>0</v>
      </c>
      <c r="G872" s="1550"/>
      <c r="H872" s="1467">
        <f>SUM(H$548)</f>
        <v>4.7166137340977597E-3</v>
      </c>
      <c r="I872" s="1467">
        <f t="shared" ref="I872:K872" si="161">SUM(I$548)</f>
        <v>4.7166137340977597E-3</v>
      </c>
      <c r="J872" s="1467">
        <f t="shared" si="161"/>
        <v>4.7166137340977597E-3</v>
      </c>
      <c r="K872" s="1467">
        <f t="shared" si="161"/>
        <v>4.7166137340977597E-3</v>
      </c>
      <c r="L872" s="1550"/>
      <c r="M872" s="1467">
        <f>SUM(M$548)</f>
        <v>4.7166137340977597E-3</v>
      </c>
      <c r="N872" s="1467">
        <f t="shared" ref="N872:P872" si="162">SUM(N$548)</f>
        <v>4.7166137340977597E-3</v>
      </c>
      <c r="O872" s="1467">
        <f t="shared" si="162"/>
        <v>4.7166137340977597E-3</v>
      </c>
      <c r="P872" s="1467">
        <f t="shared" si="162"/>
        <v>4.7166137340977597E-3</v>
      </c>
      <c r="Q872" s="1564" t="str">
        <f>$Q$550</f>
        <v>fpl</v>
      </c>
      <c r="R872" s="1375"/>
      <c r="S872" s="1357"/>
      <c r="T872" s="1357"/>
      <c r="U872" s="1394">
        <v>872</v>
      </c>
      <c r="V872" s="1357"/>
    </row>
    <row r="873" spans="1:22" ht="15.75" customHeight="1">
      <c r="A873" s="1375" t="str">
        <f>$A$551</f>
        <v>Canned pilchards purchase</v>
      </c>
      <c r="B873" s="1559"/>
      <c r="C873" s="1467">
        <f>SUM(C$554)</f>
        <v>0</v>
      </c>
      <c r="D873" s="1467">
        <f t="shared" ref="D873:F873" si="163">SUM(D$554)</f>
        <v>0</v>
      </c>
      <c r="E873" s="1467">
        <f t="shared" si="163"/>
        <v>0</v>
      </c>
      <c r="F873" s="1467">
        <f t="shared" si="163"/>
        <v>0</v>
      </c>
      <c r="G873" s="1550"/>
      <c r="H873" s="1467">
        <f>SUM(H$554)</f>
        <v>2.3294279928963192E-3</v>
      </c>
      <c r="I873" s="1467">
        <f t="shared" ref="I873:K873" si="164">SUM(I$554)</f>
        <v>2.3294279928963192E-3</v>
      </c>
      <c r="J873" s="1467">
        <f t="shared" si="164"/>
        <v>2.3294279928963192E-3</v>
      </c>
      <c r="K873" s="1467">
        <f t="shared" si="164"/>
        <v>2.3294279928963196E-3</v>
      </c>
      <c r="L873" s="1550"/>
      <c r="M873" s="1467">
        <f>SUM(M$554)</f>
        <v>2.3294279928963192E-3</v>
      </c>
      <c r="N873" s="1467">
        <f t="shared" ref="N873:P873" si="165">SUM(N$554)</f>
        <v>2.3294279928963192E-3</v>
      </c>
      <c r="O873" s="1467">
        <f t="shared" si="165"/>
        <v>2.3294279928963192E-3</v>
      </c>
      <c r="P873" s="1467">
        <f t="shared" si="165"/>
        <v>2.3294279928963196E-3</v>
      </c>
      <c r="Q873" s="1564" t="str">
        <f>$Q$556</f>
        <v>fpl</v>
      </c>
      <c r="R873" s="1375"/>
      <c r="S873" s="1357"/>
      <c r="T873" s="1357"/>
      <c r="U873" s="1394">
        <v>873</v>
      </c>
      <c r="V873" s="1357"/>
    </row>
    <row r="874" spans="1:22" ht="15.75" customHeight="1">
      <c r="A874" s="1375" t="str">
        <f>$A$557</f>
        <v>Tomato purchase</v>
      </c>
      <c r="B874" s="1559"/>
      <c r="C874" s="1467">
        <f>SUM(C$560)</f>
        <v>0</v>
      </c>
      <c r="D874" s="1467">
        <f t="shared" ref="D874:F874" si="166">SUM(D$560)</f>
        <v>0</v>
      </c>
      <c r="E874" s="1467">
        <f t="shared" si="166"/>
        <v>0</v>
      </c>
      <c r="F874" s="1467">
        <f t="shared" si="166"/>
        <v>0</v>
      </c>
      <c r="G874" s="1550"/>
      <c r="H874" s="1467">
        <f>SUM(H$560)</f>
        <v>1.190520460913079E-3</v>
      </c>
      <c r="I874" s="1467">
        <f t="shared" ref="I874:K874" si="167">SUM(I$560)</f>
        <v>1.190520460913079E-3</v>
      </c>
      <c r="J874" s="1467">
        <f t="shared" si="167"/>
        <v>1.190520460913079E-3</v>
      </c>
      <c r="K874" s="1467">
        <f t="shared" si="167"/>
        <v>1.1905204609130788E-3</v>
      </c>
      <c r="L874" s="1550"/>
      <c r="M874" s="1467">
        <f>SUM(M$560)</f>
        <v>1.190520460913079E-3</v>
      </c>
      <c r="N874" s="1467">
        <f t="shared" ref="N874:P874" si="168">SUM(N$560)</f>
        <v>1.190520460913079E-3</v>
      </c>
      <c r="O874" s="1467">
        <f t="shared" si="168"/>
        <v>1.190520460913079E-3</v>
      </c>
      <c r="P874" s="1467">
        <f t="shared" si="168"/>
        <v>1.1905204609130788E-3</v>
      </c>
      <c r="Q874" s="1564" t="str">
        <f>$Q$562</f>
        <v>fpl</v>
      </c>
      <c r="R874" s="1375"/>
      <c r="S874" s="1357"/>
      <c r="T874" s="1357"/>
      <c r="U874" s="1394">
        <v>874</v>
      </c>
      <c r="V874" s="1357"/>
    </row>
    <row r="875" spans="1:22" ht="15.75" customHeight="1">
      <c r="A875" s="1375" t="str">
        <f>$A$563</f>
        <v>Onions purchase</v>
      </c>
      <c r="B875" s="1559"/>
      <c r="C875" s="1467">
        <f>SUM(C$566)</f>
        <v>9.3851058530510581E-3</v>
      </c>
      <c r="D875" s="1467">
        <f t="shared" ref="D875:F875" si="169">SUM(D$566)</f>
        <v>4.6925529265255291E-3</v>
      </c>
      <c r="E875" s="1467">
        <f t="shared" si="169"/>
        <v>9.3851058530510581E-3</v>
      </c>
      <c r="F875" s="1467">
        <f t="shared" si="169"/>
        <v>8.3423163138231626E-3</v>
      </c>
      <c r="G875" s="1550"/>
      <c r="H875" s="1467">
        <f>SUM(H$566)</f>
        <v>2.54315563055953E-3</v>
      </c>
      <c r="I875" s="1467">
        <f t="shared" ref="I875:K875" si="170">SUM(I$566)</f>
        <v>2.54315563055953E-3</v>
      </c>
      <c r="J875" s="1467">
        <f t="shared" si="170"/>
        <v>2.54315563055953E-3</v>
      </c>
      <c r="K875" s="1467">
        <f t="shared" si="170"/>
        <v>2.54315563055953E-3</v>
      </c>
      <c r="L875" s="1550"/>
      <c r="M875" s="1467">
        <f>SUM(M$566)</f>
        <v>-6.8419502224915281E-3</v>
      </c>
      <c r="N875" s="1467">
        <f t="shared" ref="N875:P875" si="171">SUM(N$566)</f>
        <v>-2.149397295965999E-3</v>
      </c>
      <c r="O875" s="1467">
        <f t="shared" si="171"/>
        <v>-6.8419502224915281E-3</v>
      </c>
      <c r="P875" s="1467">
        <f t="shared" si="171"/>
        <v>-5.7991606832636326E-3</v>
      </c>
      <c r="Q875" s="1564" t="str">
        <f>$Q$568</f>
        <v>fpl</v>
      </c>
      <c r="R875" s="1375"/>
      <c r="S875" s="1357"/>
      <c r="T875" s="1357"/>
      <c r="U875" s="1394">
        <v>875</v>
      </c>
      <c r="V875" s="1357"/>
    </row>
    <row r="876" spans="1:22" ht="15.75" customHeight="1">
      <c r="A876" s="1375" t="str">
        <f>$A$569</f>
        <v>Banana purchase</v>
      </c>
      <c r="B876" s="1559"/>
      <c r="C876" s="1467">
        <f>SUM(C$572)</f>
        <v>0</v>
      </c>
      <c r="D876" s="1467">
        <f t="shared" ref="D876:F876" si="172">SUM(D$572)</f>
        <v>0</v>
      </c>
      <c r="E876" s="1467">
        <f t="shared" si="172"/>
        <v>0</v>
      </c>
      <c r="F876" s="1467">
        <f t="shared" si="172"/>
        <v>0</v>
      </c>
      <c r="G876" s="1550"/>
      <c r="H876" s="1467">
        <f>SUM(H$572)</f>
        <v>6.4452444981512964E-3</v>
      </c>
      <c r="I876" s="1467">
        <f t="shared" ref="I876:K876" si="173">SUM(I$572)</f>
        <v>6.4452444981512964E-3</v>
      </c>
      <c r="J876" s="1467">
        <f t="shared" si="173"/>
        <v>6.4452444981512964E-3</v>
      </c>
      <c r="K876" s="1467">
        <f t="shared" si="173"/>
        <v>6.4452444981512973E-3</v>
      </c>
      <c r="L876" s="1550"/>
      <c r="M876" s="1467">
        <f>SUM(M$572)</f>
        <v>6.4452444981512964E-3</v>
      </c>
      <c r="N876" s="1467">
        <f t="shared" ref="N876:P876" si="174">SUM(N$572)</f>
        <v>6.4452444981512964E-3</v>
      </c>
      <c r="O876" s="1467">
        <f t="shared" si="174"/>
        <v>6.4452444981512964E-3</v>
      </c>
      <c r="P876" s="1467">
        <f t="shared" si="174"/>
        <v>6.4452444981512973E-3</v>
      </c>
      <c r="Q876" s="1564" t="str">
        <f>$Q$574</f>
        <v>fpl</v>
      </c>
      <c r="R876" s="1375"/>
      <c r="S876" s="1357"/>
      <c r="T876" s="1357"/>
      <c r="U876" s="1394">
        <v>876</v>
      </c>
      <c r="V876" s="1357"/>
    </row>
    <row r="877" spans="1:22" ht="15.75" customHeight="1">
      <c r="A877" s="1375" t="str">
        <f>$A$575</f>
        <v>Fresh cabbage purchase</v>
      </c>
      <c r="B877" s="1559"/>
      <c r="C877" s="1467">
        <f>SUM(C$578)</f>
        <v>0</v>
      </c>
      <c r="D877" s="1467">
        <f t="shared" ref="D877:F877" si="175">SUM(D$578)</f>
        <v>0</v>
      </c>
      <c r="E877" s="1467">
        <f t="shared" si="175"/>
        <v>0</v>
      </c>
      <c r="F877" s="1467">
        <f t="shared" si="175"/>
        <v>0</v>
      </c>
      <c r="G877" s="1550"/>
      <c r="H877" s="1467">
        <f>SUM(H$578)</f>
        <v>1.7428331246525793E-3</v>
      </c>
      <c r="I877" s="1467">
        <f t="shared" ref="I877:K877" si="176">SUM(I$578)</f>
        <v>1.7428331246525793E-3</v>
      </c>
      <c r="J877" s="1467">
        <f t="shared" si="176"/>
        <v>1.7428331246525793E-3</v>
      </c>
      <c r="K877" s="1467">
        <f t="shared" si="176"/>
        <v>1.7428331246525798E-3</v>
      </c>
      <c r="L877" s="1550"/>
      <c r="M877" s="1467">
        <f>SUM(M$578)</f>
        <v>1.7428331246525793E-3</v>
      </c>
      <c r="N877" s="1467">
        <f t="shared" ref="N877:P877" si="177">SUM(N$578)</f>
        <v>1.7428331246525793E-3</v>
      </c>
      <c r="O877" s="1467">
        <f t="shared" si="177"/>
        <v>1.7428331246525793E-3</v>
      </c>
      <c r="P877" s="1467">
        <f t="shared" si="177"/>
        <v>1.7428331246525798E-3</v>
      </c>
      <c r="Q877" s="1564" t="str">
        <f>$Q$580</f>
        <v>fpl</v>
      </c>
      <c r="R877" s="1375"/>
      <c r="S877" s="1357"/>
      <c r="T877" s="1357"/>
      <c r="U877" s="1394">
        <v>877</v>
      </c>
      <c r="V877" s="1357"/>
    </row>
    <row r="878" spans="1:22" ht="15.75" customHeight="1">
      <c r="A878" s="1375" t="str">
        <f>$A$581</f>
        <v>Burger purchase</v>
      </c>
      <c r="B878" s="1559"/>
      <c r="C878" s="1467">
        <f>SUM(C$584)</f>
        <v>0</v>
      </c>
      <c r="D878" s="1467">
        <f t="shared" ref="D878:F878" si="178">SUM(D$584)</f>
        <v>0</v>
      </c>
      <c r="E878" s="1467">
        <f t="shared" si="178"/>
        <v>0</v>
      </c>
      <c r="F878" s="1467">
        <f t="shared" si="178"/>
        <v>0</v>
      </c>
      <c r="G878" s="1550"/>
      <c r="H878" s="1467">
        <f>SUM(H$584)</f>
        <v>1.8095648906604107E-2</v>
      </c>
      <c r="I878" s="1467">
        <f t="shared" ref="I878:K878" si="179">SUM(I$584)</f>
        <v>1.8095648906604107E-2</v>
      </c>
      <c r="J878" s="1467">
        <f t="shared" si="179"/>
        <v>1.8095648906604107E-2</v>
      </c>
      <c r="K878" s="1467">
        <f t="shared" si="179"/>
        <v>1.8095648906604107E-2</v>
      </c>
      <c r="L878" s="1550"/>
      <c r="M878" s="1467">
        <f>SUM(M$584)</f>
        <v>1.8095648906604107E-2</v>
      </c>
      <c r="N878" s="1467">
        <f t="shared" ref="N878:P878" si="180">SUM(N$584)</f>
        <v>1.8095648906604107E-2</v>
      </c>
      <c r="O878" s="1467">
        <f t="shared" si="180"/>
        <v>1.8095648906604107E-2</v>
      </c>
      <c r="P878" s="1467">
        <f t="shared" si="180"/>
        <v>1.8095648906604107E-2</v>
      </c>
      <c r="Q878" s="1564" t="str">
        <f>$Q$586</f>
        <v>fpl</v>
      </c>
      <c r="R878" s="1375"/>
      <c r="S878" s="1357"/>
      <c r="T878" s="1357"/>
      <c r="U878" s="1394">
        <v>878</v>
      </c>
      <c r="V878" s="1357"/>
    </row>
    <row r="879" spans="1:22" ht="15.75" customHeight="1">
      <c r="A879" s="1375" t="str">
        <f>$A$587</f>
        <v>Powdered soup purchase</v>
      </c>
      <c r="B879" s="1559"/>
      <c r="C879" s="1467">
        <f>SUM(C$590)</f>
        <v>0</v>
      </c>
      <c r="D879" s="1467">
        <f t="shared" ref="D879:F879" si="181">SUM(D$590)</f>
        <v>0</v>
      </c>
      <c r="E879" s="1467">
        <f t="shared" si="181"/>
        <v>0</v>
      </c>
      <c r="F879" s="1467">
        <f t="shared" si="181"/>
        <v>5.7735780821917817E-3</v>
      </c>
      <c r="G879" s="1550"/>
      <c r="H879" s="1467">
        <f>SUM(H$590)</f>
        <v>1.8469185559062884E-3</v>
      </c>
      <c r="I879" s="1467">
        <f t="shared" ref="I879:K879" si="182">SUM(I$590)</f>
        <v>1.8469185559062884E-3</v>
      </c>
      <c r="J879" s="1467">
        <f t="shared" si="182"/>
        <v>1.8469185559062884E-3</v>
      </c>
      <c r="K879" s="1467">
        <f t="shared" si="182"/>
        <v>1.8469185559062884E-3</v>
      </c>
      <c r="L879" s="1550"/>
      <c r="M879" s="1467">
        <f>SUM(M$590)</f>
        <v>1.8469185559062884E-3</v>
      </c>
      <c r="N879" s="1467">
        <f t="shared" ref="N879:P879" si="183">SUM(N$590)</f>
        <v>1.8469185559062884E-3</v>
      </c>
      <c r="O879" s="1467">
        <f t="shared" si="183"/>
        <v>1.8469185559062884E-3</v>
      </c>
      <c r="P879" s="1467">
        <f t="shared" si="183"/>
        <v>-3.9266595262854934E-3</v>
      </c>
      <c r="Q879" s="1564" t="str">
        <f>$Q$592</f>
        <v>fpl</v>
      </c>
      <c r="R879" s="1375"/>
      <c r="S879" s="1357"/>
      <c r="T879" s="1357"/>
      <c r="U879" s="1394">
        <v>879</v>
      </c>
      <c r="V879" s="1357"/>
    </row>
    <row r="880" spans="1:22" ht="15.75" customHeight="1">
      <c r="A880" s="1375" t="str">
        <f>$A$593</f>
        <v>Dark green vegetable purchase</v>
      </c>
      <c r="B880" s="1559"/>
      <c r="C880" s="1467">
        <f>SUM(C$597)</f>
        <v>0</v>
      </c>
      <c r="D880" s="1467">
        <f t="shared" ref="D880:F880" si="184">SUM(D$597)</f>
        <v>0</v>
      </c>
      <c r="E880" s="1467">
        <f t="shared" si="184"/>
        <v>0</v>
      </c>
      <c r="F880" s="1467">
        <f t="shared" si="184"/>
        <v>0</v>
      </c>
      <c r="G880" s="1550"/>
      <c r="H880" s="1467">
        <f>SUM(H$597)</f>
        <v>0</v>
      </c>
      <c r="I880" s="1467">
        <f t="shared" ref="I880:K880" si="185">SUM(I$597)</f>
        <v>0</v>
      </c>
      <c r="J880" s="1467">
        <f t="shared" si="185"/>
        <v>0</v>
      </c>
      <c r="K880" s="1467">
        <f t="shared" si="185"/>
        <v>0</v>
      </c>
      <c r="L880" s="1550"/>
      <c r="M880" s="1467">
        <f>SUM(M$597)</f>
        <v>0</v>
      </c>
      <c r="N880" s="1467">
        <f t="shared" ref="N880:P880" si="186">SUM(N$597)</f>
        <v>0</v>
      </c>
      <c r="O880" s="1467">
        <f t="shared" si="186"/>
        <v>0</v>
      </c>
      <c r="P880" s="1467">
        <f t="shared" si="186"/>
        <v>0</v>
      </c>
      <c r="Q880" s="1564" t="str">
        <f>$Q$599</f>
        <v>des</v>
      </c>
      <c r="R880" s="1375" t="str">
        <f t="shared" si="135"/>
        <v/>
      </c>
      <c r="S880" s="1357"/>
      <c r="T880" s="1357"/>
      <c r="U880" s="1394">
        <v>880</v>
      </c>
      <c r="V880" s="1357"/>
    </row>
    <row r="881" spans="1:22" ht="15.75" customHeight="1">
      <c r="A881" s="1375" t="str">
        <f>$A$600</f>
        <v>Atchar purchase</v>
      </c>
      <c r="B881" s="1559"/>
      <c r="C881" s="1467">
        <f>SUM(C$603)</f>
        <v>0</v>
      </c>
      <c r="D881" s="1467">
        <f t="shared" ref="D881:F881" si="187">SUM(D$603)</f>
        <v>0</v>
      </c>
      <c r="E881" s="1467">
        <f t="shared" si="187"/>
        <v>0</v>
      </c>
      <c r="F881" s="1467">
        <f t="shared" si="187"/>
        <v>0</v>
      </c>
      <c r="G881" s="1550"/>
      <c r="H881" s="1467">
        <f>SUM(H$603)</f>
        <v>1.6008841220431971E-3</v>
      </c>
      <c r="I881" s="1467">
        <f t="shared" ref="I881:K881" si="188">SUM(I$603)</f>
        <v>1.6008841220431971E-3</v>
      </c>
      <c r="J881" s="1467">
        <f t="shared" si="188"/>
        <v>1.6008841220431971E-3</v>
      </c>
      <c r="K881" s="1467">
        <f t="shared" si="188"/>
        <v>1.6008841220431971E-3</v>
      </c>
      <c r="L881" s="1550"/>
      <c r="M881" s="1467">
        <f>SUM(M$603)</f>
        <v>1.6008841220431971E-3</v>
      </c>
      <c r="N881" s="1467">
        <f t="shared" ref="N881:P881" si="189">SUM(N$603)</f>
        <v>1.6008841220431971E-3</v>
      </c>
      <c r="O881" s="1467">
        <f t="shared" si="189"/>
        <v>1.6008841220431971E-3</v>
      </c>
      <c r="P881" s="1467">
        <f t="shared" si="189"/>
        <v>1.6008841220431971E-3</v>
      </c>
      <c r="Q881" s="1564" t="str">
        <f>$Q$605</f>
        <v>fpl</v>
      </c>
      <c r="R881" s="1375" t="str">
        <f t="shared" si="135"/>
        <v/>
      </c>
      <c r="S881" s="1357"/>
      <c r="T881" s="1357"/>
      <c r="U881" s="1394">
        <v>881</v>
      </c>
      <c r="V881" s="1357"/>
    </row>
    <row r="882" spans="1:22" ht="15.75" customHeight="1">
      <c r="A882" s="1375" t="str">
        <f>$A$606</f>
        <v>Whitener (Cremora) purchase</v>
      </c>
      <c r="B882" s="1559"/>
      <c r="C882" s="1467">
        <f>SUM(C$609)</f>
        <v>0</v>
      </c>
      <c r="D882" s="1467">
        <f t="shared" ref="D882:F882" si="190">SUM(D$609)</f>
        <v>0</v>
      </c>
      <c r="E882" s="1467">
        <f t="shared" si="190"/>
        <v>0</v>
      </c>
      <c r="F882" s="1467">
        <f t="shared" si="190"/>
        <v>0</v>
      </c>
      <c r="G882" s="1550"/>
      <c r="H882" s="1467">
        <f>SUM(H$609)</f>
        <v>7.37994481039518E-3</v>
      </c>
      <c r="I882" s="1467">
        <f t="shared" ref="I882:K882" si="191">SUM(I$609)</f>
        <v>7.37994481039518E-3</v>
      </c>
      <c r="J882" s="1467">
        <f t="shared" si="191"/>
        <v>7.37994481039518E-3</v>
      </c>
      <c r="K882" s="1467">
        <f t="shared" si="191"/>
        <v>7.37994481039518E-3</v>
      </c>
      <c r="L882" s="1550"/>
      <c r="M882" s="1467">
        <f>SUM(M$609)</f>
        <v>7.37994481039518E-3</v>
      </c>
      <c r="N882" s="1467">
        <f t="shared" ref="N882:P882" si="192">SUM(N$609)</f>
        <v>7.37994481039518E-3</v>
      </c>
      <c r="O882" s="1467">
        <f t="shared" si="192"/>
        <v>7.37994481039518E-3</v>
      </c>
      <c r="P882" s="1467">
        <f t="shared" si="192"/>
        <v>7.37994481039518E-3</v>
      </c>
      <c r="Q882" s="1564" t="str">
        <f>$Q$611</f>
        <v>fpl</v>
      </c>
      <c r="R882" s="1375" t="str">
        <f t="shared" si="135"/>
        <v/>
      </c>
      <c r="S882" s="1357"/>
      <c r="T882" s="1357"/>
      <c r="U882" s="1394">
        <v>882</v>
      </c>
      <c r="V882" s="1357"/>
    </row>
    <row r="883" spans="1:22" ht="15.75" customHeight="1">
      <c r="A883" s="1375" t="str">
        <f>$A$612</f>
        <v>Fruit (oranges) purchase</v>
      </c>
      <c r="B883" s="1559"/>
      <c r="C883" s="1467">
        <f>SUM(C$615)</f>
        <v>0</v>
      </c>
      <c r="D883" s="1467">
        <f t="shared" ref="D883:F883" si="193">SUM(D$615)</f>
        <v>0</v>
      </c>
      <c r="E883" s="1467">
        <f t="shared" si="193"/>
        <v>0</v>
      </c>
      <c r="F883" s="1467">
        <f t="shared" si="193"/>
        <v>0</v>
      </c>
      <c r="G883" s="1550"/>
      <c r="H883" s="1467">
        <f>SUM(H$615)</f>
        <v>0</v>
      </c>
      <c r="I883" s="1467">
        <f t="shared" ref="I883:K883" si="194">SUM(I$615)</f>
        <v>0</v>
      </c>
      <c r="J883" s="1467">
        <f t="shared" si="194"/>
        <v>0</v>
      </c>
      <c r="K883" s="1467">
        <f t="shared" si="194"/>
        <v>0</v>
      </c>
      <c r="L883" s="1550"/>
      <c r="M883" s="1467">
        <f>SUM(M$615)</f>
        <v>0</v>
      </c>
      <c r="N883" s="1467">
        <f t="shared" ref="N883:P883" si="195">SUM(N$615)</f>
        <v>0</v>
      </c>
      <c r="O883" s="1467">
        <f t="shared" si="195"/>
        <v>0</v>
      </c>
      <c r="P883" s="1467">
        <f t="shared" si="195"/>
        <v>0</v>
      </c>
      <c r="Q883" s="1564" t="str">
        <f>$Q$617</f>
        <v>des</v>
      </c>
      <c r="R883" s="1375" t="str">
        <f t="shared" si="135"/>
        <v/>
      </c>
      <c r="S883" s="1357"/>
      <c r="T883" s="1357"/>
      <c r="U883" s="1394">
        <v>883</v>
      </c>
      <c r="V883" s="1357"/>
    </row>
    <row r="884" spans="1:22" ht="15.75" customHeight="1">
      <c r="A884" s="1375" t="str">
        <f>$A$618</f>
        <v>Aerated cold drinks purchase</v>
      </c>
      <c r="B884" s="1559"/>
      <c r="C884" s="1467">
        <f>SUM(C$621)</f>
        <v>0</v>
      </c>
      <c r="D884" s="1467">
        <f t="shared" ref="D884:F884" si="196">SUM(D$621)</f>
        <v>0</v>
      </c>
      <c r="E884" s="1467">
        <f t="shared" si="196"/>
        <v>0</v>
      </c>
      <c r="F884" s="1467">
        <f t="shared" si="196"/>
        <v>0</v>
      </c>
      <c r="G884" s="1550"/>
      <c r="H884" s="1467">
        <f>SUM(H$621)</f>
        <v>8.4622877826154574E-3</v>
      </c>
      <c r="I884" s="1467">
        <f t="shared" ref="I884:K884" si="197">SUM(I$621)</f>
        <v>8.4622877826154574E-3</v>
      </c>
      <c r="J884" s="1467">
        <f t="shared" si="197"/>
        <v>8.4622877826154574E-3</v>
      </c>
      <c r="K884" s="1467">
        <f t="shared" si="197"/>
        <v>8.4622877826154574E-3</v>
      </c>
      <c r="L884" s="1550"/>
      <c r="M884" s="1467">
        <f>SUM(M$621)</f>
        <v>8.4622877826154574E-3</v>
      </c>
      <c r="N884" s="1467">
        <f t="shared" ref="N884:P884" si="198">SUM(N$621)</f>
        <v>8.4622877826154574E-3</v>
      </c>
      <c r="O884" s="1467">
        <f t="shared" si="198"/>
        <v>8.4622877826154574E-3</v>
      </c>
      <c r="P884" s="1467">
        <f t="shared" si="198"/>
        <v>8.4622877826154574E-3</v>
      </c>
      <c r="Q884" s="1564" t="str">
        <f>$Q$623</f>
        <v>fpl</v>
      </c>
      <c r="R884" s="1375" t="str">
        <f t="shared" si="135"/>
        <v/>
      </c>
      <c r="S884" s="1357"/>
      <c r="T884" s="1357"/>
      <c r="U884" s="1394">
        <v>884</v>
      </c>
      <c r="V884" s="1357"/>
    </row>
    <row r="885" spans="1:22" ht="15.75" customHeight="1">
      <c r="A885" s="1375" t="str">
        <f>$A$624</f>
        <v>Butternut</v>
      </c>
      <c r="B885" s="1559"/>
      <c r="C885" s="1467">
        <f>SUM(C$627)</f>
        <v>0</v>
      </c>
      <c r="D885" s="1467">
        <f t="shared" ref="D885:F885" si="199">SUM(D$627)</f>
        <v>0</v>
      </c>
      <c r="E885" s="1467">
        <f t="shared" si="199"/>
        <v>0</v>
      </c>
      <c r="F885" s="1467">
        <f t="shared" si="199"/>
        <v>0</v>
      </c>
      <c r="G885" s="1550"/>
      <c r="H885" s="1467">
        <f>SUM(H$627)</f>
        <v>0</v>
      </c>
      <c r="I885" s="1467">
        <f t="shared" ref="I885:K885" si="200">SUM(I$627)</f>
        <v>0</v>
      </c>
      <c r="J885" s="1467">
        <f t="shared" si="200"/>
        <v>0</v>
      </c>
      <c r="K885" s="1467">
        <f t="shared" si="200"/>
        <v>0</v>
      </c>
      <c r="L885" s="1550"/>
      <c r="M885" s="1467">
        <f>SUM(M$627)</f>
        <v>0</v>
      </c>
      <c r="N885" s="1467">
        <f t="shared" ref="N885:P885" si="201">SUM(N$627)</f>
        <v>0</v>
      </c>
      <c r="O885" s="1467">
        <f t="shared" si="201"/>
        <v>0</v>
      </c>
      <c r="P885" s="1467">
        <f t="shared" si="201"/>
        <v>0</v>
      </c>
      <c r="Q885" s="1564" t="str">
        <f>$Q$629</f>
        <v>des</v>
      </c>
      <c r="R885" s="1375" t="str">
        <f t="shared" si="135"/>
        <v/>
      </c>
      <c r="S885" s="1357"/>
      <c r="T885" s="1357"/>
      <c r="U885" s="1394">
        <v>885</v>
      </c>
      <c r="V885" s="1357"/>
    </row>
    <row r="886" spans="1:22" ht="15.75" customHeight="1">
      <c r="A886" s="1375" t="str">
        <f>$A$630</f>
        <v xml:space="preserve">Baking flour </v>
      </c>
      <c r="B886" s="1559"/>
      <c r="C886" s="1467">
        <f>SUM(C$633)</f>
        <v>6.7650971357409703E-2</v>
      </c>
      <c r="D886" s="1467">
        <f t="shared" ref="D886:F886" si="202">SUM(D$633)</f>
        <v>6.7650971357409703E-2</v>
      </c>
      <c r="E886" s="1467">
        <f t="shared" si="202"/>
        <v>6.7650971357409703E-2</v>
      </c>
      <c r="F886" s="1467">
        <f t="shared" si="202"/>
        <v>6.0134196762141955E-2</v>
      </c>
      <c r="G886" s="1550"/>
      <c r="H886" s="1467">
        <f>SUM(H$633)</f>
        <v>0</v>
      </c>
      <c r="I886" s="1467">
        <f t="shared" ref="I886:K886" si="203">SUM(I$633)</f>
        <v>0</v>
      </c>
      <c r="J886" s="1467">
        <f t="shared" si="203"/>
        <v>0</v>
      </c>
      <c r="K886" s="1467">
        <f t="shared" si="203"/>
        <v>0</v>
      </c>
      <c r="L886" s="1550"/>
      <c r="M886" s="1467">
        <f>SUM(M$633)</f>
        <v>-6.7650971357409703E-2</v>
      </c>
      <c r="N886" s="1467">
        <f t="shared" ref="N886:P886" si="204">SUM(N$633)</f>
        <v>-6.7650971357409703E-2</v>
      </c>
      <c r="O886" s="1467">
        <f t="shared" si="204"/>
        <v>-6.7650971357409703E-2</v>
      </c>
      <c r="P886" s="1467">
        <f t="shared" si="204"/>
        <v>-6.0134196762141955E-2</v>
      </c>
      <c r="Q886" s="1564" t="str">
        <f>$Q$635</f>
        <v>des</v>
      </c>
      <c r="R886" s="1375" t="str">
        <f t="shared" si="135"/>
        <v/>
      </c>
      <c r="S886" s="1357"/>
      <c r="T886" s="1357"/>
      <c r="U886" s="1394">
        <v>886</v>
      </c>
      <c r="V886" s="1357"/>
    </row>
    <row r="887" spans="1:22" ht="15.75" customHeight="1">
      <c r="A887" s="1583" t="str">
        <f>$A$636</f>
        <v>Other purchase -- see Data 4</v>
      </c>
      <c r="B887" s="1559"/>
      <c r="C887" s="1467">
        <f>SUM(C$640)</f>
        <v>3.314115504358655E-2</v>
      </c>
      <c r="D887" s="1467">
        <f t="shared" ref="D887:F887" si="205">SUM(D$640)</f>
        <v>3.314115504358655E-2</v>
      </c>
      <c r="E887" s="1467">
        <f t="shared" si="205"/>
        <v>3.314115504358655E-2</v>
      </c>
      <c r="F887" s="1467">
        <f t="shared" si="205"/>
        <v>2.7003904109589038E-2</v>
      </c>
      <c r="G887" s="1550"/>
      <c r="H887" s="1467">
        <f>SUM(H$640)</f>
        <v>0</v>
      </c>
      <c r="I887" s="1467">
        <f t="shared" ref="I887:K887" si="206">SUM(I$640)</f>
        <v>0</v>
      </c>
      <c r="J887" s="1467">
        <f t="shared" si="206"/>
        <v>0</v>
      </c>
      <c r="K887" s="1467">
        <f t="shared" si="206"/>
        <v>0</v>
      </c>
      <c r="L887" s="1550"/>
      <c r="M887" s="1467">
        <f>SUM(M$640)</f>
        <v>-3.314115504358655E-2</v>
      </c>
      <c r="N887" s="1467">
        <f t="shared" ref="N887:P887" si="207">SUM(N$640)</f>
        <v>-3.314115504358655E-2</v>
      </c>
      <c r="O887" s="1467">
        <f t="shared" si="207"/>
        <v>-3.314115504358655E-2</v>
      </c>
      <c r="P887" s="1467">
        <f t="shared" si="207"/>
        <v>-2.7003904109589038E-2</v>
      </c>
      <c r="Q887" s="1564" t="str">
        <f>$Q$642</f>
        <v>dis</v>
      </c>
      <c r="R887" s="1375" t="str">
        <f t="shared" si="135"/>
        <v/>
      </c>
      <c r="S887" s="1357"/>
      <c r="T887" s="1357"/>
      <c r="U887" s="1394">
        <v>887</v>
      </c>
      <c r="V887" s="1357"/>
    </row>
    <row r="888" spans="1:22" ht="15.75" customHeight="1">
      <c r="A888" s="1556" t="s">
        <v>537</v>
      </c>
      <c r="B888" s="1559"/>
      <c r="C888" s="1550"/>
      <c r="D888" s="1550"/>
      <c r="E888" s="1550"/>
      <c r="F888" s="1550"/>
      <c r="G888" s="1550"/>
      <c r="H888" s="1550"/>
      <c r="I888" s="1550"/>
      <c r="J888" s="1550"/>
      <c r="K888" s="1550"/>
      <c r="L888" s="1550"/>
      <c r="M888" s="1550"/>
      <c r="N888" s="1550"/>
      <c r="O888" s="1550"/>
      <c r="P888" s="1550"/>
      <c r="R888" s="1375"/>
      <c r="S888" s="1357"/>
      <c r="T888" s="1357"/>
      <c r="U888" s="1394">
        <v>888</v>
      </c>
      <c r="V888" s="1357"/>
    </row>
    <row r="889" spans="1:22" ht="15.75" customHeight="1">
      <c r="A889" s="1375" t="str">
        <f>$A$666</f>
        <v>School feeding: no. children</v>
      </c>
      <c r="B889" s="1559"/>
      <c r="C889" s="1467">
        <f>SUM($C$667)</f>
        <v>0.11904761904761904</v>
      </c>
      <c r="D889" s="1467">
        <f>SUM($D$667)</f>
        <v>0.11904761904761904</v>
      </c>
      <c r="E889" s="1467">
        <f>SUM($E$667)</f>
        <v>0.11904761904761904</v>
      </c>
      <c r="F889" s="1467">
        <f>SUM($F$667)</f>
        <v>0.10582010582010581</v>
      </c>
      <c r="G889" s="1550"/>
      <c r="H889" s="1467">
        <f>SUM($H$667)</f>
        <v>0</v>
      </c>
      <c r="I889" s="1467">
        <f>SUM($I$667)</f>
        <v>0</v>
      </c>
      <c r="J889" s="1467">
        <f>SUM($J$667)</f>
        <v>0</v>
      </c>
      <c r="K889" s="1467">
        <f>SUM($K$667)</f>
        <v>0</v>
      </c>
      <c r="L889" s="1550"/>
      <c r="M889" s="1467">
        <f>SUM($M$667)</f>
        <v>0</v>
      </c>
      <c r="N889" s="1467">
        <f>SUM($N$667)</f>
        <v>0</v>
      </c>
      <c r="O889" s="1467">
        <f>SUM($O$667)</f>
        <v>0</v>
      </c>
      <c r="P889" s="1467">
        <f>SUM($P$667)</f>
        <v>0</v>
      </c>
      <c r="R889" s="1375"/>
      <c r="S889" s="1357"/>
      <c r="T889" s="1357"/>
      <c r="U889" s="1394">
        <v>889</v>
      </c>
      <c r="V889" s="1357"/>
    </row>
    <row r="890" spans="1:22" ht="15.75" customHeight="1">
      <c r="A890" s="1375" t="str">
        <f>$A$668</f>
        <v>Relief - grain: quantity (kg)</v>
      </c>
      <c r="B890" s="1559"/>
      <c r="C890" s="1467">
        <f>SUM($C$670)</f>
        <v>0</v>
      </c>
      <c r="D890" s="1467">
        <f>SUM($D$670)</f>
        <v>0</v>
      </c>
      <c r="E890" s="1467">
        <f>SUM($E$670)</f>
        <v>0</v>
      </c>
      <c r="F890" s="1467">
        <f>SUM($F$670)</f>
        <v>0</v>
      </c>
      <c r="G890" s="1550"/>
      <c r="H890" s="1467">
        <f>SUM($H$670)</f>
        <v>0</v>
      </c>
      <c r="I890" s="1467">
        <f>SUM($I$670)</f>
        <v>0</v>
      </c>
      <c r="J890" s="1467">
        <f>SUM($J$670)</f>
        <v>0</v>
      </c>
      <c r="K890" s="1467">
        <f>SUM($K$670)</f>
        <v>0</v>
      </c>
      <c r="L890" s="1550"/>
      <c r="M890" s="1467">
        <f>SUM($M$670)</f>
        <v>0</v>
      </c>
      <c r="N890" s="1467">
        <f>SUM($N$670)</f>
        <v>0</v>
      </c>
      <c r="O890" s="1467">
        <f>SUM($O$670)</f>
        <v>0</v>
      </c>
      <c r="P890" s="1467">
        <f>SUM($P$670)</f>
        <v>0</v>
      </c>
      <c r="R890" s="1375"/>
      <c r="S890" s="1357"/>
      <c r="T890" s="1357"/>
      <c r="U890" s="1394">
        <v>890</v>
      </c>
      <c r="V890" s="1357"/>
    </row>
    <row r="891" spans="1:22" ht="15.75" customHeight="1">
      <c r="A891" s="1375" t="str">
        <f>$A$671</f>
        <v>Relief - pulses: quantity (kg)</v>
      </c>
      <c r="B891" s="1559"/>
      <c r="C891" s="1467">
        <f>SUM($C$673)</f>
        <v>0</v>
      </c>
      <c r="D891" s="1467">
        <f>SUM($D$673)</f>
        <v>0</v>
      </c>
      <c r="E891" s="1467">
        <f>SUM($E$673)</f>
        <v>0</v>
      </c>
      <c r="F891" s="1467">
        <f>SUM($F$673)</f>
        <v>0</v>
      </c>
      <c r="G891" s="1550"/>
      <c r="H891" s="1467">
        <f>SUM($H$673)</f>
        <v>0</v>
      </c>
      <c r="I891" s="1467">
        <f>SUM($I$673)</f>
        <v>0</v>
      </c>
      <c r="J891" s="1467">
        <f>SUM($J$673)</f>
        <v>0</v>
      </c>
      <c r="K891" s="1467">
        <f>SUM($K$673)</f>
        <v>0</v>
      </c>
      <c r="L891" s="1550"/>
      <c r="M891" s="1467">
        <f>SUM($M$673)</f>
        <v>0</v>
      </c>
      <c r="N891" s="1467">
        <f>SUM($N$673)</f>
        <v>0</v>
      </c>
      <c r="O891" s="1467">
        <f>SUM($O$673)</f>
        <v>0</v>
      </c>
      <c r="P891" s="1467">
        <f>SUM($P$673)</f>
        <v>0</v>
      </c>
      <c r="R891" s="1375"/>
      <c r="S891" s="1357"/>
      <c r="T891" s="1357"/>
      <c r="U891" s="1394">
        <v>891</v>
      </c>
      <c r="V891" s="1357"/>
    </row>
    <row r="892" spans="1:22" ht="15.75" customHeight="1">
      <c r="A892" s="1375" t="str">
        <f>$A$674</f>
        <v>Relief - oil: quantity (kg)</v>
      </c>
      <c r="B892" s="1559"/>
      <c r="C892" s="1467">
        <f>SUM(C$676)</f>
        <v>0</v>
      </c>
      <c r="D892" s="1467">
        <f>SUM(D$676)</f>
        <v>0</v>
      </c>
      <c r="E892" s="1467">
        <f>SUM(E$676)</f>
        <v>0</v>
      </c>
      <c r="F892" s="1467">
        <f>SUM(F$676)</f>
        <v>0</v>
      </c>
      <c r="G892" s="1550"/>
      <c r="H892" s="1467">
        <f>SUM(H$676)</f>
        <v>0</v>
      </c>
      <c r="I892" s="1467">
        <f>SUM(I$676)</f>
        <v>0</v>
      </c>
      <c r="J892" s="1467">
        <f>SUM(J$676)</f>
        <v>0</v>
      </c>
      <c r="K892" s="1467">
        <f>SUM(K$676)</f>
        <v>0</v>
      </c>
      <c r="L892" s="1550"/>
      <c r="M892" s="1467">
        <f>SUM(M$676)</f>
        <v>0</v>
      </c>
      <c r="N892" s="1467">
        <f>SUM(N$676)</f>
        <v>0</v>
      </c>
      <c r="O892" s="1467">
        <f>SUM(O$676)</f>
        <v>0</v>
      </c>
      <c r="P892" s="1467">
        <f>SUM(P$676)</f>
        <v>0</v>
      </c>
      <c r="R892" s="1375"/>
      <c r="S892" s="1357"/>
      <c r="T892" s="1357"/>
      <c r="U892" s="1394">
        <v>892</v>
      </c>
      <c r="V892" s="1357"/>
    </row>
    <row r="893" spans="1:22" ht="15.75" customHeight="1">
      <c r="A893" s="1375" t="str">
        <f>$A$677</f>
        <v>Relief: sugar</v>
      </c>
      <c r="B893" s="1559"/>
      <c r="C893" s="1467">
        <f>SUM(C$681)</f>
        <v>0</v>
      </c>
      <c r="D893" s="1467">
        <f>SUM(D$681)</f>
        <v>0</v>
      </c>
      <c r="E893" s="1467">
        <f>SUM(E$681)</f>
        <v>0</v>
      </c>
      <c r="F893" s="1467">
        <f>SUM(F$681)</f>
        <v>0</v>
      </c>
      <c r="G893" s="1550"/>
      <c r="H893" s="1467">
        <f>SUM(H$681)</f>
        <v>0</v>
      </c>
      <c r="I893" s="1467">
        <f>SUM(I$681)</f>
        <v>0</v>
      </c>
      <c r="J893" s="1467">
        <f>SUM(J$681)</f>
        <v>0</v>
      </c>
      <c r="K893" s="1467">
        <f>SUM(K$681)</f>
        <v>0</v>
      </c>
      <c r="L893" s="1550"/>
      <c r="M893" s="1467">
        <f>SUM(M$681)</f>
        <v>0</v>
      </c>
      <c r="N893" s="1467">
        <f>SUM(N$681)</f>
        <v>0</v>
      </c>
      <c r="O893" s="1467">
        <f>SUM(O$681)</f>
        <v>0</v>
      </c>
      <c r="P893" s="1467">
        <f>SUM(P$681)</f>
        <v>0</v>
      </c>
      <c r="R893" s="1375"/>
      <c r="S893" s="1357"/>
      <c r="T893" s="1357"/>
      <c r="U893" s="1394">
        <v>893</v>
      </c>
      <c r="V893" s="1357"/>
    </row>
    <row r="894" spans="1:22" ht="15.75" customHeight="1">
      <c r="A894" s="1585" t="str">
        <f>$A$682</f>
        <v>Relief: Under 5 supplementary feeding</v>
      </c>
      <c r="B894" s="1559"/>
      <c r="C894" s="1467">
        <f>SUM(C686)</f>
        <v>0</v>
      </c>
      <c r="D894" s="1467">
        <f>SUM(D686)</f>
        <v>0</v>
      </c>
      <c r="E894" s="1467">
        <f>SUM(E686)</f>
        <v>0</v>
      </c>
      <c r="F894" s="1467">
        <f>SUM(F686)</f>
        <v>0</v>
      </c>
      <c r="G894" s="1550"/>
      <c r="H894" s="1467">
        <f>SUM(H686)</f>
        <v>0</v>
      </c>
      <c r="I894" s="1467">
        <f>SUM(I686)</f>
        <v>0</v>
      </c>
      <c r="J894" s="1467">
        <f>SUM(J686)</f>
        <v>0</v>
      </c>
      <c r="K894" s="1467">
        <f>SUM(K686)</f>
        <v>0</v>
      </c>
      <c r="L894" s="1550"/>
      <c r="M894" s="1467">
        <f>SUM(M686)</f>
        <v>0</v>
      </c>
      <c r="N894" s="1467">
        <f>SUM(N686)</f>
        <v>0</v>
      </c>
      <c r="O894" s="1467">
        <f>SUM(O686)</f>
        <v>0</v>
      </c>
      <c r="P894" s="1467">
        <f>SUM(P686)</f>
        <v>0</v>
      </c>
      <c r="R894" s="1375"/>
      <c r="S894" s="1357"/>
      <c r="T894" s="1357"/>
      <c r="U894" s="1394">
        <v>894</v>
      </c>
      <c r="V894" s="1357"/>
    </row>
    <row r="895" spans="1:22" ht="15.75" customHeight="1">
      <c r="A895" s="1496" t="s">
        <v>388</v>
      </c>
      <c r="B895" s="1559"/>
      <c r="C895" s="1550"/>
      <c r="D895" s="1550"/>
      <c r="E895" s="1550"/>
      <c r="F895" s="1550"/>
      <c r="G895" s="1550"/>
      <c r="H895" s="1550"/>
      <c r="I895" s="1550"/>
      <c r="J895" s="1550"/>
      <c r="K895" s="1550"/>
      <c r="L895" s="1550"/>
      <c r="M895" s="1550"/>
      <c r="N895" s="1550"/>
      <c r="O895" s="1550"/>
      <c r="P895" s="1550"/>
      <c r="R895" s="1375"/>
      <c r="S895" s="1357"/>
      <c r="T895" s="1357"/>
      <c r="U895" s="1394">
        <v>895</v>
      </c>
      <c r="V895" s="1357"/>
    </row>
    <row r="896" spans="1:22" ht="15.75" customHeight="1">
      <c r="A896" s="1375" t="str">
        <f>$A$687</f>
        <v>Gifts/remittances: cereal</v>
      </c>
      <c r="B896" s="1559"/>
      <c r="C896" s="1467">
        <f>SUM($C$691)</f>
        <v>0</v>
      </c>
      <c r="D896" s="1467">
        <f>SUM($D$691)</f>
        <v>0</v>
      </c>
      <c r="E896" s="1467">
        <f>SUM($E$691)</f>
        <v>1.7694834993773351E-2</v>
      </c>
      <c r="F896" s="1467">
        <f>SUM($F$691)</f>
        <v>5.3477723536737236E-2</v>
      </c>
      <c r="G896" s="1550"/>
      <c r="H896" s="1467">
        <f>SUM($H$691)</f>
        <v>0</v>
      </c>
      <c r="I896" s="1467">
        <f>SUM($I$691)</f>
        <v>0</v>
      </c>
      <c r="J896" s="1467">
        <f>SUM($J$691)</f>
        <v>1.7694834993773351E-2</v>
      </c>
      <c r="K896" s="1467">
        <f>SUM($K$691)</f>
        <v>5.3477723536737236E-2</v>
      </c>
      <c r="L896" s="1550"/>
      <c r="M896" s="1467">
        <f>SUM($M$691)</f>
        <v>0</v>
      </c>
      <c r="N896" s="1467">
        <f>SUM($N$691)</f>
        <v>0</v>
      </c>
      <c r="O896" s="1467">
        <f>SUM($O$691)</f>
        <v>0</v>
      </c>
      <c r="P896" s="1467">
        <f>SUM($P$691)</f>
        <v>0</v>
      </c>
      <c r="R896" s="1375"/>
      <c r="S896" s="1357">
        <f>IF(MAX(C896:F896,H896:K896)&gt;0,S857+1,S857)</f>
        <v>18</v>
      </c>
      <c r="T896" s="1357">
        <f>IF(S896&gt;S857,S896,"")</f>
        <v>18</v>
      </c>
      <c r="U896" s="1394">
        <v>896</v>
      </c>
      <c r="V896" s="1357"/>
    </row>
    <row r="897" spans="1:22" ht="15.75" customHeight="1">
      <c r="A897" s="1375" t="str">
        <f>$A$692</f>
        <v>Gifts/remittances: oil</v>
      </c>
      <c r="B897" s="1559"/>
      <c r="C897" s="1467">
        <f>SUM($C$696)</f>
        <v>0</v>
      </c>
      <c r="D897" s="1467">
        <f>SUM($D$696)</f>
        <v>0</v>
      </c>
      <c r="E897" s="1467">
        <f>SUM($E$696)</f>
        <v>0</v>
      </c>
      <c r="F897" s="1467">
        <f>SUM($F$696)</f>
        <v>0</v>
      </c>
      <c r="G897" s="1550"/>
      <c r="H897" s="1467">
        <f>SUM($H$696)</f>
        <v>0</v>
      </c>
      <c r="I897" s="1467">
        <f>SUM($I$696)</f>
        <v>0</v>
      </c>
      <c r="J897" s="1467">
        <f>SUM($J$696)</f>
        <v>0</v>
      </c>
      <c r="K897" s="1467">
        <f>SUM($K$696)</f>
        <v>0</v>
      </c>
      <c r="L897" s="1550"/>
      <c r="M897" s="1467">
        <f>SUM($M$696)</f>
        <v>0</v>
      </c>
      <c r="N897" s="1467">
        <f>SUM($N$696)</f>
        <v>0</v>
      </c>
      <c r="O897" s="1467">
        <f>SUM($O$696)</f>
        <v>0</v>
      </c>
      <c r="P897" s="1467">
        <f>SUM($P$696)</f>
        <v>0</v>
      </c>
      <c r="R897" s="1375"/>
      <c r="S897" s="1357">
        <f>IF(MAX(C897:F897,H897:K897)&gt;0,S896+1,S896)</f>
        <v>18</v>
      </c>
      <c r="T897" s="1357" t="str">
        <f>IF(S897&gt;S896,S897,"")</f>
        <v/>
      </c>
      <c r="U897" s="1394">
        <v>897</v>
      </c>
      <c r="V897" s="1357"/>
    </row>
    <row r="898" spans="1:22" ht="15.75" customHeight="1">
      <c r="A898" s="1375" t="str">
        <f>$A$697</f>
        <v>Gifts/remittances: Other</v>
      </c>
      <c r="B898" s="1559"/>
      <c r="C898" s="1467">
        <f>SUM($C$701)</f>
        <v>0</v>
      </c>
      <c r="D898" s="1467">
        <f>SUM($D$701)</f>
        <v>0</v>
      </c>
      <c r="E898" s="1467">
        <f>SUM($E$701)</f>
        <v>2.3069738480697384E-2</v>
      </c>
      <c r="F898" s="1467">
        <f>SUM($F$701)</f>
        <v>2.5633042756330427E-2</v>
      </c>
      <c r="G898" s="1550"/>
      <c r="H898" s="1467">
        <f>SUM($H$701)</f>
        <v>0</v>
      </c>
      <c r="I898" s="1467">
        <f>SUM($I$701)</f>
        <v>0</v>
      </c>
      <c r="J898" s="1467">
        <f>SUM($J$701)</f>
        <v>2.3069738480697384E-2</v>
      </c>
      <c r="K898" s="1467">
        <f>SUM($K$701)</f>
        <v>2.5633042756330427E-2</v>
      </c>
      <c r="L898" s="1550"/>
      <c r="M898" s="1467">
        <f>SUM($M$701)</f>
        <v>0</v>
      </c>
      <c r="N898" s="1467">
        <f>SUM($N$701)</f>
        <v>0</v>
      </c>
      <c r="O898" s="1467">
        <f>SUM($O$701)</f>
        <v>0</v>
      </c>
      <c r="P898" s="1467">
        <f>SUM($P$701)</f>
        <v>0</v>
      </c>
      <c r="R898" s="1375"/>
      <c r="S898" s="1357">
        <f>IF(MAX(C898:F898,H898:K898)&gt;0,S897+1,S897)</f>
        <v>19</v>
      </c>
      <c r="T898" s="1357">
        <f>IF(S898&gt;S897,S898,"")</f>
        <v>19</v>
      </c>
      <c r="U898" s="1394">
        <v>898</v>
      </c>
      <c r="V898" s="1357"/>
    </row>
    <row r="899" spans="1:22" ht="15.75" customHeight="1">
      <c r="A899" s="1375"/>
      <c r="B899" s="1559"/>
      <c r="C899" s="1550"/>
      <c r="D899" s="1550"/>
      <c r="E899" s="1550"/>
      <c r="F899" s="1550"/>
      <c r="G899" s="1550"/>
      <c r="H899" s="1550"/>
      <c r="I899" s="1550"/>
      <c r="J899" s="1550"/>
      <c r="K899" s="1550"/>
      <c r="L899" s="1550"/>
      <c r="M899" s="1550"/>
      <c r="N899" s="1550"/>
      <c r="O899" s="1550"/>
      <c r="P899" s="1550"/>
      <c r="R899" s="1375"/>
      <c r="S899" s="1357"/>
      <c r="T899" s="1357"/>
      <c r="U899" s="1394">
        <v>899</v>
      </c>
      <c r="V899" s="1357"/>
    </row>
    <row r="900" spans="1:22" ht="15.75" customHeight="1">
      <c r="A900" s="1375" t="s">
        <v>74</v>
      </c>
      <c r="B900" s="1559"/>
      <c r="C900" s="1467">
        <f>SUM($C$820:$C$899)</f>
        <v>1.2467760686117535</v>
      </c>
      <c r="D900" s="1467">
        <f>SUM($D$820:$D$899)</f>
        <v>1.3797356171017909</v>
      </c>
      <c r="E900" s="1467">
        <f>SUM($E$820:$E$899)</f>
        <v>1.5151107997761371</v>
      </c>
      <c r="F900" s="1467">
        <f>SUM($F$820:$F$899)</f>
        <v>1.6819659355281453</v>
      </c>
      <c r="G900" s="1550"/>
      <c r="H900" s="1467">
        <f>SUM($H$820:$H$899)</f>
        <v>0.52798398449364881</v>
      </c>
      <c r="I900" s="1467">
        <f>SUM($I$820:$I$899)</f>
        <v>0.65753721519103359</v>
      </c>
      <c r="J900" s="1467">
        <f>SUM($J$820:$J$899)</f>
        <v>1.0446675465266499</v>
      </c>
      <c r="K900" s="1467">
        <f>SUM($K$820:$K$899)</f>
        <v>1.0718918519697802</v>
      </c>
      <c r="L900" s="1550"/>
      <c r="M900" s="1467">
        <f>SUM($M$820:$M$899)</f>
        <v>0.11337738113125789</v>
      </c>
      <c r="N900" s="1467">
        <f>SUM($N$820:$N$899)</f>
        <v>0.13320008847870496</v>
      </c>
      <c r="O900" s="1467">
        <f>SUM($O$820:$O$899)</f>
        <v>0.18461214911070983</v>
      </c>
      <c r="P900" s="1467">
        <f>SUM($P$820:$P$899)</f>
        <v>0.13944819570853756</v>
      </c>
      <c r="R900" s="1375"/>
      <c r="S900" s="1357"/>
      <c r="T900" s="1357"/>
      <c r="U900" s="1394">
        <v>900</v>
      </c>
      <c r="V900" s="1357"/>
    </row>
    <row r="901" spans="1:22" ht="15.75" customHeight="1">
      <c r="A901" s="1378" t="s">
        <v>523</v>
      </c>
      <c r="B901" s="1559"/>
      <c r="C901" s="1586">
        <f>SUMPRODUCT(C859:C887,$S859:$S887)</f>
        <v>0</v>
      </c>
      <c r="D901" s="1586">
        <f>SUMPRODUCT(D859:D887,$S859:$S887)</f>
        <v>0</v>
      </c>
      <c r="E901" s="1586">
        <f>SUMPRODUCT(E859:E887,$S859:$S887)</f>
        <v>0</v>
      </c>
      <c r="F901" s="1586">
        <f>SUMPRODUCT(F859:F887,$S859:$S887)</f>
        <v>0</v>
      </c>
      <c r="G901" s="1550"/>
      <c r="H901" s="1586">
        <f>SUMPRODUCT(H859:H887,$S859:$S887)</f>
        <v>0</v>
      </c>
      <c r="I901" s="1586">
        <f>SUMPRODUCT(I859:I887,$S859:$S887)</f>
        <v>0</v>
      </c>
      <c r="J901" s="1586">
        <f>SUMPRODUCT(J859:J887,$S859:$S887)</f>
        <v>0</v>
      </c>
      <c r="K901" s="1586">
        <f>SUMPRODUCT(K859:K887,$S859:$S887)</f>
        <v>0</v>
      </c>
      <c r="L901" s="1550"/>
      <c r="M901" s="1586">
        <f>SUMPRODUCT(M859:M887,$S859:$S887)</f>
        <v>0</v>
      </c>
      <c r="N901" s="1586">
        <f>SUMPRODUCT(N859:N887,$S859:$S887)</f>
        <v>0</v>
      </c>
      <c r="O901" s="1586">
        <f>SUMPRODUCT(O859:O887,$S859:$S887)</f>
        <v>0</v>
      </c>
      <c r="P901" s="1586">
        <f>SUMPRODUCT(P859:P887,$S859:$S887)</f>
        <v>0</v>
      </c>
      <c r="R901" s="1375"/>
      <c r="S901" s="1357"/>
      <c r="T901" s="1357"/>
      <c r="U901" s="1394">
        <v>901</v>
      </c>
      <c r="V901" s="1357"/>
    </row>
    <row r="902" spans="1:22" ht="15.75" customHeight="1">
      <c r="A902" s="1584" t="s">
        <v>389</v>
      </c>
      <c r="B902" s="1559"/>
      <c r="C902" s="1451"/>
      <c r="D902" s="1451"/>
      <c r="E902" s="1451"/>
      <c r="F902" s="1451"/>
      <c r="G902" s="1559"/>
      <c r="H902" s="1451"/>
      <c r="I902" s="1451"/>
      <c r="J902" s="1451"/>
      <c r="K902" s="1451"/>
      <c r="L902" s="1559"/>
      <c r="M902" s="1451"/>
      <c r="N902" s="1451"/>
      <c r="O902" s="1451"/>
      <c r="P902" s="1451"/>
      <c r="R902" s="1375"/>
      <c r="S902" s="1357"/>
      <c r="T902" s="1357"/>
      <c r="U902" s="1394">
        <v>902</v>
      </c>
      <c r="V902" s="1357"/>
    </row>
    <row r="903" spans="1:22" ht="15.75" customHeight="1">
      <c r="A903" s="1580" t="s">
        <v>25</v>
      </c>
      <c r="B903" s="1559"/>
      <c r="C903" s="1451"/>
      <c r="D903" s="1451"/>
      <c r="E903" s="1451"/>
      <c r="F903" s="1451"/>
      <c r="G903" s="1559"/>
      <c r="H903" s="1451"/>
      <c r="I903" s="1451"/>
      <c r="J903" s="1451"/>
      <c r="K903" s="1451"/>
      <c r="L903" s="1559"/>
      <c r="M903" s="1451"/>
      <c r="N903" s="1451"/>
      <c r="O903" s="1451"/>
      <c r="P903" s="1451"/>
      <c r="R903" s="1375"/>
      <c r="S903" s="1357"/>
      <c r="T903" s="1357"/>
      <c r="U903" s="1394">
        <v>903</v>
      </c>
      <c r="V903" s="1357"/>
    </row>
    <row r="904" spans="1:22" ht="15.75" customHeight="1">
      <c r="A904" s="1581" t="s">
        <v>390</v>
      </c>
      <c r="B904" s="1559"/>
      <c r="C904" s="1451">
        <f>SUM($C$72)</f>
        <v>0</v>
      </c>
      <c r="D904" s="1451">
        <f>SUM($D$72)</f>
        <v>0</v>
      </c>
      <c r="E904" s="1451">
        <f>SUM($E$72)</f>
        <v>0</v>
      </c>
      <c r="F904" s="1451">
        <f>SUM($F$72)</f>
        <v>0</v>
      </c>
      <c r="G904" s="1559"/>
      <c r="H904" s="1451">
        <f>SUM($H$72)</f>
        <v>0</v>
      </c>
      <c r="I904" s="1451">
        <f>SUM($I$72)</f>
        <v>0</v>
      </c>
      <c r="J904" s="1451">
        <f>SUM($J$72)</f>
        <v>0</v>
      </c>
      <c r="K904" s="1451">
        <f>SUM($K$72)</f>
        <v>0</v>
      </c>
      <c r="L904" s="1559"/>
      <c r="M904" s="1451">
        <f>SUM($M$72)</f>
        <v>0</v>
      </c>
      <c r="N904" s="1451">
        <f>SUM($N$72)</f>
        <v>0</v>
      </c>
      <c r="O904" s="1451">
        <f>SUM($O$72)</f>
        <v>0</v>
      </c>
      <c r="P904" s="1451">
        <f>SUM($P$72)</f>
        <v>0</v>
      </c>
      <c r="R904" s="1375">
        <v>1</v>
      </c>
      <c r="S904" s="1357">
        <f>IF(MAX(C904:F904,H904:K904)&gt;0,1,0)</f>
        <v>0</v>
      </c>
      <c r="T904" s="1357" t="str">
        <f t="shared" ref="T904:T967" si="208">IF(S904&gt;S903,S904,"")</f>
        <v/>
      </c>
      <c r="U904" s="1394">
        <v>904</v>
      </c>
      <c r="V904" s="1357"/>
    </row>
    <row r="905" spans="1:22" ht="15.75" customHeight="1">
      <c r="A905" s="1375" t="s">
        <v>391</v>
      </c>
      <c r="B905" s="1559"/>
      <c r="C905" s="1451">
        <f>SUM($C$80)</f>
        <v>0</v>
      </c>
      <c r="D905" s="1451">
        <f>SUM($D$80)</f>
        <v>0</v>
      </c>
      <c r="E905" s="1451">
        <f>SUM($E$80)</f>
        <v>0</v>
      </c>
      <c r="F905" s="1451">
        <f>SUM($F$80)</f>
        <v>0</v>
      </c>
      <c r="G905" s="1559"/>
      <c r="H905" s="1451">
        <f>SUM($H$80)</f>
        <v>0</v>
      </c>
      <c r="I905" s="1451">
        <f>SUM($I$80)</f>
        <v>0</v>
      </c>
      <c r="J905" s="1451">
        <f>SUM($J$80)</f>
        <v>0</v>
      </c>
      <c r="K905" s="1451">
        <f>SUM($K$80)</f>
        <v>0</v>
      </c>
      <c r="L905" s="1559"/>
      <c r="M905" s="1451">
        <f>SUM($M$80)</f>
        <v>0</v>
      </c>
      <c r="N905" s="1451">
        <f>SUM($N$80)</f>
        <v>0</v>
      </c>
      <c r="O905" s="1451">
        <f>SUM($O$80)</f>
        <v>0</v>
      </c>
      <c r="P905" s="1451">
        <f>SUM($P$80)</f>
        <v>0</v>
      </c>
      <c r="R905" s="1375">
        <v>2</v>
      </c>
      <c r="S905" s="1357">
        <f t="shared" ref="S905:S968" si="209">IF(MAX(C905:F905,H905:K905)&gt;0,S904+1,S904)</f>
        <v>0</v>
      </c>
      <c r="T905" s="1357" t="str">
        <f t="shared" si="208"/>
        <v/>
      </c>
      <c r="U905" s="1394">
        <v>905</v>
      </c>
      <c r="V905" s="1357"/>
    </row>
    <row r="906" spans="1:22" ht="15.75" customHeight="1">
      <c r="A906" s="1375" t="s">
        <v>392</v>
      </c>
      <c r="B906" s="1559"/>
      <c r="C906" s="1451">
        <f>SUM($C$88)</f>
        <v>0</v>
      </c>
      <c r="D906" s="1451">
        <f>SUM($D$88)</f>
        <v>0</v>
      </c>
      <c r="E906" s="1451">
        <f>SUM($E$88)</f>
        <v>0</v>
      </c>
      <c r="F906" s="1451">
        <f>SUM($F$88)</f>
        <v>0</v>
      </c>
      <c r="G906" s="1559"/>
      <c r="H906" s="1451">
        <f>SUM($H$88)</f>
        <v>0</v>
      </c>
      <c r="I906" s="1451">
        <f>SUM($I$88)</f>
        <v>0</v>
      </c>
      <c r="J906" s="1451">
        <f>SUM($J$88)</f>
        <v>0</v>
      </c>
      <c r="K906" s="1451">
        <f>SUM($K$88)</f>
        <v>0</v>
      </c>
      <c r="L906" s="1559"/>
      <c r="M906" s="1451">
        <f>SUM($M$88)</f>
        <v>0</v>
      </c>
      <c r="N906" s="1451">
        <f>SUM($N$88)</f>
        <v>0</v>
      </c>
      <c r="O906" s="1451">
        <f>SUM($O$88)</f>
        <v>0</v>
      </c>
      <c r="P906" s="1451">
        <f>SUM($P$88)</f>
        <v>0</v>
      </c>
      <c r="R906" s="1375">
        <v>1</v>
      </c>
      <c r="S906" s="1357">
        <f t="shared" si="209"/>
        <v>0</v>
      </c>
      <c r="T906" s="1357" t="str">
        <f t="shared" si="208"/>
        <v/>
      </c>
      <c r="U906" s="1394">
        <v>906</v>
      </c>
      <c r="V906" s="1357"/>
    </row>
    <row r="907" spans="1:22" ht="15.75" customHeight="1">
      <c r="A907" s="1581" t="s">
        <v>393</v>
      </c>
      <c r="B907" s="1559"/>
      <c r="C907" s="1451">
        <f>SUM($C$99)</f>
        <v>0</v>
      </c>
      <c r="D907" s="1451">
        <f>SUM($D$99)</f>
        <v>0</v>
      </c>
      <c r="E907" s="1451">
        <f>SUM($E$99)</f>
        <v>0</v>
      </c>
      <c r="F907" s="1451">
        <f>SUM($F$99)</f>
        <v>0</v>
      </c>
      <c r="G907" s="1559"/>
      <c r="H907" s="1451">
        <f>SUM($H$99)</f>
        <v>0</v>
      </c>
      <c r="I907" s="1451">
        <f>SUM($I$99)</f>
        <v>0</v>
      </c>
      <c r="J907" s="1451">
        <f>SUM($J$99)</f>
        <v>0</v>
      </c>
      <c r="K907" s="1451">
        <f>SUM($K$99)</f>
        <v>0</v>
      </c>
      <c r="L907" s="1559"/>
      <c r="M907" s="1451">
        <f>SUM($M$99)</f>
        <v>0</v>
      </c>
      <c r="N907" s="1451">
        <f>SUM($N$99)</f>
        <v>0</v>
      </c>
      <c r="O907" s="1451">
        <f>SUM($O$99)</f>
        <v>0</v>
      </c>
      <c r="P907" s="1451">
        <f>SUM($P$99)</f>
        <v>0</v>
      </c>
      <c r="R907" s="1375">
        <v>3</v>
      </c>
      <c r="S907" s="1357">
        <f t="shared" si="209"/>
        <v>0</v>
      </c>
      <c r="T907" s="1357" t="str">
        <f t="shared" si="208"/>
        <v/>
      </c>
      <c r="U907" s="1394">
        <v>907</v>
      </c>
      <c r="V907" s="1357"/>
    </row>
    <row r="908" spans="1:22" ht="15.75" customHeight="1">
      <c r="A908" s="1375" t="s">
        <v>394</v>
      </c>
      <c r="B908" s="1559"/>
      <c r="C908" s="1451">
        <f>SUM($C$107)</f>
        <v>0</v>
      </c>
      <c r="D908" s="1451">
        <f>SUM($D$107)</f>
        <v>0</v>
      </c>
      <c r="E908" s="1451">
        <f>SUM($E$107)</f>
        <v>0</v>
      </c>
      <c r="F908" s="1451">
        <f>SUM($F$107)</f>
        <v>0</v>
      </c>
      <c r="G908" s="1559"/>
      <c r="H908" s="1451">
        <f>SUM($H$107)</f>
        <v>0</v>
      </c>
      <c r="I908" s="1451">
        <f>SUM($I$107)</f>
        <v>0</v>
      </c>
      <c r="J908" s="1451">
        <f>SUM($J$107)</f>
        <v>0</v>
      </c>
      <c r="K908" s="1451">
        <f>SUM($K$107)</f>
        <v>0</v>
      </c>
      <c r="L908" s="1559"/>
      <c r="M908" s="1451">
        <f>SUM($M$107)</f>
        <v>0</v>
      </c>
      <c r="N908" s="1451">
        <f>SUM($N$107)</f>
        <v>0</v>
      </c>
      <c r="O908" s="1451">
        <f>SUM($O$107)</f>
        <v>0</v>
      </c>
      <c r="P908" s="1451">
        <f>SUM($P$107)</f>
        <v>0</v>
      </c>
      <c r="R908" s="1375">
        <v>4</v>
      </c>
      <c r="S908" s="1357">
        <f t="shared" si="209"/>
        <v>0</v>
      </c>
      <c r="T908" s="1357" t="str">
        <f t="shared" si="208"/>
        <v/>
      </c>
      <c r="U908" s="1394">
        <v>908</v>
      </c>
      <c r="V908" s="1357"/>
    </row>
    <row r="909" spans="1:22" ht="15.75" customHeight="1">
      <c r="A909" s="1375" t="s">
        <v>395</v>
      </c>
      <c r="B909" s="1559"/>
      <c r="C909" s="1451">
        <f>SUM($C$115)</f>
        <v>0</v>
      </c>
      <c r="D909" s="1451">
        <f>SUM($D$115)</f>
        <v>0</v>
      </c>
      <c r="E909" s="1451">
        <f>SUM($E$115)</f>
        <v>0</v>
      </c>
      <c r="F909" s="1451">
        <f>SUM($F$115)</f>
        <v>0</v>
      </c>
      <c r="G909" s="1559"/>
      <c r="H909" s="1451">
        <f>SUM($H$115)</f>
        <v>0</v>
      </c>
      <c r="I909" s="1451">
        <f>SUM($I$115)</f>
        <v>0</v>
      </c>
      <c r="J909" s="1451">
        <f>SUM($J$115)</f>
        <v>0</v>
      </c>
      <c r="K909" s="1451">
        <f>SUM($K$115)</f>
        <v>0</v>
      </c>
      <c r="L909" s="1559"/>
      <c r="M909" s="1451">
        <f>SUM($M$115)</f>
        <v>0</v>
      </c>
      <c r="N909" s="1451">
        <f>SUM($N$115)</f>
        <v>0</v>
      </c>
      <c r="O909" s="1451">
        <f>SUM($O$115)</f>
        <v>0</v>
      </c>
      <c r="P909" s="1451">
        <f>SUM($P$115)</f>
        <v>0</v>
      </c>
      <c r="R909" s="1375">
        <v>3</v>
      </c>
      <c r="S909" s="1357">
        <f t="shared" si="209"/>
        <v>0</v>
      </c>
      <c r="T909" s="1357" t="str">
        <f t="shared" si="208"/>
        <v/>
      </c>
      <c r="U909" s="1394">
        <v>909</v>
      </c>
      <c r="V909" s="1357"/>
    </row>
    <row r="910" spans="1:22" ht="15.75" customHeight="1">
      <c r="A910" s="1581" t="s">
        <v>396</v>
      </c>
      <c r="B910" s="1559"/>
      <c r="C910" s="1451">
        <f>SUM($C$126)</f>
        <v>0</v>
      </c>
      <c r="D910" s="1451">
        <f>SUM($D$126)</f>
        <v>0</v>
      </c>
      <c r="E910" s="1451">
        <f>SUM($E$126)</f>
        <v>0</v>
      </c>
      <c r="F910" s="1451">
        <f>SUM($F$126)</f>
        <v>0</v>
      </c>
      <c r="G910" s="1559"/>
      <c r="H910" s="1451">
        <f>SUM($H$126)</f>
        <v>0</v>
      </c>
      <c r="I910" s="1451">
        <f>SUM($I$126)</f>
        <v>0</v>
      </c>
      <c r="J910" s="1451">
        <f>SUM($J$126)</f>
        <v>0</v>
      </c>
      <c r="K910" s="1451">
        <f>SUM($K$126)</f>
        <v>0</v>
      </c>
      <c r="L910" s="1559"/>
      <c r="M910" s="1451">
        <f>SUM($M$126)</f>
        <v>0</v>
      </c>
      <c r="N910" s="1451">
        <f>SUM($N$126)</f>
        <v>0</v>
      </c>
      <c r="O910" s="1451">
        <f>SUM($O$126)</f>
        <v>0</v>
      </c>
      <c r="P910" s="1451">
        <f>SUM($P$126)</f>
        <v>0</v>
      </c>
      <c r="R910" s="1375">
        <v>5</v>
      </c>
      <c r="S910" s="1357">
        <f t="shared" si="209"/>
        <v>0</v>
      </c>
      <c r="T910" s="1357" t="str">
        <f t="shared" si="208"/>
        <v/>
      </c>
      <c r="U910" s="1394">
        <v>910</v>
      </c>
      <c r="V910" s="1357"/>
    </row>
    <row r="911" spans="1:22" ht="15.75" customHeight="1">
      <c r="A911" s="1375" t="s">
        <v>397</v>
      </c>
      <c r="B911" s="1559"/>
      <c r="C911" s="1451">
        <f>SUM($C$135)</f>
        <v>0</v>
      </c>
      <c r="D911" s="1451">
        <f>SUM($D$135)</f>
        <v>0</v>
      </c>
      <c r="E911" s="1451">
        <f>SUM($E$135)</f>
        <v>0</v>
      </c>
      <c r="F911" s="1451">
        <f>SUM($F$135)</f>
        <v>0</v>
      </c>
      <c r="G911" s="1559"/>
      <c r="H911" s="1451">
        <f>SUM($H$135)</f>
        <v>0</v>
      </c>
      <c r="I911" s="1451">
        <f>SUM($I$135)</f>
        <v>0</v>
      </c>
      <c r="J911" s="1451">
        <f>SUM($J$135)</f>
        <v>0</v>
      </c>
      <c r="K911" s="1451">
        <f>SUM($K$135)</f>
        <v>0</v>
      </c>
      <c r="L911" s="1559"/>
      <c r="M911" s="1451">
        <f>SUM($M$135)</f>
        <v>0</v>
      </c>
      <c r="N911" s="1451">
        <f>SUM($N$135)</f>
        <v>0</v>
      </c>
      <c r="O911" s="1451">
        <f>SUM($O$135)</f>
        <v>0</v>
      </c>
      <c r="P911" s="1451">
        <f>SUM($P$135)</f>
        <v>0</v>
      </c>
      <c r="R911" s="1375">
        <v>6</v>
      </c>
      <c r="S911" s="1357">
        <f t="shared" si="209"/>
        <v>0</v>
      </c>
      <c r="T911" s="1357" t="str">
        <f t="shared" si="208"/>
        <v/>
      </c>
      <c r="U911" s="1394">
        <v>911</v>
      </c>
      <c r="V911" s="1357"/>
    </row>
    <row r="912" spans="1:22" ht="15.75" customHeight="1">
      <c r="A912" s="1375" t="s">
        <v>398</v>
      </c>
      <c r="B912" s="1559"/>
      <c r="C912" s="1451">
        <f>SUM($C$143)</f>
        <v>0</v>
      </c>
      <c r="D912" s="1451">
        <f>SUM($D$143)</f>
        <v>0</v>
      </c>
      <c r="E912" s="1451">
        <f>SUM($E$143)</f>
        <v>0</v>
      </c>
      <c r="F912" s="1451">
        <f>SUM($F$143)</f>
        <v>0</v>
      </c>
      <c r="G912" s="1559"/>
      <c r="H912" s="1451">
        <f>SUM($H$143)</f>
        <v>0</v>
      </c>
      <c r="I912" s="1451">
        <f>SUM($I$143)</f>
        <v>0</v>
      </c>
      <c r="J912" s="1451">
        <f>SUM($J$143)</f>
        <v>0</v>
      </c>
      <c r="K912" s="1451">
        <f>SUM($K$143)</f>
        <v>0</v>
      </c>
      <c r="L912" s="1559"/>
      <c r="M912" s="1451">
        <f>SUM($M$143)</f>
        <v>0</v>
      </c>
      <c r="N912" s="1451">
        <f>SUM($N$143)</f>
        <v>0</v>
      </c>
      <c r="O912" s="1451">
        <f>SUM($O$143)</f>
        <v>0</v>
      </c>
      <c r="P912" s="1451">
        <f>SUM($P$143)</f>
        <v>0</v>
      </c>
      <c r="R912" s="1375">
        <v>5</v>
      </c>
      <c r="S912" s="1357">
        <f t="shared" si="209"/>
        <v>0</v>
      </c>
      <c r="T912" s="1357" t="str">
        <f t="shared" si="208"/>
        <v/>
      </c>
      <c r="U912" s="1394">
        <v>912</v>
      </c>
      <c r="V912" s="1357"/>
    </row>
    <row r="913" spans="1:22" ht="15.75" customHeight="1">
      <c r="A913" s="1581" t="s">
        <v>399</v>
      </c>
      <c r="B913" s="1559"/>
      <c r="C913" s="1451">
        <f>SUM($C$154)</f>
        <v>0</v>
      </c>
      <c r="D913" s="1451">
        <f>SUM($D$154)</f>
        <v>0</v>
      </c>
      <c r="E913" s="1451">
        <f>SUM($E$154)</f>
        <v>0</v>
      </c>
      <c r="F913" s="1451">
        <f>SUM($F$154)</f>
        <v>0</v>
      </c>
      <c r="G913" s="1559"/>
      <c r="H913" s="1451">
        <f>SUM($H$154)</f>
        <v>0</v>
      </c>
      <c r="I913" s="1451">
        <f>SUM($I$154)</f>
        <v>0</v>
      </c>
      <c r="J913" s="1451">
        <f>SUM($J$154)</f>
        <v>0</v>
      </c>
      <c r="K913" s="1451">
        <f>SUM($K$154)</f>
        <v>0</v>
      </c>
      <c r="L913" s="1559"/>
      <c r="M913" s="1451">
        <f>SUM($M$154)</f>
        <v>0</v>
      </c>
      <c r="N913" s="1451">
        <f>SUM($N$154)</f>
        <v>0</v>
      </c>
      <c r="O913" s="1451">
        <f>SUM($O$154)</f>
        <v>0</v>
      </c>
      <c r="P913" s="1451">
        <f>SUM($P$154)</f>
        <v>0</v>
      </c>
      <c r="R913" s="1375">
        <v>7</v>
      </c>
      <c r="S913" s="1357">
        <f t="shared" si="209"/>
        <v>0</v>
      </c>
      <c r="T913" s="1357" t="str">
        <f t="shared" si="208"/>
        <v/>
      </c>
      <c r="U913" s="1394">
        <v>913</v>
      </c>
      <c r="V913" s="1357"/>
    </row>
    <row r="914" spans="1:22" ht="15.75" customHeight="1">
      <c r="A914" s="1375" t="s">
        <v>400</v>
      </c>
      <c r="B914" s="1559"/>
      <c r="C914" s="1451">
        <f>SUM($C$163)</f>
        <v>0</v>
      </c>
      <c r="D914" s="1451">
        <f>SUM($D$163)</f>
        <v>0</v>
      </c>
      <c r="E914" s="1451">
        <f>SUM($E$163)</f>
        <v>0</v>
      </c>
      <c r="F914" s="1451">
        <f>SUM($F$163)</f>
        <v>0</v>
      </c>
      <c r="G914" s="1559"/>
      <c r="H914" s="1451">
        <f>SUM($H$163)</f>
        <v>0</v>
      </c>
      <c r="I914" s="1451">
        <f>SUM($I$163)</f>
        <v>0</v>
      </c>
      <c r="J914" s="1451">
        <f>SUM($J$163)</f>
        <v>0</v>
      </c>
      <c r="K914" s="1451">
        <f>SUM($K$163)</f>
        <v>0</v>
      </c>
      <c r="L914" s="1559"/>
      <c r="M914" s="1451">
        <f>SUM($M$163)</f>
        <v>0</v>
      </c>
      <c r="N914" s="1451">
        <f>SUM($N$163)</f>
        <v>0</v>
      </c>
      <c r="O914" s="1451">
        <f>SUM($O$163)</f>
        <v>0</v>
      </c>
      <c r="P914" s="1451">
        <f>SUM($P$163)</f>
        <v>0</v>
      </c>
      <c r="R914" s="1375">
        <v>8</v>
      </c>
      <c r="S914" s="1357">
        <f t="shared" si="209"/>
        <v>0</v>
      </c>
      <c r="T914" s="1357" t="str">
        <f t="shared" si="208"/>
        <v/>
      </c>
      <c r="U914" s="1394">
        <v>914</v>
      </c>
      <c r="V914" s="1357"/>
    </row>
    <row r="915" spans="1:22" ht="15.75" customHeight="1">
      <c r="A915" s="1375" t="s">
        <v>401</v>
      </c>
      <c r="B915" s="1559"/>
      <c r="C915" s="1451">
        <f>SUM($C$171)</f>
        <v>0</v>
      </c>
      <c r="D915" s="1451">
        <f>SUM($D$171)</f>
        <v>0</v>
      </c>
      <c r="E915" s="1451">
        <f>SUM($E$171)</f>
        <v>0</v>
      </c>
      <c r="F915" s="1451">
        <f>SUM($F$171)</f>
        <v>0</v>
      </c>
      <c r="G915" s="1559"/>
      <c r="H915" s="1451">
        <f>SUM($H$171)</f>
        <v>0</v>
      </c>
      <c r="I915" s="1451">
        <f>SUM($I$171)</f>
        <v>0</v>
      </c>
      <c r="J915" s="1451">
        <f>SUM($J$171)</f>
        <v>0</v>
      </c>
      <c r="K915" s="1451">
        <f>SUM($K$171)</f>
        <v>0</v>
      </c>
      <c r="L915" s="1559"/>
      <c r="M915" s="1451">
        <f>SUM($M$171)</f>
        <v>0</v>
      </c>
      <c r="N915" s="1451">
        <f>SUM($N$171)</f>
        <v>0</v>
      </c>
      <c r="O915" s="1451">
        <f>SUM($O$171)</f>
        <v>0</v>
      </c>
      <c r="P915" s="1451">
        <f>SUM($P$171)</f>
        <v>0</v>
      </c>
      <c r="R915" s="1375">
        <v>7</v>
      </c>
      <c r="S915" s="1357">
        <f t="shared" si="209"/>
        <v>0</v>
      </c>
      <c r="T915" s="1357" t="str">
        <f t="shared" si="208"/>
        <v/>
      </c>
      <c r="U915" s="1394">
        <v>915</v>
      </c>
      <c r="V915" s="1357"/>
    </row>
    <row r="916" spans="1:22" ht="15.75" customHeight="1">
      <c r="A916" s="1375" t="str">
        <f>$A$218</f>
        <v>Egg sales: no. sold</v>
      </c>
      <c r="B916" s="1559"/>
      <c r="C916" s="1451">
        <f>SUM($C$220)</f>
        <v>0</v>
      </c>
      <c r="D916" s="1451">
        <f>SUM($D$220)</f>
        <v>0</v>
      </c>
      <c r="E916" s="1451">
        <f>SUM($E$220)</f>
        <v>0</v>
      </c>
      <c r="F916" s="1451">
        <f>SUM($F$220)</f>
        <v>0</v>
      </c>
      <c r="G916" s="1559"/>
      <c r="H916" s="1451">
        <f>SUM($H$220)</f>
        <v>0</v>
      </c>
      <c r="I916" s="1451">
        <f>SUM($I$220)</f>
        <v>0</v>
      </c>
      <c r="J916" s="1451">
        <f>SUM($J$220)</f>
        <v>0</v>
      </c>
      <c r="K916" s="1451">
        <f>SUM($K$220)</f>
        <v>0</v>
      </c>
      <c r="L916" s="1559"/>
      <c r="M916" s="1451">
        <f>SUM($M$220)</f>
        <v>0</v>
      </c>
      <c r="N916" s="1451">
        <f>SUM($N$220)</f>
        <v>0</v>
      </c>
      <c r="O916" s="1451">
        <f>SUM($O$220)</f>
        <v>0</v>
      </c>
      <c r="P916" s="1451">
        <f>SUM($P$220)</f>
        <v>0</v>
      </c>
      <c r="R916" s="1375"/>
      <c r="S916" s="1357">
        <f t="shared" si="209"/>
        <v>0</v>
      </c>
      <c r="T916" s="1357" t="str">
        <f t="shared" si="208"/>
        <v/>
      </c>
      <c r="U916" s="1394">
        <v>916</v>
      </c>
      <c r="V916" s="1357"/>
    </row>
    <row r="917" spans="1:22" ht="15.75" customHeight="1">
      <c r="A917" s="1375" t="str">
        <f>$A$221</f>
        <v>Pig sales: no sold</v>
      </c>
      <c r="B917" s="1559"/>
      <c r="C917" s="1451">
        <f>SUM($C$223)</f>
        <v>0</v>
      </c>
      <c r="D917" s="1451">
        <f>SUM($D$223)</f>
        <v>0</v>
      </c>
      <c r="E917" s="1451">
        <f>SUM($E$223)</f>
        <v>0</v>
      </c>
      <c r="F917" s="1451">
        <f>SUM($F$223)</f>
        <v>0</v>
      </c>
      <c r="G917" s="1559"/>
      <c r="H917" s="1451">
        <f>SUM($H$223)</f>
        <v>0</v>
      </c>
      <c r="I917" s="1451">
        <f>SUM($I$223)</f>
        <v>0</v>
      </c>
      <c r="J917" s="1451">
        <f>SUM($J$223)</f>
        <v>0</v>
      </c>
      <c r="K917" s="1451">
        <f>SUM($K$223)</f>
        <v>0</v>
      </c>
      <c r="L917" s="1559"/>
      <c r="M917" s="1451">
        <f>SUM($M$223)</f>
        <v>0</v>
      </c>
      <c r="N917" s="1451">
        <f>SUM($N$223)</f>
        <v>0</v>
      </c>
      <c r="O917" s="1451">
        <f>SUM($O$223)</f>
        <v>0</v>
      </c>
      <c r="P917" s="1451">
        <f>SUM($P$223)</f>
        <v>0</v>
      </c>
      <c r="R917" s="1375"/>
      <c r="S917" s="1357">
        <f t="shared" si="209"/>
        <v>0</v>
      </c>
      <c r="T917" s="1357" t="str">
        <f t="shared" si="208"/>
        <v/>
      </c>
      <c r="U917" s="1394">
        <v>917</v>
      </c>
      <c r="V917" s="1357"/>
    </row>
    <row r="918" spans="1:22" ht="15.75" customHeight="1">
      <c r="A918" s="1375" t="str">
        <f>$A$224</f>
        <v>Other: quantity</v>
      </c>
      <c r="B918" s="1559"/>
      <c r="C918" s="1451">
        <f>SUM($C$226)</f>
        <v>0</v>
      </c>
      <c r="D918" s="1451">
        <f>SUM($D$226)</f>
        <v>0</v>
      </c>
      <c r="E918" s="1451">
        <f>SUM($E$226)</f>
        <v>0</v>
      </c>
      <c r="F918" s="1451">
        <f>SUM($F$226)</f>
        <v>0</v>
      </c>
      <c r="G918" s="1559"/>
      <c r="H918" s="1451">
        <f>SUM($H$226)</f>
        <v>0</v>
      </c>
      <c r="I918" s="1451">
        <f>SUM($I$226)</f>
        <v>0</v>
      </c>
      <c r="J918" s="1451">
        <f>SUM($J$226)</f>
        <v>0</v>
      </c>
      <c r="K918" s="1451">
        <f>SUM($K$226)</f>
        <v>0</v>
      </c>
      <c r="L918" s="1559"/>
      <c r="M918" s="1451">
        <f>SUM($M$226)</f>
        <v>0</v>
      </c>
      <c r="N918" s="1451">
        <f>SUM($N$226)</f>
        <v>0</v>
      </c>
      <c r="O918" s="1451">
        <f>SUM($O$226)</f>
        <v>0</v>
      </c>
      <c r="P918" s="1451">
        <f>SUM($P$226)</f>
        <v>0</v>
      </c>
      <c r="R918" s="1375"/>
      <c r="S918" s="1357">
        <f t="shared" si="209"/>
        <v>0</v>
      </c>
      <c r="T918" s="1357" t="str">
        <f t="shared" si="208"/>
        <v/>
      </c>
      <c r="U918" s="1394">
        <v>918</v>
      </c>
      <c r="V918" s="1357"/>
    </row>
    <row r="919" spans="1:22" ht="15.75" customHeight="1">
      <c r="A919" s="1580" t="s">
        <v>26</v>
      </c>
      <c r="B919" s="1559"/>
      <c r="C919" s="1559"/>
      <c r="D919" s="1559"/>
      <c r="E919" s="1559"/>
      <c r="F919" s="1559"/>
      <c r="G919" s="1559"/>
      <c r="H919" s="1559"/>
      <c r="I919" s="1559"/>
      <c r="J919" s="1559"/>
      <c r="K919" s="1559"/>
      <c r="L919" s="1559"/>
      <c r="M919" s="1559"/>
      <c r="N919" s="1559"/>
      <c r="O919" s="1559"/>
      <c r="P919" s="1559"/>
      <c r="R919" s="1375"/>
      <c r="S919" s="1357">
        <f t="shared" si="209"/>
        <v>0</v>
      </c>
      <c r="T919" s="1357" t="str">
        <f t="shared" si="208"/>
        <v/>
      </c>
      <c r="U919" s="1394">
        <v>919</v>
      </c>
      <c r="V919" s="1357"/>
    </row>
    <row r="920" spans="1:22" ht="15.75" customHeight="1">
      <c r="A920" s="1581" t="str">
        <f>$A$184</f>
        <v>Camel sales - export: no. sold</v>
      </c>
      <c r="B920" s="1559"/>
      <c r="C920" s="1451">
        <f>SUM($C$186)</f>
        <v>0</v>
      </c>
      <c r="D920" s="1451">
        <f>SUM($D$186)</f>
        <v>0</v>
      </c>
      <c r="E920" s="1451">
        <f>SUM($E$186)</f>
        <v>0</v>
      </c>
      <c r="F920" s="1451">
        <f>SUM($F$186)</f>
        <v>0</v>
      </c>
      <c r="G920" s="1559"/>
      <c r="H920" s="1451">
        <f>SUM($H$186)</f>
        <v>0</v>
      </c>
      <c r="I920" s="1451">
        <f>SUM($I$186)</f>
        <v>0</v>
      </c>
      <c r="J920" s="1451">
        <f>SUM($J$186)</f>
        <v>0</v>
      </c>
      <c r="K920" s="1451">
        <f>SUM($K$186)</f>
        <v>0</v>
      </c>
      <c r="L920" s="1559"/>
      <c r="M920" s="1451">
        <f>SUM($M$186)</f>
        <v>0</v>
      </c>
      <c r="N920" s="1451">
        <f>SUM($N$186)</f>
        <v>0</v>
      </c>
      <c r="O920" s="1451">
        <f>SUM($O$186)</f>
        <v>0</v>
      </c>
      <c r="P920" s="1451">
        <f>SUM($P$186)</f>
        <v>0</v>
      </c>
      <c r="R920" s="1375"/>
      <c r="S920" s="1357">
        <f t="shared" si="209"/>
        <v>0</v>
      </c>
      <c r="T920" s="1357" t="str">
        <f t="shared" si="208"/>
        <v/>
      </c>
      <c r="U920" s="1394">
        <v>920</v>
      </c>
      <c r="V920" s="1357"/>
    </row>
    <row r="921" spans="1:22" ht="15.75" customHeight="1">
      <c r="A921" s="1375" t="str">
        <f>$A$187</f>
        <v>Camel sales - local: no. sold</v>
      </c>
      <c r="B921" s="1559"/>
      <c r="C921" s="1451">
        <f>SUM($C$189)</f>
        <v>0</v>
      </c>
      <c r="D921" s="1451">
        <f>SUM($D$189)</f>
        <v>0</v>
      </c>
      <c r="E921" s="1451">
        <f>SUM($E$189)</f>
        <v>0</v>
      </c>
      <c r="F921" s="1451">
        <f>SUM($F$189)</f>
        <v>0</v>
      </c>
      <c r="G921" s="1559"/>
      <c r="H921" s="1451">
        <f>SUM($H$189)</f>
        <v>0</v>
      </c>
      <c r="I921" s="1451">
        <f>SUM($I$189)</f>
        <v>0</v>
      </c>
      <c r="J921" s="1451">
        <f>SUM($J$189)</f>
        <v>0</v>
      </c>
      <c r="K921" s="1451">
        <f>SUM($K$189)</f>
        <v>0</v>
      </c>
      <c r="L921" s="1559"/>
      <c r="M921" s="1451">
        <f>SUM($M$189)</f>
        <v>0</v>
      </c>
      <c r="N921" s="1451">
        <f>SUM($N$189)</f>
        <v>0</v>
      </c>
      <c r="O921" s="1451">
        <f>SUM($O$189)</f>
        <v>0</v>
      </c>
      <c r="P921" s="1451">
        <f>SUM($P$189)</f>
        <v>0</v>
      </c>
      <c r="R921" s="1375"/>
      <c r="S921" s="1357">
        <f t="shared" si="209"/>
        <v>0</v>
      </c>
      <c r="T921" s="1357" t="str">
        <f t="shared" si="208"/>
        <v/>
      </c>
      <c r="U921" s="1394">
        <v>921</v>
      </c>
      <c r="V921" s="1357"/>
    </row>
    <row r="922" spans="1:22" ht="15.75" customHeight="1">
      <c r="A922" s="1375" t="str">
        <f>$A$191</f>
        <v>Fattened Ox sales: no. sold</v>
      </c>
      <c r="B922" s="1559"/>
      <c r="C922" s="1451">
        <f>SUM($C$194)</f>
        <v>0</v>
      </c>
      <c r="D922" s="1451">
        <f>SUM($D$194)</f>
        <v>0</v>
      </c>
      <c r="E922" s="1451">
        <f>SUM($E$194)</f>
        <v>0</v>
      </c>
      <c r="F922" s="1451">
        <f>SUM($F$194)</f>
        <v>0</v>
      </c>
      <c r="G922" s="1559"/>
      <c r="H922" s="1451">
        <f>SUM($H$194)</f>
        <v>0</v>
      </c>
      <c r="I922" s="1451">
        <f>SUM($I$194)</f>
        <v>0</v>
      </c>
      <c r="J922" s="1451">
        <f>SUM($J$194)</f>
        <v>0</v>
      </c>
      <c r="K922" s="1451">
        <f>SUM($K$194)</f>
        <v>0</v>
      </c>
      <c r="L922" s="1559"/>
      <c r="M922" s="1451">
        <f>SUM($M$194)</f>
        <v>0</v>
      </c>
      <c r="N922" s="1451">
        <f>SUM($N$194)</f>
        <v>0</v>
      </c>
      <c r="O922" s="1451">
        <f>SUM($O$194)</f>
        <v>0</v>
      </c>
      <c r="P922" s="1451">
        <f>SUM($P$194)</f>
        <v>0</v>
      </c>
      <c r="R922" s="1375"/>
      <c r="S922" s="1357">
        <f t="shared" si="209"/>
        <v>0</v>
      </c>
      <c r="T922" s="1357" t="str">
        <f t="shared" si="208"/>
        <v/>
      </c>
      <c r="U922" s="1394">
        <v>922</v>
      </c>
      <c r="V922" s="1357"/>
    </row>
    <row r="923" spans="1:22" ht="15.75" customHeight="1">
      <c r="A923" s="1375" t="str">
        <f>$A$195</f>
        <v>Cattle sales - export: no. sold</v>
      </c>
      <c r="B923" s="1559"/>
      <c r="C923" s="1451">
        <f>SUM($C$197)</f>
        <v>0</v>
      </c>
      <c r="D923" s="1451">
        <f>SUM($D$197)</f>
        <v>0</v>
      </c>
      <c r="E923" s="1451">
        <f>SUM($E$197)</f>
        <v>0</v>
      </c>
      <c r="F923" s="1451">
        <f>SUM($F$197)</f>
        <v>0</v>
      </c>
      <c r="G923" s="1559"/>
      <c r="H923" s="1451">
        <f>SUM($H$197)</f>
        <v>0</v>
      </c>
      <c r="I923" s="1451">
        <f>SUM($I$197)</f>
        <v>0</v>
      </c>
      <c r="J923" s="1451">
        <f>SUM($J$197)</f>
        <v>0</v>
      </c>
      <c r="K923" s="1451">
        <f>SUM($K$197)</f>
        <v>0</v>
      </c>
      <c r="L923" s="1559"/>
      <c r="M923" s="1451">
        <f>SUM($M$197)</f>
        <v>0</v>
      </c>
      <c r="N923" s="1451">
        <f>SUM($N$197)</f>
        <v>0</v>
      </c>
      <c r="O923" s="1451">
        <f>SUM($O$197)</f>
        <v>0</v>
      </c>
      <c r="P923" s="1451">
        <f>SUM($P$197)</f>
        <v>0</v>
      </c>
      <c r="R923" s="1375"/>
      <c r="S923" s="1357">
        <f t="shared" si="209"/>
        <v>0</v>
      </c>
      <c r="T923" s="1357" t="str">
        <f t="shared" si="208"/>
        <v/>
      </c>
      <c r="U923" s="1394">
        <v>923</v>
      </c>
      <c r="V923" s="1357"/>
    </row>
    <row r="924" spans="1:22" ht="15.75" customHeight="1">
      <c r="A924" s="1375" t="str">
        <f>$A$198</f>
        <v>Cattle sales - local: no. sold</v>
      </c>
      <c r="B924" s="1559"/>
      <c r="C924" s="1451">
        <f>SUM($C$200)</f>
        <v>0</v>
      </c>
      <c r="D924" s="1451">
        <f>SUM($D$200)</f>
        <v>0</v>
      </c>
      <c r="E924" s="1451">
        <f>SUM($E$200)</f>
        <v>2000</v>
      </c>
      <c r="F924" s="1451">
        <f>SUM($F$200)</f>
        <v>8000</v>
      </c>
      <c r="G924" s="1559"/>
      <c r="H924" s="1451">
        <f>SUM($H$200)</f>
        <v>0</v>
      </c>
      <c r="I924" s="1451">
        <f>SUM($I$200)</f>
        <v>0</v>
      </c>
      <c r="J924" s="1451">
        <f>SUM($J$200)</f>
        <v>2000</v>
      </c>
      <c r="K924" s="1451">
        <f>SUM($K$200)</f>
        <v>10000</v>
      </c>
      <c r="L924" s="1559"/>
      <c r="M924" s="1451">
        <f>SUM($M$200)</f>
        <v>0</v>
      </c>
      <c r="N924" s="1451">
        <f>SUM($N$200)</f>
        <v>0</v>
      </c>
      <c r="O924" s="1451">
        <f>SUM($O$200)</f>
        <v>0</v>
      </c>
      <c r="P924" s="1451">
        <f>SUM($P$200)</f>
        <v>2000</v>
      </c>
      <c r="R924" s="1375"/>
      <c r="S924" s="1357">
        <f t="shared" si="209"/>
        <v>1</v>
      </c>
      <c r="T924" s="1357">
        <f t="shared" si="208"/>
        <v>1</v>
      </c>
      <c r="U924" s="1394">
        <v>924</v>
      </c>
      <c r="V924" s="1357"/>
    </row>
    <row r="925" spans="1:22" ht="15.75" customHeight="1">
      <c r="A925" s="1375" t="str">
        <f>$A$202</f>
        <v>Goat sales - export: no. sold</v>
      </c>
      <c r="B925" s="1559"/>
      <c r="C925" s="1451">
        <f>SUM($C$204)</f>
        <v>0</v>
      </c>
      <c r="D925" s="1451">
        <f>SUM($D$204)</f>
        <v>0</v>
      </c>
      <c r="E925" s="1451">
        <f>SUM($E$204)</f>
        <v>0</v>
      </c>
      <c r="F925" s="1451">
        <f>SUM($F$204)</f>
        <v>0</v>
      </c>
      <c r="G925" s="1559"/>
      <c r="H925" s="1451">
        <f>SUM($H$204)</f>
        <v>0</v>
      </c>
      <c r="I925" s="1451">
        <f>SUM($I$204)</f>
        <v>0</v>
      </c>
      <c r="J925" s="1451">
        <f>SUM($J$204)</f>
        <v>0</v>
      </c>
      <c r="K925" s="1451">
        <f>SUM($K$204)</f>
        <v>0</v>
      </c>
      <c r="L925" s="1559"/>
      <c r="M925" s="1451">
        <f>SUM($M$204)</f>
        <v>0</v>
      </c>
      <c r="N925" s="1451">
        <f>SUM($N$204)</f>
        <v>0</v>
      </c>
      <c r="O925" s="1451">
        <f>SUM($O$204)</f>
        <v>0</v>
      </c>
      <c r="P925" s="1451">
        <f>SUM($P$204)</f>
        <v>0</v>
      </c>
      <c r="R925" s="1375"/>
      <c r="S925" s="1357">
        <f t="shared" si="209"/>
        <v>1</v>
      </c>
      <c r="T925" s="1357" t="str">
        <f t="shared" si="208"/>
        <v/>
      </c>
      <c r="U925" s="1394">
        <v>925</v>
      </c>
      <c r="V925" s="1357"/>
    </row>
    <row r="926" spans="1:22" ht="15.75" customHeight="1">
      <c r="A926" s="1375" t="str">
        <f>$A$205</f>
        <v>Goat sales - local: no. sold</v>
      </c>
      <c r="B926" s="1559"/>
      <c r="C926" s="1451">
        <f>SUM($C$207)</f>
        <v>0</v>
      </c>
      <c r="D926" s="1451">
        <f>SUM($D$207)</f>
        <v>500</v>
      </c>
      <c r="E926" s="1451">
        <f>SUM($E$207)</f>
        <v>1500</v>
      </c>
      <c r="F926" s="1451">
        <f>SUM($F$207)</f>
        <v>2500</v>
      </c>
      <c r="G926" s="1559"/>
      <c r="H926" s="1451">
        <f>SUM($H$207)</f>
        <v>0</v>
      </c>
      <c r="I926" s="1451">
        <f>SUM($I$207)</f>
        <v>500</v>
      </c>
      <c r="J926" s="1451">
        <f>SUM($J$207)</f>
        <v>2500</v>
      </c>
      <c r="K926" s="1451">
        <f>SUM($K$207)</f>
        <v>3000</v>
      </c>
      <c r="L926" s="1559"/>
      <c r="M926" s="1451">
        <f>SUM($M$207)</f>
        <v>0</v>
      </c>
      <c r="N926" s="1451">
        <f>SUM($N$207)</f>
        <v>0</v>
      </c>
      <c r="O926" s="1451">
        <f>SUM($O$207)</f>
        <v>1000</v>
      </c>
      <c r="P926" s="1451">
        <f>SUM($P$207)</f>
        <v>500</v>
      </c>
      <c r="R926" s="1375"/>
      <c r="S926" s="1357">
        <f t="shared" si="209"/>
        <v>2</v>
      </c>
      <c r="T926" s="1357">
        <f t="shared" si="208"/>
        <v>2</v>
      </c>
      <c r="U926" s="1394">
        <v>926</v>
      </c>
      <c r="V926" s="1357"/>
    </row>
    <row r="927" spans="1:22" ht="15.75" customHeight="1">
      <c r="A927" s="1375" t="str">
        <f>$A$208</f>
        <v>Sheep sales - export: no. sold</v>
      </c>
      <c r="B927" s="1559"/>
      <c r="C927" s="1451">
        <f>SUM($C$210)</f>
        <v>0</v>
      </c>
      <c r="D927" s="1451">
        <f>SUM($D$210)</f>
        <v>0</v>
      </c>
      <c r="E927" s="1451">
        <f>SUM($E$210)</f>
        <v>0</v>
      </c>
      <c r="F927" s="1451">
        <f>SUM($F$210)</f>
        <v>0</v>
      </c>
      <c r="G927" s="1559"/>
      <c r="H927" s="1451">
        <f>SUM($H$210)</f>
        <v>0</v>
      </c>
      <c r="I927" s="1451">
        <f>SUM($I$210)</f>
        <v>0</v>
      </c>
      <c r="J927" s="1451">
        <f>SUM($J$210)</f>
        <v>0</v>
      </c>
      <c r="K927" s="1451">
        <f>SUM($K$210)</f>
        <v>0</v>
      </c>
      <c r="L927" s="1559"/>
      <c r="M927" s="1451">
        <f>SUM($M$210)</f>
        <v>0</v>
      </c>
      <c r="N927" s="1451">
        <f>SUM($N$210)</f>
        <v>0</v>
      </c>
      <c r="O927" s="1451">
        <f>SUM($O$210)</f>
        <v>0</v>
      </c>
      <c r="P927" s="1451">
        <f>SUM($P$210)</f>
        <v>0</v>
      </c>
      <c r="R927" s="1375"/>
      <c r="S927" s="1357">
        <f t="shared" si="209"/>
        <v>2</v>
      </c>
      <c r="T927" s="1357" t="str">
        <f t="shared" si="208"/>
        <v/>
      </c>
      <c r="U927" s="1394">
        <v>927</v>
      </c>
      <c r="V927" s="1357"/>
    </row>
    <row r="928" spans="1:22" ht="15.75" customHeight="1">
      <c r="A928" s="1375" t="str">
        <f>$A$211</f>
        <v>Sheep sales - local: no. sold</v>
      </c>
      <c r="B928" s="1559"/>
      <c r="C928" s="1451">
        <f>SUM($C$213)</f>
        <v>0</v>
      </c>
      <c r="D928" s="1451">
        <f>SUM($D$213)</f>
        <v>0</v>
      </c>
      <c r="E928" s="1451">
        <f>SUM($E$213)</f>
        <v>0</v>
      </c>
      <c r="F928" s="1451">
        <f>SUM($F$213)</f>
        <v>0</v>
      </c>
      <c r="G928" s="1559"/>
      <c r="H928" s="1451">
        <f>SUM($H$213)</f>
        <v>0</v>
      </c>
      <c r="I928" s="1451">
        <f>SUM($I$213)</f>
        <v>0</v>
      </c>
      <c r="J928" s="1451">
        <f>SUM($J$213)</f>
        <v>0</v>
      </c>
      <c r="K928" s="1451">
        <f>SUM($K$213)</f>
        <v>0</v>
      </c>
      <c r="L928" s="1559"/>
      <c r="M928" s="1451">
        <f>SUM($M$213)</f>
        <v>0</v>
      </c>
      <c r="N928" s="1451">
        <f>SUM($N$213)</f>
        <v>0</v>
      </c>
      <c r="O928" s="1451">
        <f>SUM($O$213)</f>
        <v>0</v>
      </c>
      <c r="P928" s="1451">
        <f>SUM($P$213)</f>
        <v>0</v>
      </c>
      <c r="R928" s="1375"/>
      <c r="S928" s="1357">
        <f t="shared" si="209"/>
        <v>2</v>
      </c>
      <c r="T928" s="1357" t="str">
        <f t="shared" si="208"/>
        <v/>
      </c>
      <c r="U928" s="1394">
        <v>928</v>
      </c>
      <c r="V928" s="1357"/>
    </row>
    <row r="929" spans="1:22" ht="15.75" customHeight="1">
      <c r="A929" s="1375" t="str">
        <f>$A$215</f>
        <v>Chicken sales: no. sold</v>
      </c>
      <c r="B929" s="1559"/>
      <c r="C929" s="1451">
        <f>SUM($C$217)</f>
        <v>0</v>
      </c>
      <c r="D929" s="1451">
        <f>SUM($D$217)</f>
        <v>0</v>
      </c>
      <c r="E929" s="1451">
        <f>SUM($E$217)</f>
        <v>0</v>
      </c>
      <c r="F929" s="1451">
        <f>SUM($F$217)</f>
        <v>550</v>
      </c>
      <c r="G929" s="1559"/>
      <c r="H929" s="1451">
        <f>SUM($H$217)</f>
        <v>0</v>
      </c>
      <c r="I929" s="1451">
        <f>SUM($I$217)</f>
        <v>0</v>
      </c>
      <c r="J929" s="1451">
        <f>SUM($J$217)</f>
        <v>0</v>
      </c>
      <c r="K929" s="1451">
        <f>SUM($K$217)</f>
        <v>0</v>
      </c>
      <c r="L929" s="1559"/>
      <c r="M929" s="1451">
        <f>SUM($M$217)</f>
        <v>0</v>
      </c>
      <c r="N929" s="1451">
        <f>SUM($N$217)</f>
        <v>0</v>
      </c>
      <c r="O929" s="1451">
        <f>SUM($O$217)</f>
        <v>0</v>
      </c>
      <c r="P929" s="1451">
        <f>SUM($P$217)</f>
        <v>0</v>
      </c>
      <c r="R929" s="1375"/>
      <c r="S929" s="1357">
        <f t="shared" si="209"/>
        <v>3</v>
      </c>
      <c r="T929" s="1357">
        <f t="shared" si="208"/>
        <v>3</v>
      </c>
      <c r="U929" s="1394">
        <v>929</v>
      </c>
      <c r="V929" s="1357"/>
    </row>
    <row r="930" spans="1:22" ht="15.75" customHeight="1">
      <c r="A930" s="1580" t="s">
        <v>27</v>
      </c>
      <c r="B930" s="1559"/>
      <c r="C930" s="1559"/>
      <c r="D930" s="1559"/>
      <c r="E930" s="1559"/>
      <c r="F930" s="1559"/>
      <c r="G930" s="1559"/>
      <c r="H930" s="1559"/>
      <c r="I930" s="1559"/>
      <c r="J930" s="1559"/>
      <c r="K930" s="1559"/>
      <c r="L930" s="1559"/>
      <c r="M930" s="1559"/>
      <c r="N930" s="1559"/>
      <c r="O930" s="1559"/>
      <c r="P930" s="1559"/>
      <c r="R930" s="1375"/>
      <c r="S930" s="1357">
        <f t="shared" si="209"/>
        <v>3</v>
      </c>
      <c r="T930" s="1357" t="str">
        <f t="shared" si="208"/>
        <v/>
      </c>
      <c r="U930" s="1394">
        <v>930</v>
      </c>
      <c r="V930" s="1357"/>
    </row>
    <row r="931" spans="1:22" ht="15.75" customHeight="1">
      <c r="A931" s="1375" t="str">
        <f>$A$234</f>
        <v>Green maize sold: quantity</v>
      </c>
      <c r="B931" s="1559"/>
      <c r="C931" s="1451">
        <f>SUM($C$236)</f>
        <v>0</v>
      </c>
      <c r="D931" s="1451">
        <f>SUM($D$236)</f>
        <v>0</v>
      </c>
      <c r="E931" s="1451">
        <f>SUM($E$236)</f>
        <v>0</v>
      </c>
      <c r="F931" s="1451">
        <f>SUM($F$236)</f>
        <v>0</v>
      </c>
      <c r="G931" s="1559"/>
      <c r="H931" s="1451">
        <f>SUM($H$236)</f>
        <v>0</v>
      </c>
      <c r="I931" s="1451">
        <f>SUM($I$236)</f>
        <v>0</v>
      </c>
      <c r="J931" s="1451">
        <f>SUM($J$236)</f>
        <v>0</v>
      </c>
      <c r="K931" s="1451">
        <f>SUM($K$236)</f>
        <v>0</v>
      </c>
      <c r="L931" s="1559"/>
      <c r="M931" s="1451">
        <f>SUM($M$236)</f>
        <v>0</v>
      </c>
      <c r="N931" s="1451">
        <f>SUM($N$236)</f>
        <v>0</v>
      </c>
      <c r="O931" s="1451">
        <f>SUM($O$236)</f>
        <v>0</v>
      </c>
      <c r="P931" s="1451">
        <f>SUM($P$236)</f>
        <v>0</v>
      </c>
      <c r="R931" s="1375">
        <v>9</v>
      </c>
      <c r="S931" s="1357">
        <f t="shared" si="209"/>
        <v>3</v>
      </c>
      <c r="T931" s="1357" t="str">
        <f t="shared" si="208"/>
        <v/>
      </c>
      <c r="U931" s="1394">
        <v>931</v>
      </c>
      <c r="V931" s="1357"/>
    </row>
    <row r="932" spans="1:22" ht="15.75" customHeight="1">
      <c r="A932" s="1375" t="str">
        <f>$A$237</f>
        <v>Maize: kg produced</v>
      </c>
      <c r="B932" s="1559"/>
      <c r="C932" s="1451">
        <f>SUM($C$241)</f>
        <v>0</v>
      </c>
      <c r="D932" s="1451">
        <f>SUM($D$241)</f>
        <v>0</v>
      </c>
      <c r="E932" s="1451">
        <f>SUM($E$241)</f>
        <v>500</v>
      </c>
      <c r="F932" s="1451">
        <f>SUM($F$241)</f>
        <v>655</v>
      </c>
      <c r="G932" s="1559"/>
      <c r="H932" s="1451">
        <f>SUM($H$241)</f>
        <v>0</v>
      </c>
      <c r="I932" s="1451">
        <f>SUM($I$241)</f>
        <v>0</v>
      </c>
      <c r="J932" s="1451">
        <f>SUM($J$241)</f>
        <v>0</v>
      </c>
      <c r="K932" s="1451">
        <f>SUM($K$241)</f>
        <v>0</v>
      </c>
      <c r="L932" s="1559"/>
      <c r="M932" s="1451">
        <f>SUM($M$241)</f>
        <v>0</v>
      </c>
      <c r="N932" s="1451">
        <f>SUM($N$241)</f>
        <v>0</v>
      </c>
      <c r="O932" s="1451">
        <f>SUM($O$241)</f>
        <v>-500</v>
      </c>
      <c r="P932" s="1451">
        <f>SUM($P$241)</f>
        <v>-655</v>
      </c>
      <c r="R932" s="1375">
        <v>10</v>
      </c>
      <c r="S932" s="1357">
        <f t="shared" si="209"/>
        <v>4</v>
      </c>
      <c r="T932" s="1357">
        <f t="shared" si="208"/>
        <v>4</v>
      </c>
      <c r="U932" s="1394">
        <v>932</v>
      </c>
      <c r="V932" s="1357"/>
    </row>
    <row r="933" spans="1:22" ht="15.75" customHeight="1">
      <c r="A933" s="1583" t="str">
        <f>$A$244</f>
        <v>Sorghum: kg produced</v>
      </c>
      <c r="B933" s="1559"/>
      <c r="C933" s="1451">
        <f>SUM($C$248)</f>
        <v>0</v>
      </c>
      <c r="D933" s="1451">
        <f>SUM($D$248)</f>
        <v>0</v>
      </c>
      <c r="E933" s="1451">
        <f>SUM($E$248)</f>
        <v>0</v>
      </c>
      <c r="F933" s="1451">
        <f>SUM($F$248)</f>
        <v>0</v>
      </c>
      <c r="G933" s="1559"/>
      <c r="H933" s="1451">
        <f>SUM($H$248)</f>
        <v>0</v>
      </c>
      <c r="I933" s="1451">
        <f>SUM($I$248)</f>
        <v>0</v>
      </c>
      <c r="J933" s="1451">
        <f>SUM($J$248)</f>
        <v>0</v>
      </c>
      <c r="K933" s="1451">
        <f>SUM($K$248)</f>
        <v>0</v>
      </c>
      <c r="L933" s="1559"/>
      <c r="M933" s="1451">
        <f>SUM($M$248)</f>
        <v>0</v>
      </c>
      <c r="N933" s="1451">
        <f>SUM($N$248)</f>
        <v>0</v>
      </c>
      <c r="O933" s="1451">
        <f>SUM($O$248)</f>
        <v>0</v>
      </c>
      <c r="P933" s="1451">
        <f>SUM($P$248)</f>
        <v>0</v>
      </c>
      <c r="R933" s="1375">
        <v>11</v>
      </c>
      <c r="S933" s="1357">
        <f t="shared" si="209"/>
        <v>4</v>
      </c>
      <c r="T933" s="1357" t="str">
        <f t="shared" si="208"/>
        <v/>
      </c>
      <c r="U933" s="1394">
        <v>933</v>
      </c>
      <c r="V933" s="1357"/>
    </row>
    <row r="934" spans="1:22" ht="15.75" customHeight="1">
      <c r="A934" s="1375" t="str">
        <f>$A$251</f>
        <v>High value cereal: kg produced</v>
      </c>
      <c r="B934" s="1559"/>
      <c r="C934" s="1451">
        <f>SUM($C$255)</f>
        <v>0</v>
      </c>
      <c r="D934" s="1451">
        <f>SUM($D$255)</f>
        <v>0</v>
      </c>
      <c r="E934" s="1451">
        <f>SUM($E$255)</f>
        <v>0</v>
      </c>
      <c r="F934" s="1451">
        <f>SUM($F$255)</f>
        <v>0</v>
      </c>
      <c r="G934" s="1559"/>
      <c r="H934" s="1451">
        <f>SUM($H$255)</f>
        <v>0</v>
      </c>
      <c r="I934" s="1451">
        <f>SUM($I$255)</f>
        <v>0</v>
      </c>
      <c r="J934" s="1451">
        <f>SUM($J$255)</f>
        <v>0</v>
      </c>
      <c r="K934" s="1451">
        <f>SUM($K$255)</f>
        <v>0</v>
      </c>
      <c r="L934" s="1559"/>
      <c r="M934" s="1451">
        <f>SUM($M$255)</f>
        <v>0</v>
      </c>
      <c r="N934" s="1451">
        <f>SUM($N$255)</f>
        <v>0</v>
      </c>
      <c r="O934" s="1451">
        <f>SUM($O$255)</f>
        <v>0</v>
      </c>
      <c r="P934" s="1451">
        <f>SUM($P$255)</f>
        <v>0</v>
      </c>
      <c r="R934" s="1375">
        <v>12</v>
      </c>
      <c r="S934" s="1357">
        <f t="shared" si="209"/>
        <v>4</v>
      </c>
      <c r="T934" s="1357" t="str">
        <f t="shared" si="208"/>
        <v/>
      </c>
      <c r="U934" s="1394">
        <v>934</v>
      </c>
      <c r="V934" s="1357"/>
    </row>
    <row r="935" spans="1:22" ht="15.75" customHeight="1">
      <c r="A935" s="1375" t="str">
        <f>$A$258</f>
        <v>High value cereal: kg produced</v>
      </c>
      <c r="B935" s="1559"/>
      <c r="C935" s="1451">
        <f>SUM($C$262)</f>
        <v>0</v>
      </c>
      <c r="D935" s="1451">
        <f>SUM($D$262)</f>
        <v>0</v>
      </c>
      <c r="E935" s="1451">
        <f>SUM($E$262)</f>
        <v>0</v>
      </c>
      <c r="F935" s="1451">
        <f>SUM($F$262)</f>
        <v>0</v>
      </c>
      <c r="G935" s="1559"/>
      <c r="H935" s="1451">
        <f>SUM($H$262)</f>
        <v>0</v>
      </c>
      <c r="I935" s="1451">
        <f>SUM($I$262)</f>
        <v>0</v>
      </c>
      <c r="J935" s="1451">
        <f>SUM($J$262)</f>
        <v>0</v>
      </c>
      <c r="K935" s="1451">
        <f>SUM($K$262)</f>
        <v>0</v>
      </c>
      <c r="L935" s="1559"/>
      <c r="M935" s="1451">
        <f>SUM($M$262)</f>
        <v>0</v>
      </c>
      <c r="N935" s="1451">
        <f>SUM($N$262)</f>
        <v>0</v>
      </c>
      <c r="O935" s="1451">
        <f>SUM($O$262)</f>
        <v>0</v>
      </c>
      <c r="P935" s="1451">
        <f>SUM($P$262)</f>
        <v>0</v>
      </c>
      <c r="R935" s="1375">
        <v>13</v>
      </c>
      <c r="S935" s="1357">
        <f t="shared" si="209"/>
        <v>4</v>
      </c>
      <c r="T935" s="1357" t="str">
        <f t="shared" si="208"/>
        <v/>
      </c>
      <c r="U935" s="1394">
        <v>935</v>
      </c>
      <c r="V935" s="1357"/>
    </row>
    <row r="936" spans="1:22" ht="15.75" customHeight="1">
      <c r="A936" s="1375" t="str">
        <f>$A$265</f>
        <v>Cowpeas: kg produced (Mbumba)</v>
      </c>
      <c r="B936" s="1559"/>
      <c r="C936" s="1451">
        <f>SUM($C$269)</f>
        <v>0</v>
      </c>
      <c r="D936" s="1451">
        <f>SUM($D$269)</f>
        <v>0</v>
      </c>
      <c r="E936" s="1451">
        <f>SUM($E$269)</f>
        <v>0</v>
      </c>
      <c r="F936" s="1451">
        <f>SUM($F$269)</f>
        <v>0</v>
      </c>
      <c r="G936" s="1559"/>
      <c r="H936" s="1451">
        <f>SUM($H$269)</f>
        <v>0</v>
      </c>
      <c r="I936" s="1451">
        <f>SUM($I$269)</f>
        <v>0</v>
      </c>
      <c r="J936" s="1451">
        <f>SUM($J$269)</f>
        <v>0</v>
      </c>
      <c r="K936" s="1451">
        <f>SUM($K$269)</f>
        <v>0</v>
      </c>
      <c r="L936" s="1559"/>
      <c r="M936" s="1451">
        <f>SUM($M$269)</f>
        <v>0</v>
      </c>
      <c r="N936" s="1451">
        <f>SUM($N$269)</f>
        <v>0</v>
      </c>
      <c r="O936" s="1451">
        <f>SUM($O$269)</f>
        <v>0</v>
      </c>
      <c r="P936" s="1451">
        <f>SUM($P$269)</f>
        <v>0</v>
      </c>
      <c r="R936" s="1375">
        <v>14</v>
      </c>
      <c r="S936" s="1357">
        <f t="shared" si="209"/>
        <v>4</v>
      </c>
      <c r="T936" s="1357" t="str">
        <f t="shared" si="208"/>
        <v/>
      </c>
      <c r="U936" s="1394">
        <v>936</v>
      </c>
      <c r="V936" s="1357"/>
    </row>
    <row r="937" spans="1:22" ht="15.75" customHeight="1">
      <c r="A937" s="1375" t="str">
        <f>$A$272</f>
        <v>Beans: kg produced</v>
      </c>
      <c r="B937" s="1559"/>
      <c r="C937" s="1451">
        <f>SUM($C$276)</f>
        <v>0</v>
      </c>
      <c r="D937" s="1451">
        <f>SUM($D$276)</f>
        <v>0</v>
      </c>
      <c r="E937" s="1451">
        <f>SUM($E$276)</f>
        <v>1250</v>
      </c>
      <c r="F937" s="1451">
        <f>SUM($F$276)</f>
        <v>1250</v>
      </c>
      <c r="G937" s="1559"/>
      <c r="H937" s="1451">
        <f>SUM($H$276)</f>
        <v>0</v>
      </c>
      <c r="I937" s="1451">
        <f>SUM($I$276)</f>
        <v>0</v>
      </c>
      <c r="J937" s="1451">
        <f>SUM($J$276)</f>
        <v>3062.5</v>
      </c>
      <c r="K937" s="1451">
        <f>SUM($K$276)</f>
        <v>2325</v>
      </c>
      <c r="L937" s="1559"/>
      <c r="M937" s="1451">
        <f>SUM($M$276)</f>
        <v>0</v>
      </c>
      <c r="N937" s="1451">
        <f>SUM($N$276)</f>
        <v>0</v>
      </c>
      <c r="O937" s="1451">
        <f>SUM($O$276)</f>
        <v>1812.5</v>
      </c>
      <c r="P937" s="1451">
        <f>SUM($P$276)</f>
        <v>1075</v>
      </c>
      <c r="R937" s="1375">
        <v>15</v>
      </c>
      <c r="S937" s="1357">
        <f t="shared" si="209"/>
        <v>5</v>
      </c>
      <c r="T937" s="1357">
        <f t="shared" si="208"/>
        <v>5</v>
      </c>
      <c r="U937" s="1394">
        <v>937</v>
      </c>
      <c r="V937" s="1357"/>
    </row>
    <row r="938" spans="1:22" ht="15.75" customHeight="1">
      <c r="A938" s="1375" t="str">
        <f>$A$279</f>
        <v>Millet: kg produced</v>
      </c>
      <c r="B938" s="1559"/>
      <c r="C938" s="1451">
        <f>SUM($C$283)</f>
        <v>0</v>
      </c>
      <c r="D938" s="1451">
        <f>SUM($D$283)</f>
        <v>0</v>
      </c>
      <c r="E938" s="1451">
        <f>SUM($E$283)</f>
        <v>0</v>
      </c>
      <c r="F938" s="1451">
        <f>SUM($F$283)</f>
        <v>0</v>
      </c>
      <c r="G938" s="1559"/>
      <c r="H938" s="1451">
        <f>SUM($H$283)</f>
        <v>0</v>
      </c>
      <c r="I938" s="1451">
        <f>SUM($I$283)</f>
        <v>0</v>
      </c>
      <c r="J938" s="1451">
        <f>SUM($J$283)</f>
        <v>0</v>
      </c>
      <c r="K938" s="1451">
        <f>SUM($K$283)</f>
        <v>0</v>
      </c>
      <c r="L938" s="1559"/>
      <c r="M938" s="1451">
        <f>SUM($M$283)</f>
        <v>0</v>
      </c>
      <c r="N938" s="1451">
        <f>SUM($N$283)</f>
        <v>0</v>
      </c>
      <c r="O938" s="1451">
        <f>SUM($O$283)</f>
        <v>0</v>
      </c>
      <c r="P938" s="1451">
        <f>SUM($P$283)</f>
        <v>0</v>
      </c>
      <c r="R938" s="1375">
        <v>16</v>
      </c>
      <c r="S938" s="1357">
        <f t="shared" si="209"/>
        <v>5</v>
      </c>
      <c r="T938" s="1357" t="str">
        <f t="shared" si="208"/>
        <v/>
      </c>
      <c r="U938" s="1394">
        <v>938</v>
      </c>
      <c r="V938" s="1357"/>
    </row>
    <row r="939" spans="1:22" ht="15.75" customHeight="1">
      <c r="A939" s="1375" t="str">
        <f>$A$286</f>
        <v>Finger millet: kg produced</v>
      </c>
      <c r="B939" s="1559"/>
      <c r="C939" s="1451">
        <f>SUM($C$290)</f>
        <v>0</v>
      </c>
      <c r="D939" s="1451">
        <f>SUM($D$290)</f>
        <v>0</v>
      </c>
      <c r="E939" s="1451">
        <f>SUM($E$290)</f>
        <v>0</v>
      </c>
      <c r="F939" s="1451">
        <f>SUM($F$290)</f>
        <v>0</v>
      </c>
      <c r="G939" s="1559"/>
      <c r="H939" s="1451">
        <f>SUM($H$290)</f>
        <v>0</v>
      </c>
      <c r="I939" s="1451">
        <f>SUM($I$290)</f>
        <v>0</v>
      </c>
      <c r="J939" s="1451">
        <f>SUM($J$290)</f>
        <v>0</v>
      </c>
      <c r="K939" s="1451">
        <f>SUM($K$290)</f>
        <v>0</v>
      </c>
      <c r="L939" s="1559"/>
      <c r="M939" s="1451">
        <f>SUM($M$290)</f>
        <v>0</v>
      </c>
      <c r="N939" s="1451">
        <f>SUM($N$290)</f>
        <v>0</v>
      </c>
      <c r="O939" s="1451">
        <f>SUM($O$290)</f>
        <v>0</v>
      </c>
      <c r="P939" s="1451">
        <f>SUM($P$290)</f>
        <v>0</v>
      </c>
      <c r="R939" s="1375">
        <v>17</v>
      </c>
      <c r="S939" s="1357">
        <f t="shared" si="209"/>
        <v>5</v>
      </c>
      <c r="T939" s="1357" t="str">
        <f t="shared" si="208"/>
        <v/>
      </c>
      <c r="U939" s="1394">
        <v>939</v>
      </c>
      <c r="V939" s="1357"/>
    </row>
    <row r="940" spans="1:22" ht="15.75" customHeight="1">
      <c r="A940" s="1375" t="str">
        <f>$A$293</f>
        <v>Wheat: kg produced</v>
      </c>
      <c r="B940" s="1559"/>
      <c r="C940" s="1451">
        <f>SUM($C$297)</f>
        <v>0</v>
      </c>
      <c r="D940" s="1451">
        <f>SUM($D$297)</f>
        <v>0</v>
      </c>
      <c r="E940" s="1451">
        <f>SUM($E$297)</f>
        <v>0</v>
      </c>
      <c r="F940" s="1451">
        <f>SUM($F$297)</f>
        <v>0</v>
      </c>
      <c r="G940" s="1559"/>
      <c r="H940" s="1451">
        <f>SUM($H$297)</f>
        <v>0</v>
      </c>
      <c r="I940" s="1451">
        <f>SUM($I$297)</f>
        <v>0</v>
      </c>
      <c r="J940" s="1451">
        <f>SUM($J$297)</f>
        <v>0</v>
      </c>
      <c r="K940" s="1451">
        <f>SUM($K$297)</f>
        <v>0</v>
      </c>
      <c r="L940" s="1559"/>
      <c r="M940" s="1451">
        <f>SUM($M$297)</f>
        <v>0</v>
      </c>
      <c r="N940" s="1451">
        <f>SUM($N$297)</f>
        <v>0</v>
      </c>
      <c r="O940" s="1451">
        <f>SUM($O$297)</f>
        <v>0</v>
      </c>
      <c r="P940" s="1451">
        <f>SUM($P$297)</f>
        <v>0</v>
      </c>
      <c r="R940" s="1375">
        <v>18</v>
      </c>
      <c r="S940" s="1357">
        <f t="shared" si="209"/>
        <v>5</v>
      </c>
      <c r="T940" s="1357" t="str">
        <f t="shared" si="208"/>
        <v/>
      </c>
      <c r="U940" s="1394">
        <v>940</v>
      </c>
      <c r="V940" s="1357"/>
    </row>
    <row r="941" spans="1:22" ht="15.75" customHeight="1">
      <c r="A941" s="1583" t="str">
        <f>$A$300</f>
        <v>Cassava: no. local meas.</v>
      </c>
      <c r="B941" s="1559"/>
      <c r="C941" s="1451">
        <f>SUM($C$307)</f>
        <v>0</v>
      </c>
      <c r="D941" s="1451">
        <f>SUM($D$307)</f>
        <v>0</v>
      </c>
      <c r="E941" s="1451">
        <f>SUM($E$307)</f>
        <v>0</v>
      </c>
      <c r="F941" s="1451">
        <f>SUM($F$307)</f>
        <v>0</v>
      </c>
      <c r="G941" s="1559"/>
      <c r="H941" s="1451">
        <f>SUM($H$307)</f>
        <v>0</v>
      </c>
      <c r="I941" s="1451">
        <f>SUM($I$307)</f>
        <v>0</v>
      </c>
      <c r="J941" s="1451">
        <f>SUM($J$307)</f>
        <v>0</v>
      </c>
      <c r="K941" s="1451">
        <f>SUM($K$307)</f>
        <v>0</v>
      </c>
      <c r="L941" s="1559"/>
      <c r="M941" s="1451">
        <f>SUM($M$307)</f>
        <v>0</v>
      </c>
      <c r="N941" s="1451">
        <f>SUM($N$307)</f>
        <v>0</v>
      </c>
      <c r="O941" s="1451">
        <f>SUM($O$307)</f>
        <v>0</v>
      </c>
      <c r="P941" s="1451">
        <f>SUM($P$307)</f>
        <v>0</v>
      </c>
      <c r="R941" s="1375">
        <v>19</v>
      </c>
      <c r="S941" s="1357">
        <f t="shared" si="209"/>
        <v>5</v>
      </c>
      <c r="T941" s="1357" t="str">
        <f t="shared" si="208"/>
        <v/>
      </c>
      <c r="U941" s="1394">
        <v>941</v>
      </c>
      <c r="V941" s="1357"/>
    </row>
    <row r="942" spans="1:22" ht="15.75" customHeight="1">
      <c r="A942" s="1375" t="str">
        <f>$A$310</f>
        <v>Water melon: no. local meas (Bhece)</v>
      </c>
      <c r="B942" s="1559"/>
      <c r="C942" s="1451">
        <f>SUM($C$317)</f>
        <v>0</v>
      </c>
      <c r="D942" s="1451">
        <f>SUM($D$317)</f>
        <v>0</v>
      </c>
      <c r="E942" s="1451">
        <f>SUM($E$317)</f>
        <v>99</v>
      </c>
      <c r="F942" s="1451">
        <f>SUM($F$317)</f>
        <v>99</v>
      </c>
      <c r="G942" s="1559"/>
      <c r="H942" s="1451">
        <f>SUM($H$317)</f>
        <v>0</v>
      </c>
      <c r="I942" s="1451">
        <f>SUM($I$317)</f>
        <v>0</v>
      </c>
      <c r="J942" s="1451">
        <f>SUM($J$317)</f>
        <v>0</v>
      </c>
      <c r="K942" s="1451">
        <f>SUM($K$317)</f>
        <v>0</v>
      </c>
      <c r="L942" s="1559"/>
      <c r="M942" s="1451">
        <f>SUM($M$317)</f>
        <v>0</v>
      </c>
      <c r="N942" s="1451">
        <f>SUM($N$317)</f>
        <v>0</v>
      </c>
      <c r="O942" s="1451">
        <f>SUM($O$317)</f>
        <v>-99</v>
      </c>
      <c r="P942" s="1451">
        <f>SUM($P$317)</f>
        <v>-99</v>
      </c>
      <c r="R942" s="1375">
        <v>20</v>
      </c>
      <c r="S942" s="1357">
        <f t="shared" si="209"/>
        <v>6</v>
      </c>
      <c r="T942" s="1357">
        <f t="shared" si="208"/>
        <v>6</v>
      </c>
      <c r="U942" s="1394">
        <v>942</v>
      </c>
      <c r="V942" s="1357"/>
    </row>
    <row r="943" spans="1:22" ht="15.75" customHeight="1">
      <c r="A943" s="1375" t="str">
        <f>$A$320</f>
        <v>Pumpkin: no. local meas</v>
      </c>
      <c r="B943" s="1559"/>
      <c r="C943" s="1451">
        <f>SUM($C$327)</f>
        <v>0</v>
      </c>
      <c r="D943" s="1451">
        <f>SUM($D$327)</f>
        <v>0</v>
      </c>
      <c r="E943" s="1451">
        <f>SUM($E$327)</f>
        <v>0</v>
      </c>
      <c r="F943" s="1451">
        <f>SUM($F$327)</f>
        <v>0</v>
      </c>
      <c r="G943" s="1559"/>
      <c r="H943" s="1451">
        <f>SUM($H$327)</f>
        <v>0</v>
      </c>
      <c r="I943" s="1451">
        <f>SUM($I$327)</f>
        <v>0</v>
      </c>
      <c r="J943" s="1451">
        <f>SUM($J$327)</f>
        <v>0</v>
      </c>
      <c r="K943" s="1451">
        <f>SUM($K$327)</f>
        <v>0</v>
      </c>
      <c r="L943" s="1559"/>
      <c r="M943" s="1451">
        <f>SUM($M$327)</f>
        <v>0</v>
      </c>
      <c r="N943" s="1451">
        <f>SUM($N$327)</f>
        <v>0</v>
      </c>
      <c r="O943" s="1451">
        <f>SUM($O$327)</f>
        <v>0</v>
      </c>
      <c r="P943" s="1451">
        <f>SUM($P$327)</f>
        <v>0</v>
      </c>
      <c r="R943" s="1375">
        <v>21</v>
      </c>
      <c r="S943" s="1357">
        <f t="shared" si="209"/>
        <v>6</v>
      </c>
      <c r="T943" s="1357" t="str">
        <f t="shared" si="208"/>
        <v/>
      </c>
      <c r="U943" s="1394">
        <v>943</v>
      </c>
      <c r="V943" s="1357"/>
    </row>
    <row r="944" spans="1:22" ht="15.75" customHeight="1">
      <c r="A944" s="1375" t="str">
        <f>$A$330</f>
        <v>Sweet poatato: no. local meas</v>
      </c>
      <c r="B944" s="1559"/>
      <c r="C944" s="1451">
        <f>SUM($C$337)</f>
        <v>0</v>
      </c>
      <c r="D944" s="1451">
        <f>SUM($D$337)</f>
        <v>0</v>
      </c>
      <c r="E944" s="1451">
        <f>SUM($E$337)</f>
        <v>250</v>
      </c>
      <c r="F944" s="1451">
        <f>SUM($F$337)</f>
        <v>750</v>
      </c>
      <c r="G944" s="1559"/>
      <c r="H944" s="1451">
        <f>SUM($H$337)</f>
        <v>0</v>
      </c>
      <c r="I944" s="1451">
        <f>SUM($I$337)</f>
        <v>0</v>
      </c>
      <c r="J944" s="1451">
        <f>SUM($J$337)</f>
        <v>0</v>
      </c>
      <c r="K944" s="1451">
        <f>SUM($K$337)</f>
        <v>0</v>
      </c>
      <c r="L944" s="1559"/>
      <c r="M944" s="1451">
        <f>SUM($M$337)</f>
        <v>0</v>
      </c>
      <c r="N944" s="1451">
        <f>SUM($N$337)</f>
        <v>0</v>
      </c>
      <c r="O944" s="1451">
        <f>SUM($O$337)</f>
        <v>-250</v>
      </c>
      <c r="P944" s="1451">
        <f>SUM($P$337)</f>
        <v>-750</v>
      </c>
      <c r="R944" s="1375">
        <v>22</v>
      </c>
      <c r="S944" s="1357">
        <f t="shared" si="209"/>
        <v>7</v>
      </c>
      <c r="T944" s="1357">
        <f t="shared" si="208"/>
        <v>7</v>
      </c>
      <c r="U944" s="1394">
        <v>944</v>
      </c>
      <c r="V944" s="1357"/>
    </row>
    <row r="945" spans="1:22" ht="15.75" customHeight="1">
      <c r="A945" s="1375" t="str">
        <f>$A$340</f>
        <v>Groundnuts (dry): no. local meas</v>
      </c>
      <c r="B945" s="1559"/>
      <c r="C945" s="1451">
        <f>SUM($C$347)</f>
        <v>0</v>
      </c>
      <c r="D945" s="1451">
        <f>SUM($D$347)</f>
        <v>650</v>
      </c>
      <c r="E945" s="1451">
        <f>SUM($E$347)</f>
        <v>250</v>
      </c>
      <c r="F945" s="1451">
        <f>SUM($F$347)</f>
        <v>1140</v>
      </c>
      <c r="G945" s="1559"/>
      <c r="H945" s="1451">
        <f>SUM($H$347)</f>
        <v>0</v>
      </c>
      <c r="I945" s="1451">
        <f>SUM($I$347)</f>
        <v>0</v>
      </c>
      <c r="J945" s="1451">
        <f>SUM($J$347)</f>
        <v>0</v>
      </c>
      <c r="K945" s="1451">
        <f>SUM($K$347)</f>
        <v>0</v>
      </c>
      <c r="L945" s="1559"/>
      <c r="M945" s="1451">
        <f>SUM($M$347)</f>
        <v>0</v>
      </c>
      <c r="N945" s="1451">
        <f>SUM($N$347)</f>
        <v>-650</v>
      </c>
      <c r="O945" s="1451">
        <f>SUM($O$347)</f>
        <v>-250</v>
      </c>
      <c r="P945" s="1451">
        <f>SUM($P$347)</f>
        <v>-1140</v>
      </c>
      <c r="R945" s="1375">
        <v>23</v>
      </c>
      <c r="S945" s="1357">
        <f t="shared" si="209"/>
        <v>8</v>
      </c>
      <c r="T945" s="1357">
        <f t="shared" si="208"/>
        <v>8</v>
      </c>
      <c r="U945" s="1394">
        <v>945</v>
      </c>
      <c r="V945" s="1357"/>
    </row>
    <row r="946" spans="1:22" ht="15.75" customHeight="1">
      <c r="A946" s="1375" t="str">
        <f>$A$350</f>
        <v>Roundnuts (bambara): no. local meas</v>
      </c>
      <c r="B946" s="1559"/>
      <c r="C946" s="1451">
        <f>SUM($C$357)</f>
        <v>0</v>
      </c>
      <c r="D946" s="1451">
        <f>SUM($D$357)</f>
        <v>0</v>
      </c>
      <c r="E946" s="1451">
        <f>SUM($E$357)</f>
        <v>0</v>
      </c>
      <c r="F946" s="1451">
        <f>SUM($F$357)</f>
        <v>0</v>
      </c>
      <c r="G946" s="1559"/>
      <c r="H946" s="1451">
        <f>SUM($H$357)</f>
        <v>0</v>
      </c>
      <c r="I946" s="1451">
        <f>SUM($I$357)</f>
        <v>0</v>
      </c>
      <c r="J946" s="1451">
        <f>SUM($J$357)</f>
        <v>0</v>
      </c>
      <c r="K946" s="1451">
        <f>SUM($K$357)</f>
        <v>0</v>
      </c>
      <c r="L946" s="1559"/>
      <c r="M946" s="1451">
        <f>SUM($M$357)</f>
        <v>0</v>
      </c>
      <c r="N946" s="1451">
        <f>SUM($N$357)</f>
        <v>0</v>
      </c>
      <c r="O946" s="1451">
        <f>SUM($O$357)</f>
        <v>0</v>
      </c>
      <c r="P946" s="1451">
        <f>SUM($P$357)</f>
        <v>0</v>
      </c>
      <c r="R946" s="1375">
        <v>24</v>
      </c>
      <c r="S946" s="1357">
        <f t="shared" si="209"/>
        <v>8</v>
      </c>
      <c r="T946" s="1357" t="str">
        <f t="shared" si="208"/>
        <v/>
      </c>
      <c r="U946" s="1394">
        <v>946</v>
      </c>
      <c r="V946" s="1357"/>
    </row>
    <row r="947" spans="1:22" ht="15.75" customHeight="1">
      <c r="A947" s="1375" t="str">
        <f>$A$360</f>
        <v>Irish potato: type</v>
      </c>
      <c r="B947" s="1559"/>
      <c r="C947" s="1451">
        <f>SUM($C$368)</f>
        <v>0</v>
      </c>
      <c r="D947" s="1451">
        <f>SUM($D$368)</f>
        <v>36</v>
      </c>
      <c r="E947" s="1451">
        <f>SUM($E$368)</f>
        <v>772</v>
      </c>
      <c r="F947" s="1451">
        <f>SUM($F$368)</f>
        <v>280</v>
      </c>
      <c r="G947" s="1559"/>
      <c r="H947" s="1451">
        <f>SUM($H$368)</f>
        <v>0</v>
      </c>
      <c r="I947" s="1451">
        <f>SUM($I$368)</f>
        <v>0</v>
      </c>
      <c r="J947" s="1451">
        <f>SUM($J$368)</f>
        <v>0</v>
      </c>
      <c r="K947" s="1451">
        <f>SUM($K$368)</f>
        <v>0</v>
      </c>
      <c r="L947" s="1559"/>
      <c r="M947" s="1451">
        <f>SUM($M$368)</f>
        <v>0</v>
      </c>
      <c r="N947" s="1451">
        <f>SUM($N$368)</f>
        <v>-36</v>
      </c>
      <c r="O947" s="1451">
        <f>SUM($O$368)</f>
        <v>-772</v>
      </c>
      <c r="P947" s="1451">
        <f>SUM($P$368)</f>
        <v>-280</v>
      </c>
      <c r="R947" s="1375">
        <v>25</v>
      </c>
      <c r="S947" s="1357">
        <f t="shared" si="209"/>
        <v>9</v>
      </c>
      <c r="T947" s="1357">
        <f t="shared" si="208"/>
        <v>9</v>
      </c>
      <c r="U947" s="1394">
        <v>947</v>
      </c>
      <c r="V947" s="1357"/>
    </row>
    <row r="948" spans="1:22" ht="15.75" customHeight="1">
      <c r="A948" s="1375" t="str">
        <f>$A$371</f>
        <v>Jugo beans:</v>
      </c>
      <c r="B948" s="1559"/>
      <c r="C948" s="1451">
        <f>SUM($C$379)</f>
        <v>0</v>
      </c>
      <c r="D948" s="1451">
        <f>SUM($D$379)</f>
        <v>0</v>
      </c>
      <c r="E948" s="1451">
        <f>SUM($E$379)</f>
        <v>0</v>
      </c>
      <c r="F948" s="1451">
        <f>SUM($F$379)</f>
        <v>0</v>
      </c>
      <c r="G948" s="1559"/>
      <c r="H948" s="1451">
        <f>SUM($H$379)</f>
        <v>0</v>
      </c>
      <c r="I948" s="1451">
        <f>SUM($I$379)</f>
        <v>0</v>
      </c>
      <c r="J948" s="1451">
        <f>SUM($J$379)</f>
        <v>0</v>
      </c>
      <c r="K948" s="1451">
        <f>SUM($K$379)</f>
        <v>0</v>
      </c>
      <c r="L948" s="1559"/>
      <c r="M948" s="1451">
        <f>SUM($M$379)</f>
        <v>0</v>
      </c>
      <c r="N948" s="1451">
        <f>SUM($N$379)</f>
        <v>0</v>
      </c>
      <c r="O948" s="1451">
        <f>SUM($O$379)</f>
        <v>0</v>
      </c>
      <c r="P948" s="1451">
        <f>SUM($P$379)</f>
        <v>0</v>
      </c>
      <c r="R948" s="1375">
        <v>26</v>
      </c>
      <c r="S948" s="1357">
        <f t="shared" si="209"/>
        <v>9</v>
      </c>
      <c r="T948" s="1357" t="str">
        <f t="shared" si="208"/>
        <v/>
      </c>
      <c r="U948" s="1394">
        <v>948</v>
      </c>
      <c r="V948" s="1357"/>
    </row>
    <row r="949" spans="1:22" ht="15.75" customHeight="1">
      <c r="A949" s="1375" t="str">
        <f>$A$382</f>
        <v>Yam: type</v>
      </c>
      <c r="B949" s="1559"/>
      <c r="C949" s="1451">
        <f>SUM($C$389)</f>
        <v>0</v>
      </c>
      <c r="D949" s="1451">
        <f>SUM($D$389)</f>
        <v>0</v>
      </c>
      <c r="E949" s="1451">
        <f>SUM($E$389)</f>
        <v>400</v>
      </c>
      <c r="F949" s="1451">
        <f>SUM($F$389)</f>
        <v>500</v>
      </c>
      <c r="G949" s="1559"/>
      <c r="H949" s="1451">
        <f>SUM($H$389)</f>
        <v>0</v>
      </c>
      <c r="I949" s="1451">
        <f>SUM($I$389)</f>
        <v>0</v>
      </c>
      <c r="J949" s="1451">
        <f>SUM($J$389)</f>
        <v>0</v>
      </c>
      <c r="K949" s="1451">
        <f>SUM($K$389)</f>
        <v>0</v>
      </c>
      <c r="L949" s="1559"/>
      <c r="M949" s="1451">
        <f>SUM($M$389)</f>
        <v>0</v>
      </c>
      <c r="N949" s="1451">
        <f>SUM($N$389)</f>
        <v>0</v>
      </c>
      <c r="O949" s="1451">
        <f>SUM($O$389)</f>
        <v>0</v>
      </c>
      <c r="P949" s="1451">
        <f>SUM($P$389)</f>
        <v>0</v>
      </c>
      <c r="R949" s="1375">
        <v>27</v>
      </c>
      <c r="S949" s="1357">
        <f t="shared" si="209"/>
        <v>10</v>
      </c>
      <c r="T949" s="1357">
        <f t="shared" si="208"/>
        <v>10</v>
      </c>
      <c r="U949" s="1394">
        <v>949</v>
      </c>
      <c r="V949" s="1357"/>
    </row>
    <row r="950" spans="1:22" ht="15.75" customHeight="1">
      <c r="A950" s="1583" t="str">
        <f>$A$392</f>
        <v>Main cashcrop kg sold</v>
      </c>
      <c r="B950" s="1559"/>
      <c r="C950" s="1451">
        <f>SUM($C$394)</f>
        <v>0</v>
      </c>
      <c r="D950" s="1451">
        <f>SUM($D$394)</f>
        <v>0</v>
      </c>
      <c r="E950" s="1451">
        <f>SUM($E$394)</f>
        <v>0</v>
      </c>
      <c r="F950" s="1451">
        <f>SUM($F$394)</f>
        <v>0</v>
      </c>
      <c r="G950" s="1559"/>
      <c r="H950" s="1451">
        <f>SUM($H$394)</f>
        <v>0</v>
      </c>
      <c r="I950" s="1451">
        <f>SUM($I$394)</f>
        <v>0</v>
      </c>
      <c r="J950" s="1451">
        <f>SUM($J$394)</f>
        <v>0</v>
      </c>
      <c r="K950" s="1451">
        <f>SUM($K$394)</f>
        <v>0</v>
      </c>
      <c r="L950" s="1559"/>
      <c r="M950" s="1451">
        <f>SUM($M$394)</f>
        <v>0</v>
      </c>
      <c r="N950" s="1451">
        <f>SUM($N$394)</f>
        <v>0</v>
      </c>
      <c r="O950" s="1451">
        <f>SUM($O$394)</f>
        <v>0</v>
      </c>
      <c r="P950" s="1451">
        <f>SUM($P$394)</f>
        <v>0</v>
      </c>
      <c r="R950" s="1375"/>
      <c r="S950" s="1357">
        <f t="shared" si="209"/>
        <v>10</v>
      </c>
      <c r="T950" s="1357" t="str">
        <f t="shared" si="208"/>
        <v/>
      </c>
      <c r="U950" s="1394">
        <v>950</v>
      </c>
      <c r="V950" s="1357"/>
    </row>
    <row r="951" spans="1:22" ht="15.75" customHeight="1">
      <c r="A951" s="1375" t="str">
        <f>$A$395</f>
        <v>Spinach (cash): kg produced</v>
      </c>
      <c r="B951" s="1559"/>
      <c r="C951" s="1451">
        <f>SUM($C$397)</f>
        <v>0</v>
      </c>
      <c r="D951" s="1451">
        <f>SUM($D$397)</f>
        <v>150</v>
      </c>
      <c r="E951" s="1451">
        <f>SUM($E$397)</f>
        <v>100</v>
      </c>
      <c r="F951" s="1451">
        <f>SUM($F$397)</f>
        <v>300</v>
      </c>
      <c r="G951" s="1559"/>
      <c r="H951" s="1451">
        <f>SUM($H$397)</f>
        <v>0</v>
      </c>
      <c r="I951" s="1451">
        <f>SUM($I$397)</f>
        <v>0</v>
      </c>
      <c r="J951" s="1451">
        <f>SUM($J$397)</f>
        <v>0</v>
      </c>
      <c r="K951" s="1451">
        <f>SUM($K$397)</f>
        <v>0</v>
      </c>
      <c r="L951" s="1559"/>
      <c r="M951" s="1451">
        <f>SUM($M$397)</f>
        <v>0</v>
      </c>
      <c r="N951" s="1451">
        <f>SUM($N$397)</f>
        <v>0</v>
      </c>
      <c r="O951" s="1451">
        <f>SUM($O$397)</f>
        <v>0</v>
      </c>
      <c r="P951" s="1451">
        <f>SUM($P$397)</f>
        <v>0</v>
      </c>
      <c r="R951" s="1375"/>
      <c r="S951" s="1357">
        <f t="shared" si="209"/>
        <v>11</v>
      </c>
      <c r="T951" s="1357">
        <f t="shared" si="208"/>
        <v>11</v>
      </c>
      <c r="U951" s="1394">
        <v>951</v>
      </c>
      <c r="V951" s="1357"/>
    </row>
    <row r="952" spans="1:22" ht="15.75" customHeight="1">
      <c r="A952" s="1375" t="str">
        <f>$A$398</f>
        <v>Lettuce (cash): kg produced (Lettuce)</v>
      </c>
      <c r="B952" s="1559"/>
      <c r="C952" s="1451">
        <f>SUM($C$400)</f>
        <v>0</v>
      </c>
      <c r="D952" s="1451">
        <f>SUM($D$400)</f>
        <v>0</v>
      </c>
      <c r="E952" s="1451">
        <f>SUM($E$400)</f>
        <v>0</v>
      </c>
      <c r="F952" s="1451">
        <f>SUM($F$400)</f>
        <v>0</v>
      </c>
      <c r="G952" s="1559"/>
      <c r="H952" s="1451">
        <f>SUM($H$400)</f>
        <v>0</v>
      </c>
      <c r="I952" s="1451">
        <f>SUM($I$400)</f>
        <v>0</v>
      </c>
      <c r="J952" s="1451">
        <f>SUM($J$400)</f>
        <v>0</v>
      </c>
      <c r="K952" s="1451">
        <f>SUM($K$400)</f>
        <v>0</v>
      </c>
      <c r="L952" s="1559"/>
      <c r="M952" s="1451">
        <f>SUM($M$400)</f>
        <v>0</v>
      </c>
      <c r="N952" s="1451">
        <f>SUM($N$400)</f>
        <v>0</v>
      </c>
      <c r="O952" s="1451">
        <f>SUM($O$400)</f>
        <v>0</v>
      </c>
      <c r="P952" s="1451">
        <f>SUM($P$400)</f>
        <v>0</v>
      </c>
      <c r="R952" s="1375"/>
      <c r="S952" s="1357">
        <f t="shared" si="209"/>
        <v>11</v>
      </c>
      <c r="T952" s="1357" t="str">
        <f t="shared" si="208"/>
        <v/>
      </c>
      <c r="U952" s="1394">
        <v>952</v>
      </c>
      <c r="V952" s="1357"/>
    </row>
    <row r="953" spans="1:22" ht="15.75" customHeight="1">
      <c r="A953" s="1375" t="str">
        <f>$A$401</f>
        <v>Other cashcrop: kg produced</v>
      </c>
      <c r="B953" s="1559"/>
      <c r="C953" s="1451">
        <f>SUM($C$403)</f>
        <v>0</v>
      </c>
      <c r="D953" s="1451">
        <f>SUM($D$403)</f>
        <v>0</v>
      </c>
      <c r="E953" s="1451">
        <f>SUM($E$403)</f>
        <v>0</v>
      </c>
      <c r="F953" s="1451">
        <f>SUM($F$403)</f>
        <v>0</v>
      </c>
      <c r="G953" s="1559"/>
      <c r="H953" s="1451">
        <f>SUM($H$403)</f>
        <v>0</v>
      </c>
      <c r="I953" s="1451">
        <f>SUM($I$403)</f>
        <v>0</v>
      </c>
      <c r="J953" s="1451">
        <f>SUM($J$403)</f>
        <v>0</v>
      </c>
      <c r="K953" s="1451">
        <f>SUM($K$403)</f>
        <v>0</v>
      </c>
      <c r="L953" s="1559"/>
      <c r="M953" s="1451">
        <f>SUM($M$403)</f>
        <v>0</v>
      </c>
      <c r="N953" s="1451">
        <f>SUM($N$403)</f>
        <v>0</v>
      </c>
      <c r="O953" s="1451">
        <f>SUM($O$403)</f>
        <v>0</v>
      </c>
      <c r="P953" s="1451">
        <f>SUM($P$403)</f>
        <v>0</v>
      </c>
      <c r="R953" s="1375"/>
      <c r="S953" s="1357">
        <f t="shared" si="209"/>
        <v>11</v>
      </c>
      <c r="T953" s="1357" t="str">
        <f t="shared" si="208"/>
        <v/>
      </c>
      <c r="U953" s="1394">
        <v>953</v>
      </c>
      <c r="V953" s="1357"/>
    </row>
    <row r="954" spans="1:22" ht="15.75" customHeight="1">
      <c r="A954" s="1375" t="str">
        <f>$A$404</f>
        <v>Tomatoes (cash): kg produced</v>
      </c>
      <c r="B954" s="1559"/>
      <c r="C954" s="1451">
        <f>SUM($C$406)</f>
        <v>0</v>
      </c>
      <c r="D954" s="1451">
        <f>SUM($D$406)</f>
        <v>0</v>
      </c>
      <c r="E954" s="1451">
        <f>SUM($E$406)</f>
        <v>0</v>
      </c>
      <c r="F954" s="1451">
        <f>SUM($F$406)</f>
        <v>500</v>
      </c>
      <c r="G954" s="1559"/>
      <c r="H954" s="1451">
        <f>SUM($H$406)</f>
        <v>0</v>
      </c>
      <c r="I954" s="1451">
        <f>SUM($I$406)</f>
        <v>0</v>
      </c>
      <c r="J954" s="1451">
        <f>SUM($J$406)</f>
        <v>0</v>
      </c>
      <c r="K954" s="1451">
        <f>SUM($K$406)</f>
        <v>0</v>
      </c>
      <c r="L954" s="1559"/>
      <c r="M954" s="1451">
        <f>SUM($M$406)</f>
        <v>0</v>
      </c>
      <c r="N954" s="1451">
        <f>SUM($N$406)</f>
        <v>0</v>
      </c>
      <c r="O954" s="1451">
        <f>SUM($O$406)</f>
        <v>0</v>
      </c>
      <c r="P954" s="1451">
        <f>SUM($P$406)</f>
        <v>0</v>
      </c>
      <c r="R954" s="1375"/>
      <c r="S954" s="1357">
        <f t="shared" si="209"/>
        <v>12</v>
      </c>
      <c r="T954" s="1357">
        <f t="shared" si="208"/>
        <v>12</v>
      </c>
      <c r="U954" s="1394">
        <v>954</v>
      </c>
      <c r="V954" s="1357"/>
    </row>
    <row r="955" spans="1:22" ht="15.75" customHeight="1">
      <c r="A955" s="1375" t="str">
        <f>$A$407</f>
        <v>Cabbage (cash): kg produced</v>
      </c>
      <c r="B955" s="1559"/>
      <c r="C955" s="1451">
        <f>SUM($C$409)</f>
        <v>0</v>
      </c>
      <c r="D955" s="1451">
        <f>SUM($D$409)</f>
        <v>0</v>
      </c>
      <c r="E955" s="1451">
        <f>SUM($E$409)</f>
        <v>0</v>
      </c>
      <c r="F955" s="1451">
        <f>SUM($F$409)</f>
        <v>300</v>
      </c>
      <c r="G955" s="1559"/>
      <c r="H955" s="1451">
        <f>SUM($H$409)</f>
        <v>0</v>
      </c>
      <c r="I955" s="1451">
        <f>SUM($I$409)</f>
        <v>0</v>
      </c>
      <c r="J955" s="1451">
        <f>SUM($J$409)</f>
        <v>0</v>
      </c>
      <c r="K955" s="1451">
        <f>SUM($K$409)</f>
        <v>0</v>
      </c>
      <c r="L955" s="1559"/>
      <c r="M955" s="1451">
        <f>SUM($M$409)</f>
        <v>0</v>
      </c>
      <c r="N955" s="1451">
        <f>SUM($N$409)</f>
        <v>0</v>
      </c>
      <c r="O955" s="1451">
        <f>SUM($O$409)</f>
        <v>0</v>
      </c>
      <c r="P955" s="1451">
        <f>SUM($P$409)</f>
        <v>0</v>
      </c>
      <c r="R955" s="1375"/>
      <c r="S955" s="1357">
        <f t="shared" si="209"/>
        <v>13</v>
      </c>
      <c r="T955" s="1357">
        <f t="shared" si="208"/>
        <v>13</v>
      </c>
      <c r="U955" s="1394">
        <v>955</v>
      </c>
      <c r="V955" s="1357"/>
    </row>
    <row r="956" spans="1:22" ht="15.75" customHeight="1">
      <c r="A956" s="1375" t="str">
        <f>$A$410</f>
        <v>Carrots (cash): kg produced</v>
      </c>
      <c r="B956" s="1559"/>
      <c r="C956" s="1451">
        <f>SUM($C$412)</f>
        <v>0</v>
      </c>
      <c r="D956" s="1451">
        <f>SUM($D$412)</f>
        <v>0</v>
      </c>
      <c r="E956" s="1451">
        <f>SUM($E$412)</f>
        <v>0</v>
      </c>
      <c r="F956" s="1451">
        <f>SUM($F$412)</f>
        <v>0</v>
      </c>
      <c r="G956" s="1559"/>
      <c r="H956" s="1451">
        <f>SUM($H$412)</f>
        <v>0</v>
      </c>
      <c r="I956" s="1451">
        <f>SUM($I$412)</f>
        <v>0</v>
      </c>
      <c r="J956" s="1451">
        <f>SUM($J$412)</f>
        <v>0</v>
      </c>
      <c r="K956" s="1451">
        <f>SUM($K$412)</f>
        <v>0</v>
      </c>
      <c r="L956" s="1559"/>
      <c r="M956" s="1451">
        <f>SUM($M$412)</f>
        <v>0</v>
      </c>
      <c r="N956" s="1451">
        <f>SUM($N$412)</f>
        <v>0</v>
      </c>
      <c r="O956" s="1451">
        <f>SUM($O$412)</f>
        <v>0</v>
      </c>
      <c r="P956" s="1451">
        <f>SUM($P$412)</f>
        <v>0</v>
      </c>
      <c r="R956" s="1375"/>
      <c r="S956" s="1357">
        <f t="shared" si="209"/>
        <v>13</v>
      </c>
      <c r="T956" s="1357" t="str">
        <f t="shared" si="208"/>
        <v/>
      </c>
      <c r="U956" s="1394">
        <v>956</v>
      </c>
      <c r="V956" s="1357"/>
    </row>
    <row r="957" spans="1:22" ht="15.75" customHeight="1">
      <c r="A957" s="1375" t="str">
        <f>$A$413</f>
        <v>Straw: quantity sold</v>
      </c>
      <c r="B957" s="1559"/>
      <c r="C957" s="1451">
        <f>SUM($C$415)</f>
        <v>0</v>
      </c>
      <c r="D957" s="1451">
        <f>SUM($D$415)</f>
        <v>0</v>
      </c>
      <c r="E957" s="1451">
        <f>SUM($E$415)</f>
        <v>0</v>
      </c>
      <c r="F957" s="1451">
        <f>SUM($F$415)</f>
        <v>0</v>
      </c>
      <c r="G957" s="1559"/>
      <c r="H957" s="1451">
        <f>SUM($H$415)</f>
        <v>0</v>
      </c>
      <c r="I957" s="1451">
        <f>SUM($I$415)</f>
        <v>0</v>
      </c>
      <c r="J957" s="1451">
        <f>SUM($J$415)</f>
        <v>0</v>
      </c>
      <c r="K957" s="1451">
        <f>SUM($K$415)</f>
        <v>0</v>
      </c>
      <c r="L957" s="1559"/>
      <c r="M957" s="1451">
        <f>SUM($M$415)</f>
        <v>0</v>
      </c>
      <c r="N957" s="1451">
        <f>SUM($N$415)</f>
        <v>0</v>
      </c>
      <c r="O957" s="1451">
        <f>SUM($O$415)</f>
        <v>0</v>
      </c>
      <c r="P957" s="1451">
        <f>SUM($P$415)</f>
        <v>0</v>
      </c>
      <c r="R957" s="1375"/>
      <c r="S957" s="1357">
        <f t="shared" si="209"/>
        <v>13</v>
      </c>
      <c r="T957" s="1357" t="str">
        <f t="shared" si="208"/>
        <v/>
      </c>
      <c r="U957" s="1394">
        <v>957</v>
      </c>
      <c r="V957" s="1357"/>
    </row>
    <row r="958" spans="1:22" ht="15.75" customHeight="1">
      <c r="A958" s="1375" t="str">
        <f>$A$416</f>
        <v>Trees: quantity sold</v>
      </c>
      <c r="B958" s="1559"/>
      <c r="C958" s="1451">
        <f>SUM($C$418)</f>
        <v>0</v>
      </c>
      <c r="D958" s="1451">
        <f>SUM($D$418)</f>
        <v>0</v>
      </c>
      <c r="E958" s="1451">
        <f>SUM($E$418)</f>
        <v>0</v>
      </c>
      <c r="F958" s="1451">
        <f>SUM($F$418)</f>
        <v>0</v>
      </c>
      <c r="G958" s="1559"/>
      <c r="H958" s="1451">
        <f>SUM($H$418)</f>
        <v>0</v>
      </c>
      <c r="I958" s="1451">
        <f>SUM($I$418)</f>
        <v>0</v>
      </c>
      <c r="J958" s="1451">
        <f>SUM($J$418)</f>
        <v>0</v>
      </c>
      <c r="K958" s="1451">
        <f>SUM($K$418)</f>
        <v>0</v>
      </c>
      <c r="L958" s="1559"/>
      <c r="M958" s="1451">
        <f>SUM($M$418)</f>
        <v>0</v>
      </c>
      <c r="N958" s="1451">
        <f>SUM($N$418)</f>
        <v>0</v>
      </c>
      <c r="O958" s="1451">
        <f>SUM($O$418)</f>
        <v>0</v>
      </c>
      <c r="P958" s="1451">
        <f>SUM($P$418)</f>
        <v>0</v>
      </c>
      <c r="R958" s="1375"/>
      <c r="S958" s="1357">
        <f t="shared" si="209"/>
        <v>13</v>
      </c>
      <c r="T958" s="1357" t="str">
        <f t="shared" si="208"/>
        <v/>
      </c>
      <c r="U958" s="1394">
        <v>958</v>
      </c>
      <c r="V958" s="1357"/>
    </row>
    <row r="959" spans="1:22" ht="15.75" customHeight="1">
      <c r="A959" s="1375" t="str">
        <f>$A$419</f>
        <v>Beetroot (cash): type</v>
      </c>
      <c r="B959" s="1559"/>
      <c r="C959" s="1451">
        <f>SUM($C$422)</f>
        <v>0</v>
      </c>
      <c r="D959" s="1451">
        <f>SUM($D$422)</f>
        <v>0</v>
      </c>
      <c r="E959" s="1451">
        <f>SUM($E$422)</f>
        <v>0</v>
      </c>
      <c r="F959" s="1451">
        <f>SUM($F$422)</f>
        <v>0</v>
      </c>
      <c r="G959" s="1559"/>
      <c r="H959" s="1451">
        <f>SUM($H$422)</f>
        <v>0</v>
      </c>
      <c r="I959" s="1451">
        <f>SUM($I$422)</f>
        <v>0</v>
      </c>
      <c r="J959" s="1451">
        <f>SUM($J$422)</f>
        <v>0</v>
      </c>
      <c r="K959" s="1451">
        <f>SUM($K$422)</f>
        <v>0</v>
      </c>
      <c r="L959" s="1559"/>
      <c r="M959" s="1451">
        <f>SUM($M$422)</f>
        <v>0</v>
      </c>
      <c r="N959" s="1451">
        <f>SUM($N$422)</f>
        <v>0</v>
      </c>
      <c r="O959" s="1451">
        <f>SUM($O$422)</f>
        <v>0</v>
      </c>
      <c r="P959" s="1451">
        <f>SUM($P$422)</f>
        <v>0</v>
      </c>
      <c r="R959" s="1375"/>
      <c r="S959" s="1357">
        <f t="shared" si="209"/>
        <v>13</v>
      </c>
      <c r="T959" s="1357" t="str">
        <f t="shared" si="208"/>
        <v/>
      </c>
      <c r="U959" s="1394">
        <v>959</v>
      </c>
      <c r="V959" s="1357"/>
    </row>
    <row r="960" spans="1:22" ht="15.75" customHeight="1">
      <c r="A960" s="1375" t="str">
        <f>$A$423</f>
        <v>Other cash crop: type</v>
      </c>
      <c r="B960" s="1559"/>
      <c r="C960" s="1451">
        <f>SUM($C$426)</f>
        <v>0</v>
      </c>
      <c r="D960" s="1451">
        <f>SUM($D$426)</f>
        <v>0</v>
      </c>
      <c r="E960" s="1451">
        <f>SUM($E$426)</f>
        <v>0</v>
      </c>
      <c r="F960" s="1451">
        <f>SUM($F$426)</f>
        <v>0</v>
      </c>
      <c r="G960" s="1559"/>
      <c r="H960" s="1451">
        <f>SUM($H$426)</f>
        <v>0</v>
      </c>
      <c r="I960" s="1451">
        <f>SUM($I$426)</f>
        <v>0</v>
      </c>
      <c r="J960" s="1451">
        <f>SUM($J$426)</f>
        <v>0</v>
      </c>
      <c r="K960" s="1451">
        <f>SUM($K$426)</f>
        <v>0</v>
      </c>
      <c r="L960" s="1559"/>
      <c r="M960" s="1451">
        <f>SUM($M$426)</f>
        <v>0</v>
      </c>
      <c r="N960" s="1451">
        <f>SUM($N$426)</f>
        <v>0</v>
      </c>
      <c r="O960" s="1451">
        <f>SUM($O$426)</f>
        <v>0</v>
      </c>
      <c r="P960" s="1451">
        <f>SUM($P$426)</f>
        <v>0</v>
      </c>
      <c r="R960" s="1375"/>
      <c r="S960" s="1357">
        <f t="shared" si="209"/>
        <v>13</v>
      </c>
      <c r="T960" s="1357" t="str">
        <f t="shared" si="208"/>
        <v/>
      </c>
      <c r="U960" s="1394">
        <v>960</v>
      </c>
      <c r="V960" s="1357"/>
    </row>
    <row r="961" spans="1:22" ht="15.75" customHeight="1">
      <c r="A961" s="1584" t="s">
        <v>678</v>
      </c>
      <c r="B961" s="1559"/>
      <c r="C961" s="1559"/>
      <c r="D961" s="1559"/>
      <c r="E961" s="1559"/>
      <c r="F961" s="1559"/>
      <c r="G961" s="1559"/>
      <c r="H961" s="1559"/>
      <c r="I961" s="1559"/>
      <c r="J961" s="1559"/>
      <c r="K961" s="1559"/>
      <c r="L961" s="1559"/>
      <c r="M961" s="1559"/>
      <c r="N961" s="1559"/>
      <c r="O961" s="1559"/>
      <c r="P961" s="1559"/>
      <c r="R961" s="1375"/>
      <c r="S961" s="1357">
        <f t="shared" si="209"/>
        <v>13</v>
      </c>
      <c r="T961" s="1357" t="str">
        <f t="shared" si="208"/>
        <v/>
      </c>
      <c r="U961" s="1394">
        <v>961</v>
      </c>
      <c r="V961" s="1357"/>
    </row>
    <row r="962" spans="1:22" ht="15.75" customHeight="1">
      <c r="A962" s="1375" t="str">
        <f>$A$428</f>
        <v>FISHING -- see worksheet Data 3</v>
      </c>
      <c r="B962" s="1587"/>
      <c r="C962" s="1588">
        <f>C435</f>
        <v>0</v>
      </c>
      <c r="D962" s="1588">
        <f>D435</f>
        <v>0</v>
      </c>
      <c r="E962" s="1588">
        <f>E435</f>
        <v>0</v>
      </c>
      <c r="F962" s="1588">
        <f>F435</f>
        <v>0</v>
      </c>
      <c r="G962" s="1589"/>
      <c r="H962" s="1588">
        <f>H435</f>
        <v>0</v>
      </c>
      <c r="I962" s="1588">
        <f>I435</f>
        <v>0</v>
      </c>
      <c r="J962" s="1588">
        <f>J435</f>
        <v>0</v>
      </c>
      <c r="K962" s="1588">
        <f>K435</f>
        <v>0</v>
      </c>
      <c r="L962" s="1589"/>
      <c r="M962" s="1588">
        <f>M435</f>
        <v>0</v>
      </c>
      <c r="N962" s="1588">
        <f>N435</f>
        <v>0</v>
      </c>
      <c r="O962" s="1588">
        <f>O435</f>
        <v>0</v>
      </c>
      <c r="P962" s="1588">
        <f>P435</f>
        <v>0</v>
      </c>
      <c r="R962" s="1375">
        <v>28</v>
      </c>
      <c r="S962" s="1357">
        <f t="shared" si="209"/>
        <v>13</v>
      </c>
      <c r="T962" s="1357" t="str">
        <f t="shared" si="208"/>
        <v/>
      </c>
      <c r="U962" s="1394">
        <v>962</v>
      </c>
      <c r="V962" s="1357"/>
    </row>
    <row r="963" spans="1:22" ht="15.75" customHeight="1">
      <c r="A963" s="1375" t="str">
        <f>$A$438</f>
        <v>WILD FOODS -- see worksheet Data 3</v>
      </c>
      <c r="B963" s="1587"/>
      <c r="C963" s="1590">
        <f>C445</f>
        <v>0</v>
      </c>
      <c r="D963" s="1590">
        <f>D445</f>
        <v>0</v>
      </c>
      <c r="E963" s="1590">
        <f>E445</f>
        <v>0</v>
      </c>
      <c r="F963" s="1590">
        <f>F445</f>
        <v>0</v>
      </c>
      <c r="G963" s="1589"/>
      <c r="H963" s="1590">
        <f>H445</f>
        <v>0</v>
      </c>
      <c r="I963" s="1590">
        <f>I445</f>
        <v>0</v>
      </c>
      <c r="J963" s="1590">
        <f>J445</f>
        <v>0</v>
      </c>
      <c r="K963" s="1590">
        <f>K445</f>
        <v>0</v>
      </c>
      <c r="L963" s="1589"/>
      <c r="M963" s="1590">
        <f>M445</f>
        <v>0</v>
      </c>
      <c r="N963" s="1590">
        <f>N445</f>
        <v>0</v>
      </c>
      <c r="O963" s="1590">
        <f>O445</f>
        <v>0</v>
      </c>
      <c r="P963" s="1590">
        <f>P445</f>
        <v>0</v>
      </c>
      <c r="R963" s="1375">
        <v>29</v>
      </c>
      <c r="S963" s="1357">
        <f t="shared" si="209"/>
        <v>13</v>
      </c>
      <c r="T963" s="1357" t="str">
        <f t="shared" si="208"/>
        <v/>
      </c>
      <c r="U963" s="1394">
        <v>963</v>
      </c>
      <c r="V963" s="1357"/>
    </row>
    <row r="964" spans="1:22" ht="15.75" customHeight="1">
      <c r="A964" s="1580" t="s">
        <v>403</v>
      </c>
      <c r="B964" s="1559"/>
      <c r="C964" s="1559"/>
      <c r="D964" s="1559"/>
      <c r="E964" s="1559"/>
      <c r="F964" s="1559"/>
      <c r="G964" s="1559"/>
      <c r="H964" s="1559"/>
      <c r="I964" s="1559"/>
      <c r="J964" s="1559"/>
      <c r="K964" s="1559"/>
      <c r="L964" s="1559"/>
      <c r="M964" s="1559"/>
      <c r="N964" s="1559"/>
      <c r="O964" s="1559"/>
      <c r="P964" s="1559"/>
      <c r="R964" s="1375"/>
      <c r="S964" s="1357">
        <f t="shared" si="209"/>
        <v>13</v>
      </c>
      <c r="T964" s="1357" t="str">
        <f t="shared" si="208"/>
        <v/>
      </c>
      <c r="U964" s="1394">
        <v>964</v>
      </c>
      <c r="V964" s="1357"/>
    </row>
    <row r="965" spans="1:22" ht="15.75" customHeight="1">
      <c r="A965" s="1583" t="str">
        <f>$A$703</f>
        <v>Agricultural cash income -- see Data2</v>
      </c>
      <c r="B965" s="1559"/>
      <c r="C965" s="1451">
        <f>SUM($C$708)</f>
        <v>0</v>
      </c>
      <c r="D965" s="1451">
        <f>SUM($D$708)</f>
        <v>1109</v>
      </c>
      <c r="E965" s="1451">
        <f>SUM($E$708)</f>
        <v>752</v>
      </c>
      <c r="F965" s="1451">
        <f>SUM($F$708)</f>
        <v>0</v>
      </c>
      <c r="G965" s="1559"/>
      <c r="H965" s="1451">
        <f>SUM($H$708)</f>
        <v>0</v>
      </c>
      <c r="I965" s="1451">
        <f>SUM($I$708)</f>
        <v>1109</v>
      </c>
      <c r="J965" s="1451">
        <f>SUM($J$708)</f>
        <v>752</v>
      </c>
      <c r="K965" s="1451">
        <f>SUM($K$708)</f>
        <v>0</v>
      </c>
      <c r="L965" s="1559"/>
      <c r="M965" s="1451">
        <f>SUM($M$708)</f>
        <v>0</v>
      </c>
      <c r="N965" s="1451">
        <f>SUM($N$708)</f>
        <v>0</v>
      </c>
      <c r="O965" s="1451">
        <f>SUM($O$708)</f>
        <v>0</v>
      </c>
      <c r="P965" s="1451">
        <f>SUM($P$708)</f>
        <v>0</v>
      </c>
      <c r="R965" s="1375"/>
      <c r="S965" s="1357">
        <f t="shared" si="209"/>
        <v>14</v>
      </c>
      <c r="T965" s="1357">
        <f t="shared" si="208"/>
        <v>14</v>
      </c>
      <c r="U965" s="1394">
        <v>965</v>
      </c>
      <c r="V965" s="1357"/>
    </row>
    <row r="966" spans="1:22" ht="15.75" customHeight="1">
      <c r="A966" s="1583" t="str">
        <f>$A$709</f>
        <v>Construction cash income -- see Data2</v>
      </c>
      <c r="B966" s="1559"/>
      <c r="C966" s="1451">
        <f>SUM($C$714)</f>
        <v>0</v>
      </c>
      <c r="D966" s="1451">
        <f>SUM($D$714)</f>
        <v>0</v>
      </c>
      <c r="E966" s="1451">
        <f>SUM($E$714)</f>
        <v>0</v>
      </c>
      <c r="F966" s="1451">
        <f>SUM($F$714)</f>
        <v>0</v>
      </c>
      <c r="G966" s="1559"/>
      <c r="H966" s="1451">
        <f>SUM($H$714)</f>
        <v>0</v>
      </c>
      <c r="I966" s="1451">
        <f>SUM($I$714)</f>
        <v>0</v>
      </c>
      <c r="J966" s="1451">
        <f>SUM($J$714)</f>
        <v>0</v>
      </c>
      <c r="K966" s="1451">
        <f>SUM($K$714)</f>
        <v>0</v>
      </c>
      <c r="L966" s="1559"/>
      <c r="M966" s="1451">
        <f>SUM($M$714)</f>
        <v>0</v>
      </c>
      <c r="N966" s="1451">
        <f>SUM($N$714)</f>
        <v>0</v>
      </c>
      <c r="O966" s="1451">
        <f>SUM($O$714)</f>
        <v>0</v>
      </c>
      <c r="P966" s="1451">
        <f>SUM($P$714)</f>
        <v>0</v>
      </c>
      <c r="R966" s="1375"/>
      <c r="S966" s="1357">
        <f t="shared" si="209"/>
        <v>14</v>
      </c>
      <c r="T966" s="1357" t="str">
        <f t="shared" si="208"/>
        <v/>
      </c>
      <c r="U966" s="1394">
        <v>966</v>
      </c>
      <c r="V966" s="1357"/>
    </row>
    <row r="967" spans="1:22" ht="15.75" customHeight="1">
      <c r="A967" s="1583" t="str">
        <f>$A$715</f>
        <v>Domestic work cash income -- see Data2</v>
      </c>
      <c r="B967" s="1559"/>
      <c r="C967" s="1451">
        <f>SUM($C$720)</f>
        <v>0</v>
      </c>
      <c r="D967" s="1451">
        <f>SUM($D$720)</f>
        <v>0</v>
      </c>
      <c r="E967" s="1451">
        <f>SUM($E$720)</f>
        <v>0</v>
      </c>
      <c r="F967" s="1451">
        <f>SUM($F$720)</f>
        <v>0</v>
      </c>
      <c r="G967" s="1559"/>
      <c r="H967" s="1451">
        <f>SUM($H$720)</f>
        <v>0</v>
      </c>
      <c r="I967" s="1451">
        <f>SUM($I$720)</f>
        <v>0</v>
      </c>
      <c r="J967" s="1451">
        <f>SUM($J$720)</f>
        <v>0</v>
      </c>
      <c r="K967" s="1451">
        <f>SUM($K$720)</f>
        <v>0</v>
      </c>
      <c r="L967" s="1559"/>
      <c r="M967" s="1451">
        <f>SUM($M$720)</f>
        <v>0</v>
      </c>
      <c r="N967" s="1451">
        <f>SUM($N$720)</f>
        <v>0</v>
      </c>
      <c r="O967" s="1451">
        <f>SUM($O$720)</f>
        <v>0</v>
      </c>
      <c r="P967" s="1451">
        <f>SUM($P$720)</f>
        <v>0</v>
      </c>
      <c r="R967" s="1375"/>
      <c r="S967" s="1357">
        <f t="shared" si="209"/>
        <v>14</v>
      </c>
      <c r="T967" s="1357" t="str">
        <f t="shared" si="208"/>
        <v/>
      </c>
      <c r="U967" s="1394">
        <v>967</v>
      </c>
      <c r="V967" s="1357"/>
    </row>
    <row r="968" spans="1:22" ht="15.75" customHeight="1">
      <c r="A968" s="1556" t="s">
        <v>677</v>
      </c>
      <c r="B968" s="1559"/>
      <c r="C968" s="1559"/>
      <c r="D968" s="1559"/>
      <c r="E968" s="1559"/>
      <c r="F968" s="1559"/>
      <c r="G968" s="1559"/>
      <c r="H968" s="1559"/>
      <c r="I968" s="1559"/>
      <c r="J968" s="1559"/>
      <c r="K968" s="1559"/>
      <c r="L968" s="1559"/>
      <c r="M968" s="1559"/>
      <c r="N968" s="1559"/>
      <c r="O968" s="1559"/>
      <c r="P968" s="1559"/>
      <c r="R968" s="1375"/>
      <c r="S968" s="1357">
        <f t="shared" si="209"/>
        <v>14</v>
      </c>
      <c r="T968" s="1357" t="str">
        <f t="shared" ref="T968:T983" si="210">IF(S968&gt;S967,S968,"")</f>
        <v/>
      </c>
      <c r="U968" s="1394">
        <v>968</v>
      </c>
      <c r="V968" s="1357"/>
    </row>
    <row r="969" spans="1:22" ht="15.75" customHeight="1">
      <c r="A969" s="1583" t="str">
        <f>$A$721</f>
        <v>Labour migration(formal employment): no. people per HH</v>
      </c>
      <c r="B969" s="1559"/>
      <c r="C969" s="1451">
        <f>SUM($C$724)</f>
        <v>0</v>
      </c>
      <c r="D969" s="1451">
        <f>SUM($D$724)</f>
        <v>0</v>
      </c>
      <c r="E969" s="1451">
        <f>SUM($E$724)</f>
        <v>0</v>
      </c>
      <c r="F969" s="1451">
        <f>SUM($F$724)</f>
        <v>11000</v>
      </c>
      <c r="G969" s="1559"/>
      <c r="H969" s="1451">
        <f>SUM($H$724)</f>
        <v>0</v>
      </c>
      <c r="I969" s="1451">
        <f>SUM($I$724)</f>
        <v>0</v>
      </c>
      <c r="J969" s="1451">
        <f>SUM($J$724)</f>
        <v>0</v>
      </c>
      <c r="K969" s="1451">
        <f>SUM($K$724)</f>
        <v>11000</v>
      </c>
      <c r="L969" s="1559"/>
      <c r="M969" s="1451">
        <f>SUM($M$724)</f>
        <v>0</v>
      </c>
      <c r="N969" s="1451">
        <f>SUM($N$724)</f>
        <v>0</v>
      </c>
      <c r="O969" s="1451">
        <f>SUM($O$724)</f>
        <v>0</v>
      </c>
      <c r="P969" s="1451">
        <f>SUM($P$724)</f>
        <v>0</v>
      </c>
      <c r="R969" s="1375">
        <v>30</v>
      </c>
      <c r="S969" s="1357">
        <f t="shared" ref="S969:S983" si="211">IF(MAX(C969:F969,H969:K969)&gt;0,S968+1,S968)</f>
        <v>15</v>
      </c>
      <c r="T969" s="1357">
        <f t="shared" si="210"/>
        <v>15</v>
      </c>
      <c r="U969" s="1394">
        <v>969</v>
      </c>
      <c r="V969" s="1357"/>
    </row>
    <row r="970" spans="1:22" ht="15.75" customHeight="1">
      <c r="A970" s="1583" t="str">
        <f>$A$733</f>
        <v>Formal Employment (conservancies, etc.)</v>
      </c>
      <c r="B970" s="1559"/>
      <c r="C970" s="1451">
        <f>SUM($C$737)</f>
        <v>0</v>
      </c>
      <c r="D970" s="1451">
        <f>SUM($D$737)</f>
        <v>0</v>
      </c>
      <c r="E970" s="1451">
        <f>SUM($E$737)</f>
        <v>0</v>
      </c>
      <c r="F970" s="1451">
        <f>SUM($F$737)</f>
        <v>23760</v>
      </c>
      <c r="G970" s="1559"/>
      <c r="H970" s="1451">
        <f>SUM($H$737)</f>
        <v>0</v>
      </c>
      <c r="I970" s="1451">
        <f>SUM($I$737)</f>
        <v>0</v>
      </c>
      <c r="J970" s="1451">
        <f>SUM($J$737)</f>
        <v>0</v>
      </c>
      <c r="K970" s="1451">
        <f>SUM($K$737)</f>
        <v>23760</v>
      </c>
      <c r="L970" s="1559"/>
      <c r="M970" s="1451">
        <f>SUM($M$737)</f>
        <v>0</v>
      </c>
      <c r="N970" s="1451">
        <f>SUM($N$737)</f>
        <v>0</v>
      </c>
      <c r="O970" s="1451">
        <f>SUM($O$737)</f>
        <v>0</v>
      </c>
      <c r="P970" s="1451">
        <f>SUM($P$737)</f>
        <v>0</v>
      </c>
      <c r="R970" s="1375"/>
      <c r="S970" s="1357">
        <f t="shared" si="211"/>
        <v>16</v>
      </c>
      <c r="T970" s="1357">
        <f t="shared" si="210"/>
        <v>16</v>
      </c>
      <c r="U970" s="1394">
        <v>970</v>
      </c>
      <c r="V970" s="1357"/>
    </row>
    <row r="971" spans="1:22" ht="15.75" customHeight="1">
      <c r="A971" s="1580" t="s">
        <v>405</v>
      </c>
      <c r="B971" s="1559"/>
      <c r="C971" s="1559"/>
      <c r="D971" s="1559"/>
      <c r="E971" s="1559"/>
      <c r="F971" s="1559"/>
      <c r="G971" s="1559"/>
      <c r="H971" s="1559"/>
      <c r="I971" s="1559"/>
      <c r="J971" s="1559"/>
      <c r="K971" s="1559"/>
      <c r="L971" s="1559"/>
      <c r="M971" s="1559"/>
      <c r="N971" s="1559"/>
      <c r="O971" s="1559"/>
      <c r="P971" s="1559"/>
      <c r="R971" s="1375"/>
      <c r="S971" s="1357">
        <f t="shared" si="211"/>
        <v>16</v>
      </c>
      <c r="T971" s="1357" t="str">
        <f t="shared" si="210"/>
        <v/>
      </c>
      <c r="U971" s="1394">
        <v>971</v>
      </c>
      <c r="V971" s="1357"/>
    </row>
    <row r="972" spans="1:22" ht="15.75" customHeight="1">
      <c r="A972" s="1375" t="str">
        <f>$A$728</f>
        <v>Firewood: no. people per HH</v>
      </c>
      <c r="B972" s="1559"/>
      <c r="C972" s="1451">
        <f>SUM($C$732)</f>
        <v>0</v>
      </c>
      <c r="D972" s="1451">
        <f>SUM($D$732)</f>
        <v>0</v>
      </c>
      <c r="E972" s="1451">
        <f>SUM($E$732)</f>
        <v>0</v>
      </c>
      <c r="F972" s="1451">
        <f>SUM($F$732)</f>
        <v>0</v>
      </c>
      <c r="G972" s="1559"/>
      <c r="H972" s="1451">
        <f>SUM($H$732)</f>
        <v>0</v>
      </c>
      <c r="I972" s="1451">
        <f>SUM($I$732)</f>
        <v>0</v>
      </c>
      <c r="J972" s="1451">
        <f>SUM($J$732)</f>
        <v>0</v>
      </c>
      <c r="K972" s="1451">
        <f>SUM($K$732)</f>
        <v>0</v>
      </c>
      <c r="L972" s="1559"/>
      <c r="M972" s="1451">
        <f>SUM($M$732)</f>
        <v>0</v>
      </c>
      <c r="N972" s="1451">
        <f>SUM($N$732)</f>
        <v>0</v>
      </c>
      <c r="O972" s="1451">
        <f>SUM($O$732)</f>
        <v>0</v>
      </c>
      <c r="P972" s="1451">
        <f>SUM($P$732)</f>
        <v>0</v>
      </c>
      <c r="R972" s="1375"/>
      <c r="S972" s="1357">
        <f t="shared" si="211"/>
        <v>16</v>
      </c>
      <c r="T972" s="1357" t="str">
        <f t="shared" si="210"/>
        <v/>
      </c>
      <c r="U972" s="1394">
        <v>972</v>
      </c>
      <c r="V972" s="1357"/>
    </row>
    <row r="973" spans="1:22" ht="15.75" customHeight="1">
      <c r="A973" s="1583" t="str">
        <f>$A$750</f>
        <v>Self-employment -- see Data2</v>
      </c>
      <c r="B973" s="1559"/>
      <c r="C973" s="1451">
        <f>SUM($C$755)</f>
        <v>0</v>
      </c>
      <c r="D973" s="1451">
        <f>SUM($D$755)</f>
        <v>0</v>
      </c>
      <c r="E973" s="1451">
        <f>SUM($E$755)</f>
        <v>429</v>
      </c>
      <c r="F973" s="1451">
        <f>SUM($F$755)</f>
        <v>0</v>
      </c>
      <c r="G973" s="1559"/>
      <c r="H973" s="1451">
        <f>SUM($H$755)</f>
        <v>0</v>
      </c>
      <c r="I973" s="1451">
        <f>SUM($I$755)</f>
        <v>0</v>
      </c>
      <c r="J973" s="1451">
        <f>SUM($J$755)</f>
        <v>514.79999999999995</v>
      </c>
      <c r="K973" s="1451">
        <f>SUM($K$755)</f>
        <v>0</v>
      </c>
      <c r="L973" s="1559"/>
      <c r="M973" s="1451">
        <f>SUM($M$755)</f>
        <v>0</v>
      </c>
      <c r="N973" s="1451">
        <f>SUM($N$755)</f>
        <v>0</v>
      </c>
      <c r="O973" s="1451">
        <f>SUM($O$755)</f>
        <v>85.799999999999955</v>
      </c>
      <c r="P973" s="1451">
        <f>SUM($P$755)</f>
        <v>0</v>
      </c>
      <c r="R973" s="1375"/>
      <c r="S973" s="1357">
        <f t="shared" si="211"/>
        <v>17</v>
      </c>
      <c r="T973" s="1357">
        <f t="shared" si="210"/>
        <v>17</v>
      </c>
      <c r="U973" s="1394">
        <v>973</v>
      </c>
      <c r="V973" s="1357"/>
    </row>
    <row r="974" spans="1:22" ht="15.75" customHeight="1">
      <c r="A974" s="1580" t="s">
        <v>406</v>
      </c>
      <c r="B974" s="1559"/>
      <c r="C974" s="1559"/>
      <c r="D974" s="1559"/>
      <c r="E974" s="1559"/>
      <c r="F974" s="1559"/>
      <c r="G974" s="1559"/>
      <c r="H974" s="1559"/>
      <c r="I974" s="1559"/>
      <c r="J974" s="1559"/>
      <c r="K974" s="1559"/>
      <c r="L974" s="1559"/>
      <c r="M974" s="1559"/>
      <c r="N974" s="1559"/>
      <c r="O974" s="1559"/>
      <c r="P974" s="1559"/>
      <c r="R974" s="1375"/>
      <c r="S974" s="1357">
        <f t="shared" si="211"/>
        <v>17</v>
      </c>
      <c r="T974" s="1357" t="str">
        <f t="shared" si="210"/>
        <v/>
      </c>
      <c r="U974" s="1394">
        <v>974</v>
      </c>
      <c r="V974" s="1357"/>
    </row>
    <row r="975" spans="1:22" ht="15.75" customHeight="1">
      <c r="A975" s="1375" t="str">
        <f>$A$756</f>
        <v>Small business -- see Data2</v>
      </c>
      <c r="B975" s="1559"/>
      <c r="C975" s="1451">
        <f>SUM($C$760)</f>
        <v>0</v>
      </c>
      <c r="D975" s="1451">
        <f>SUM($D$760)</f>
        <v>0</v>
      </c>
      <c r="E975" s="1451">
        <f>SUM($E$760)</f>
        <v>2160</v>
      </c>
      <c r="F975" s="1451">
        <f>SUM($F$760)</f>
        <v>0</v>
      </c>
      <c r="G975" s="1559"/>
      <c r="H975" s="1451">
        <f>SUM($H$760)</f>
        <v>0</v>
      </c>
      <c r="I975" s="1451">
        <f>SUM($I$760)</f>
        <v>0</v>
      </c>
      <c r="J975" s="1451">
        <f>SUM($J$760)</f>
        <v>0</v>
      </c>
      <c r="K975" s="1451">
        <f>SUM($K$760)</f>
        <v>0</v>
      </c>
      <c r="L975" s="1559"/>
      <c r="M975" s="1451">
        <f>SUM($M$760)</f>
        <v>0</v>
      </c>
      <c r="N975" s="1451">
        <f>SUM($N$760)</f>
        <v>0</v>
      </c>
      <c r="O975" s="1451">
        <f>SUM($O$760)</f>
        <v>0</v>
      </c>
      <c r="P975" s="1451">
        <f>SUM($P$760)</f>
        <v>0</v>
      </c>
      <c r="R975" s="1375"/>
      <c r="S975" s="1357">
        <f t="shared" si="211"/>
        <v>18</v>
      </c>
      <c r="T975" s="1357">
        <f t="shared" si="210"/>
        <v>18</v>
      </c>
      <c r="U975" s="1394">
        <v>975</v>
      </c>
      <c r="V975" s="1357"/>
    </row>
    <row r="976" spans="1:22" ht="15.75" customHeight="1">
      <c r="A976" s="1584" t="s">
        <v>679</v>
      </c>
      <c r="B976" s="1559"/>
      <c r="C976" s="1559"/>
      <c r="D976" s="1559"/>
      <c r="E976" s="1559"/>
      <c r="F976" s="1559"/>
      <c r="G976" s="1559"/>
      <c r="H976" s="1559"/>
      <c r="I976" s="1559"/>
      <c r="J976" s="1559"/>
      <c r="K976" s="1559"/>
      <c r="L976" s="1559"/>
      <c r="M976" s="1559"/>
      <c r="N976" s="1559"/>
      <c r="O976" s="1559"/>
      <c r="P976" s="1559"/>
      <c r="R976" s="1375"/>
      <c r="S976" s="1357">
        <f t="shared" si="211"/>
        <v>18</v>
      </c>
      <c r="T976" s="1357" t="str">
        <f t="shared" si="210"/>
        <v/>
      </c>
      <c r="U976" s="1394">
        <v>976</v>
      </c>
      <c r="V976" s="1357"/>
    </row>
    <row r="977" spans="1:22" ht="15.75" customHeight="1">
      <c r="A977" s="1375" t="str">
        <f>$A$738</f>
        <v>Social development -- see Data2</v>
      </c>
      <c r="B977" s="1559"/>
      <c r="C977" s="1451">
        <f>SUM($C$743)</f>
        <v>22020</v>
      </c>
      <c r="D977" s="1451">
        <f>SUM($D$743)</f>
        <v>22020</v>
      </c>
      <c r="E977" s="1451">
        <f>SUM($E$743)</f>
        <v>22020</v>
      </c>
      <c r="F977" s="1451">
        <f>SUM($F$743)</f>
        <v>6162</v>
      </c>
      <c r="G977" s="1559"/>
      <c r="H977" s="1451">
        <f>SUM($H$743)</f>
        <v>0</v>
      </c>
      <c r="I977" s="1451">
        <f>SUM($I$743)</f>
        <v>0</v>
      </c>
      <c r="J977" s="1451">
        <f>SUM($J$743)</f>
        <v>0</v>
      </c>
      <c r="K977" s="1451">
        <f>SUM($K$743)</f>
        <v>0</v>
      </c>
      <c r="L977" s="1559"/>
      <c r="M977" s="1451">
        <f>SUM($M$743)</f>
        <v>0</v>
      </c>
      <c r="N977" s="1451">
        <f>SUM($N$743)</f>
        <v>0</v>
      </c>
      <c r="O977" s="1451">
        <f>SUM($O$743)</f>
        <v>0</v>
      </c>
      <c r="P977" s="1451">
        <f>SUM($P$743)</f>
        <v>0</v>
      </c>
      <c r="R977" s="1375"/>
      <c r="S977" s="1357">
        <f t="shared" si="211"/>
        <v>19</v>
      </c>
      <c r="T977" s="1357">
        <f t="shared" si="210"/>
        <v>19</v>
      </c>
      <c r="U977" s="1394">
        <v>977</v>
      </c>
      <c r="V977" s="1357"/>
    </row>
    <row r="978" spans="1:22" ht="15.75" customHeight="1">
      <c r="A978" s="1556" t="s">
        <v>407</v>
      </c>
      <c r="B978" s="1559"/>
      <c r="C978" s="1559"/>
      <c r="D978" s="1559"/>
      <c r="E978" s="1559"/>
      <c r="F978" s="1559"/>
      <c r="G978" s="1559"/>
      <c r="H978" s="1559"/>
      <c r="I978" s="1559"/>
      <c r="J978" s="1559"/>
      <c r="K978" s="1559"/>
      <c r="L978" s="1559"/>
      <c r="M978" s="1559"/>
      <c r="N978" s="1559"/>
      <c r="O978" s="1559"/>
      <c r="P978" s="1559"/>
      <c r="R978" s="1375"/>
      <c r="S978" s="1357">
        <f t="shared" si="211"/>
        <v>19</v>
      </c>
      <c r="T978" s="1357" t="str">
        <f t="shared" si="210"/>
        <v/>
      </c>
      <c r="U978" s="1394">
        <v>978</v>
      </c>
      <c r="V978" s="1357"/>
    </row>
    <row r="979" spans="1:22" ht="15.75" customHeight="1">
      <c r="A979" s="1375" t="str">
        <f>$A$744</f>
        <v>Public works -- see Data2</v>
      </c>
      <c r="B979" s="1559"/>
      <c r="C979" s="1451">
        <f>SUM($C$749)</f>
        <v>0</v>
      </c>
      <c r="D979" s="1451">
        <f>SUM($D$749)</f>
        <v>0</v>
      </c>
      <c r="E979" s="1451">
        <f>SUM($E$749)</f>
        <v>371</v>
      </c>
      <c r="F979" s="1451">
        <f>SUM($F$749)</f>
        <v>0</v>
      </c>
      <c r="G979" s="1559"/>
      <c r="H979" s="1451">
        <f>SUM($H$749)</f>
        <v>0</v>
      </c>
      <c r="I979" s="1451">
        <f>SUM($I$749)</f>
        <v>0</v>
      </c>
      <c r="J979" s="1451">
        <f>SUM($J$749)</f>
        <v>0</v>
      </c>
      <c r="K979" s="1451">
        <f>SUM($K$749)</f>
        <v>0</v>
      </c>
      <c r="L979" s="1559"/>
      <c r="M979" s="1451">
        <f>SUM($M$749)</f>
        <v>0</v>
      </c>
      <c r="N979" s="1451">
        <f>SUM($N$749)</f>
        <v>0</v>
      </c>
      <c r="O979" s="1451">
        <f>SUM($O$749)</f>
        <v>0</v>
      </c>
      <c r="P979" s="1451">
        <f>SUM($P$749)</f>
        <v>0</v>
      </c>
      <c r="R979" s="1375"/>
      <c r="S979" s="1357">
        <f t="shared" si="211"/>
        <v>20</v>
      </c>
      <c r="T979" s="1357">
        <f t="shared" si="210"/>
        <v>20</v>
      </c>
      <c r="U979" s="1394">
        <v>979</v>
      </c>
      <c r="V979" s="1357"/>
    </row>
    <row r="980" spans="1:22" ht="15.75" customHeight="1">
      <c r="A980" s="1580" t="s">
        <v>524</v>
      </c>
      <c r="B980" s="1559"/>
      <c r="C980" s="1559"/>
      <c r="D980" s="1559"/>
      <c r="E980" s="1559"/>
      <c r="F980" s="1559"/>
      <c r="G980" s="1559"/>
      <c r="H980" s="1559"/>
      <c r="I980" s="1559"/>
      <c r="J980" s="1559"/>
      <c r="K980" s="1559"/>
      <c r="L980" s="1559"/>
      <c r="M980" s="1559"/>
      <c r="N980" s="1559"/>
      <c r="O980" s="1559"/>
      <c r="P980" s="1559"/>
      <c r="R980" s="1375"/>
      <c r="S980" s="1357">
        <f t="shared" si="211"/>
        <v>20</v>
      </c>
      <c r="T980" s="1357" t="str">
        <f t="shared" si="210"/>
        <v/>
      </c>
      <c r="U980" s="1394">
        <v>980</v>
      </c>
      <c r="V980" s="1357"/>
    </row>
    <row r="981" spans="1:22" ht="15.75" customHeight="1">
      <c r="A981" s="1375" t="str">
        <f>$A$761</f>
        <v>Gifts/social support: type</v>
      </c>
      <c r="B981" s="1559"/>
      <c r="C981" s="1451">
        <f>SUM(C$765)</f>
        <v>0</v>
      </c>
      <c r="D981" s="1451">
        <f>SUM(D$765)</f>
        <v>0</v>
      </c>
      <c r="E981" s="1451">
        <f>SUM(E$765)</f>
        <v>0</v>
      </c>
      <c r="F981" s="1451">
        <f>SUM(F$765)</f>
        <v>0</v>
      </c>
      <c r="G981" s="1559"/>
      <c r="H981" s="1451">
        <f>SUM(H$765)</f>
        <v>0</v>
      </c>
      <c r="I981" s="1451">
        <f>SUM(I$765)</f>
        <v>0</v>
      </c>
      <c r="J981" s="1451">
        <f>SUM(J$765)</f>
        <v>0</v>
      </c>
      <c r="K981" s="1451">
        <f>SUM(K$765)</f>
        <v>0</v>
      </c>
      <c r="L981" s="1559"/>
      <c r="M981" s="1451">
        <f>SUM(M$765)</f>
        <v>0</v>
      </c>
      <c r="N981" s="1451">
        <f>SUM(N$765)</f>
        <v>0</v>
      </c>
      <c r="O981" s="1451">
        <f>SUM(O$765)</f>
        <v>0</v>
      </c>
      <c r="P981" s="1451">
        <f>SUM(P$765)</f>
        <v>0</v>
      </c>
      <c r="R981" s="1375"/>
      <c r="S981" s="1357">
        <f t="shared" si="211"/>
        <v>20</v>
      </c>
      <c r="T981" s="1357" t="str">
        <f t="shared" si="210"/>
        <v/>
      </c>
      <c r="U981" s="1394">
        <v>981</v>
      </c>
      <c r="V981" s="1357"/>
    </row>
    <row r="982" spans="1:22" ht="15.75" customHeight="1">
      <c r="A982" s="1375" t="str">
        <f>$A$766</f>
        <v>Other income: e.g. Credit (cotton loans)</v>
      </c>
      <c r="B982" s="1559"/>
      <c r="C982" s="1451">
        <f>SUM(C$770)</f>
        <v>0</v>
      </c>
      <c r="D982" s="1451">
        <f>SUM(D$770)</f>
        <v>0</v>
      </c>
      <c r="E982" s="1451">
        <f>SUM(E$770)</f>
        <v>1600</v>
      </c>
      <c r="F982" s="1451">
        <f>SUM(F$770)</f>
        <v>0</v>
      </c>
      <c r="G982" s="1559"/>
      <c r="H982" s="1451">
        <f>SUM(H$770)</f>
        <v>0</v>
      </c>
      <c r="I982" s="1451">
        <f>SUM(I$770)</f>
        <v>0</v>
      </c>
      <c r="J982" s="1451">
        <f>SUM(J$770)</f>
        <v>0</v>
      </c>
      <c r="K982" s="1451">
        <f>SUM(K$770)</f>
        <v>0</v>
      </c>
      <c r="L982" s="1559"/>
      <c r="M982" s="1451">
        <f>SUM(M$770)</f>
        <v>0</v>
      </c>
      <c r="N982" s="1451">
        <f>SUM(N$770)</f>
        <v>0</v>
      </c>
      <c r="O982" s="1451">
        <f>SUM(O$770)</f>
        <v>0</v>
      </c>
      <c r="P982" s="1451">
        <f>SUM(P$770)</f>
        <v>0</v>
      </c>
      <c r="R982" s="1375"/>
      <c r="S982" s="1357">
        <f t="shared" si="211"/>
        <v>21</v>
      </c>
      <c r="T982" s="1357">
        <f t="shared" si="210"/>
        <v>21</v>
      </c>
      <c r="U982" s="1394">
        <v>982</v>
      </c>
      <c r="V982" s="1357"/>
    </row>
    <row r="983" spans="1:22" ht="15.75" customHeight="1">
      <c r="A983" s="1375" t="str">
        <f>$A$725</f>
        <v>Remittances: no. times per year</v>
      </c>
      <c r="B983" s="1559"/>
      <c r="C983" s="1451">
        <f>SUM(C$727)</f>
        <v>0</v>
      </c>
      <c r="D983" s="1451">
        <f>SUM(D$727)</f>
        <v>0</v>
      </c>
      <c r="E983" s="1451">
        <f>SUM(E$727)</f>
        <v>0</v>
      </c>
      <c r="F983" s="1451">
        <f>SUM(F$727)</f>
        <v>0</v>
      </c>
      <c r="G983" s="1559"/>
      <c r="H983" s="1451">
        <f>SUM(H$727)</f>
        <v>0</v>
      </c>
      <c r="I983" s="1451">
        <f>SUM(I$727)</f>
        <v>0</v>
      </c>
      <c r="J983" s="1451">
        <f>SUM(J$727)</f>
        <v>0</v>
      </c>
      <c r="K983" s="1451">
        <f>SUM(K$727)</f>
        <v>0</v>
      </c>
      <c r="L983" s="1559"/>
      <c r="M983" s="1451">
        <f>SUM(M$727)</f>
        <v>0</v>
      </c>
      <c r="N983" s="1451">
        <f>SUM(N$727)</f>
        <v>0</v>
      </c>
      <c r="O983" s="1451">
        <f>SUM(O$727)</f>
        <v>0</v>
      </c>
      <c r="P983" s="1451">
        <f>SUM(P$727)</f>
        <v>0</v>
      </c>
      <c r="R983" s="1375"/>
      <c r="S983" s="1357">
        <f t="shared" si="211"/>
        <v>21</v>
      </c>
      <c r="T983" s="1357" t="str">
        <f t="shared" si="210"/>
        <v/>
      </c>
      <c r="U983" s="1394">
        <v>983</v>
      </c>
      <c r="V983" s="1357"/>
    </row>
    <row r="984" spans="1:22" ht="15.75" customHeight="1">
      <c r="A984" s="1375"/>
      <c r="B984" s="1559"/>
      <c r="C984" s="1559"/>
      <c r="D984" s="1559"/>
      <c r="E984" s="1559"/>
      <c r="F984" s="1559"/>
      <c r="G984" s="1559"/>
      <c r="H984" s="1559"/>
      <c r="I984" s="1559"/>
      <c r="J984" s="1559"/>
      <c r="K984" s="1559"/>
      <c r="L984" s="1559"/>
      <c r="M984" s="1559"/>
      <c r="N984" s="1559"/>
      <c r="O984" s="1559"/>
      <c r="P984" s="1559"/>
      <c r="R984" s="1375"/>
      <c r="S984" s="1357"/>
      <c r="T984" s="1357"/>
      <c r="U984" s="1394">
        <v>984</v>
      </c>
      <c r="V984" s="1357"/>
    </row>
    <row r="985" spans="1:22" ht="15.75" customHeight="1">
      <c r="A985" s="1375" t="s">
        <v>74</v>
      </c>
      <c r="B985" s="1559"/>
      <c r="C985" s="1451">
        <f>SUM($C$904:$C$984)</f>
        <v>22020</v>
      </c>
      <c r="D985" s="1451">
        <f>SUM($D$904:$D$984)</f>
        <v>24465</v>
      </c>
      <c r="E985" s="1451">
        <f>SUM($E$904:$E$984)</f>
        <v>34453</v>
      </c>
      <c r="F985" s="1451">
        <f>SUM($F$904:$F$984)</f>
        <v>57746</v>
      </c>
      <c r="G985" s="1559"/>
      <c r="H985" s="1451">
        <f>SUM($H$904:$H$984)</f>
        <v>0</v>
      </c>
      <c r="I985" s="1451">
        <f>SUM($I$904:$I$984)</f>
        <v>1609</v>
      </c>
      <c r="J985" s="1451">
        <f>SUM($J$904:$J$984)</f>
        <v>8829.2999999999993</v>
      </c>
      <c r="K985" s="1451">
        <f>SUM($K$904:$K$984)</f>
        <v>50085</v>
      </c>
      <c r="L985" s="1559"/>
      <c r="M985" s="1451">
        <f>SUM($M$904:$M$984)</f>
        <v>0</v>
      </c>
      <c r="N985" s="1451">
        <f>SUM($N$904:$N$984)</f>
        <v>-686</v>
      </c>
      <c r="O985" s="1451">
        <f>SUM($O$904:$O$984)</f>
        <v>1027.3</v>
      </c>
      <c r="P985" s="1451">
        <f>SUM($P$904:$P$984)</f>
        <v>651</v>
      </c>
      <c r="R985" s="1375"/>
      <c r="S985" s="1357"/>
      <c r="T985" s="1357"/>
      <c r="U985" s="1394">
        <v>985</v>
      </c>
      <c r="V985" s="1357"/>
    </row>
    <row r="986" spans="1:22" ht="15.75" customHeight="1">
      <c r="A986" s="1591"/>
      <c r="B986" s="1559"/>
      <c r="C986" s="1559"/>
      <c r="D986" s="1559"/>
      <c r="E986" s="1559"/>
      <c r="F986" s="1559"/>
      <c r="G986" s="1559"/>
      <c r="H986" s="1592"/>
      <c r="I986" s="1592"/>
      <c r="J986" s="1592"/>
      <c r="K986" s="1592"/>
      <c r="L986" s="1559"/>
      <c r="M986" s="1559"/>
      <c r="N986" s="1559"/>
      <c r="O986" s="1559"/>
      <c r="P986" s="1559"/>
      <c r="R986" s="1375"/>
      <c r="S986" s="1357"/>
      <c r="T986" s="1357"/>
      <c r="U986" s="1394">
        <v>986</v>
      </c>
      <c r="V986" s="1357"/>
    </row>
    <row r="987" spans="1:22" ht="15.75" customHeight="1">
      <c r="A987" s="1580" t="s">
        <v>410</v>
      </c>
      <c r="B987" s="1559"/>
      <c r="C987" s="1374"/>
      <c r="D987" s="1374"/>
      <c r="E987" s="1374"/>
      <c r="F987" s="1374"/>
      <c r="G987" s="1551"/>
      <c r="H987" s="1579"/>
      <c r="I987" s="1579"/>
      <c r="J987" s="1579"/>
      <c r="K987" s="1579"/>
      <c r="L987" s="1551"/>
      <c r="M987" s="1374"/>
      <c r="N987" s="1374"/>
      <c r="O987" s="1374"/>
      <c r="P987" s="1374"/>
      <c r="R987" s="1375"/>
      <c r="S987" s="1357"/>
      <c r="T987" s="1357"/>
      <c r="U987" s="1394">
        <v>987</v>
      </c>
      <c r="V987" s="1357"/>
    </row>
    <row r="988" spans="1:22" ht="15.75" customHeight="1">
      <c r="A988" s="1375" t="s">
        <v>144</v>
      </c>
      <c r="B988" s="1559"/>
      <c r="C988" s="1356">
        <f>SUM(C457,C466,C475,C484,C493,C502,C635)</f>
        <v>4820</v>
      </c>
      <c r="D988" s="1356">
        <f t="shared" ref="D988:F988" si="212">SUM(D457,D466,D475,D484,D493,D502,D635)</f>
        <v>4825</v>
      </c>
      <c r="E988" s="1356">
        <f t="shared" si="212"/>
        <v>5180</v>
      </c>
      <c r="F988" s="1356">
        <f t="shared" si="212"/>
        <v>8340</v>
      </c>
      <c r="G988" s="1559"/>
      <c r="H988" s="1356">
        <f>SUM(H457,H466,H475,H484,H493,H502,H635)</f>
        <v>6236.104172492991</v>
      </c>
      <c r="I988" s="1356">
        <f t="shared" ref="I988:K988" si="213">SUM(I457,I466,I475,I484,I493,I502,I635)</f>
        <v>6236.104172492991</v>
      </c>
      <c r="J988" s="1356">
        <f t="shared" si="213"/>
        <v>6236.104172492991</v>
      </c>
      <c r="K988" s="1356">
        <f t="shared" si="213"/>
        <v>7015.6171940546155</v>
      </c>
      <c r="L988" s="1559"/>
      <c r="M988" s="1356">
        <f>SUM(M457,M466,M475,M484,M493,M502,M635)</f>
        <v>4236.104172492991</v>
      </c>
      <c r="N988" s="1356">
        <f t="shared" ref="N988:P988" si="214">SUM(N457,N466,N475,N484,N493,N502,N635)</f>
        <v>4196.104172492991</v>
      </c>
      <c r="O988" s="1356">
        <f t="shared" si="214"/>
        <v>4076.104172492991</v>
      </c>
      <c r="P988" s="1356">
        <f t="shared" si="214"/>
        <v>1795.6171940546151</v>
      </c>
      <c r="R988" s="1375"/>
      <c r="S988" s="1357"/>
      <c r="T988" s="1357"/>
      <c r="U988" s="1394">
        <v>988</v>
      </c>
      <c r="V988" s="1357"/>
    </row>
    <row r="989" spans="1:22" ht="15.75" customHeight="1">
      <c r="A989" s="1375" t="s">
        <v>700</v>
      </c>
      <c r="B989" s="1559"/>
      <c r="C989" s="1356">
        <f>SUM(C508,C514,C520,C526,C532,C538,C544,C550,C556,C562,C568,C574,C580,C586,C592,C605,C611,C623,C772:C773)</f>
        <v>2952</v>
      </c>
      <c r="D989" s="1356">
        <f t="shared" ref="D989:F989" si="215">SUM(D508,D514,D520,D526,D532,D538,D544,D550,D556,D562,D568,D574,D580,D586,D592,D605,D611,D623,D772:D773)</f>
        <v>3717</v>
      </c>
      <c r="E989" s="1356">
        <f t="shared" si="215"/>
        <v>4918</v>
      </c>
      <c r="F989" s="1356">
        <f t="shared" si="215"/>
        <v>6491</v>
      </c>
      <c r="G989" s="1559"/>
      <c r="H989" s="1356">
        <f>SUM(H508,H514,H520,H526,H532,H538,H544,H550,H556,H562,H568,H574,H580,H586,H592,H605,H611,H623,H772:H773)</f>
        <v>13579.128949616812</v>
      </c>
      <c r="I989" s="1356">
        <f t="shared" ref="I989:K989" si="216">SUM(I508,I514,I520,I526,I532,I538,I544,I550,I556,I562,I568,I574,I580,I586,I592,I605,I611,I623,I772:I773)</f>
        <v>13579.128949616812</v>
      </c>
      <c r="J989" s="1356">
        <f t="shared" si="216"/>
        <v>13579.128949616812</v>
      </c>
      <c r="K989" s="1356">
        <f t="shared" si="216"/>
        <v>15276.520068318914</v>
      </c>
      <c r="L989" s="1559"/>
      <c r="M989" s="1356">
        <f>SUM(M508,M514,M520,M526,M532,M538,M544,M550,M556,M562,M568,M574,M580,M586,M592,M605,M611,M623,M772:M773)</f>
        <v>10627.12894961681</v>
      </c>
      <c r="N989" s="1356">
        <f t="shared" ref="N989:P989" si="217">SUM(N508,N514,N520,N526,N532,N538,N544,N550,N556,N562,N568,N574,N580,N586,N592,N605,N611,N623,N772:N773)</f>
        <v>9862.1289496168101</v>
      </c>
      <c r="O989" s="1356">
        <f t="shared" si="217"/>
        <v>8661.1289496168101</v>
      </c>
      <c r="P989" s="1356">
        <f t="shared" si="217"/>
        <v>8785.5200683189123</v>
      </c>
      <c r="Q989" s="1564" t="s">
        <v>945</v>
      </c>
      <c r="R989" s="1375"/>
      <c r="S989" s="1357"/>
      <c r="T989" s="1357"/>
      <c r="U989" s="1394">
        <v>989</v>
      </c>
      <c r="V989" s="1357"/>
    </row>
    <row r="990" spans="1:22" ht="15.75" customHeight="1">
      <c r="A990" s="1375" t="s">
        <v>701</v>
      </c>
      <c r="B990" s="1559"/>
      <c r="C990" s="1356">
        <f>SUM(C599,C617,C629)</f>
        <v>0</v>
      </c>
      <c r="D990" s="1356">
        <f t="shared" ref="D990:F990" si="218">SUM(D599,D617,D629)</f>
        <v>0</v>
      </c>
      <c r="E990" s="1356">
        <f t="shared" si="218"/>
        <v>0</v>
      </c>
      <c r="F990" s="1356">
        <f t="shared" si="218"/>
        <v>0</v>
      </c>
      <c r="G990" s="1559"/>
      <c r="H990" s="1356">
        <f>SUM(H599,H617,H629)</f>
        <v>0</v>
      </c>
      <c r="I990" s="1356">
        <f t="shared" ref="I990:K990" si="219">SUM(I599,I617,I629)</f>
        <v>0</v>
      </c>
      <c r="J990" s="1356">
        <f t="shared" si="219"/>
        <v>0</v>
      </c>
      <c r="K990" s="1356">
        <f t="shared" si="219"/>
        <v>0</v>
      </c>
      <c r="L990" s="1559"/>
      <c r="M990" s="1356">
        <f>SUM(M599,M617,M629)</f>
        <v>0</v>
      </c>
      <c r="N990" s="1356">
        <f t="shared" ref="N990:P990" si="220">SUM(N599,N617,N629)</f>
        <v>0</v>
      </c>
      <c r="O990" s="1356">
        <f t="shared" si="220"/>
        <v>0</v>
      </c>
      <c r="P990" s="1356">
        <f t="shared" si="220"/>
        <v>0</v>
      </c>
      <c r="Q990" s="1564" t="s">
        <v>946</v>
      </c>
      <c r="R990" s="1375"/>
      <c r="S990" s="1357"/>
      <c r="T990" s="1357"/>
      <c r="U990" s="1394">
        <v>990</v>
      </c>
      <c r="V990" s="1357"/>
    </row>
    <row r="991" spans="1:22" ht="15.75" customHeight="1">
      <c r="A991" s="1375" t="s">
        <v>702</v>
      </c>
      <c r="B991" s="1559"/>
      <c r="C991" s="1356">
        <f>SUM(C642)</f>
        <v>2160</v>
      </c>
      <c r="D991" s="1356">
        <f>SUM(D642)</f>
        <v>2160</v>
      </c>
      <c r="E991" s="1356">
        <f>SUM(E642)</f>
        <v>2160</v>
      </c>
      <c r="F991" s="1356">
        <f>SUM(F642)</f>
        <v>1277</v>
      </c>
      <c r="G991" s="1559"/>
      <c r="H991" s="1356">
        <f>SUM(H642)</f>
        <v>0</v>
      </c>
      <c r="I991" s="1356">
        <f>SUM(I642)</f>
        <v>0</v>
      </c>
      <c r="J991" s="1356">
        <f>SUM(J642)</f>
        <v>0</v>
      </c>
      <c r="K991" s="1356">
        <f>SUM(K642)</f>
        <v>0</v>
      </c>
      <c r="L991" s="1559"/>
      <c r="M991" s="1356">
        <f>SUM(M642)</f>
        <v>-2160</v>
      </c>
      <c r="N991" s="1356">
        <f>SUM(N642)</f>
        <v>-2160</v>
      </c>
      <c r="O991" s="1356">
        <f>SUM(O642)</f>
        <v>-2160</v>
      </c>
      <c r="P991" s="1356">
        <f>SUM(P642)</f>
        <v>-1277</v>
      </c>
      <c r="Q991" s="1564" t="s">
        <v>947</v>
      </c>
      <c r="R991" s="1375"/>
      <c r="S991" s="1357"/>
      <c r="T991" s="1357"/>
      <c r="U991" s="1394">
        <v>991</v>
      </c>
      <c r="V991" s="1357"/>
    </row>
    <row r="992" spans="1:22" ht="15.75" customHeight="1">
      <c r="A992" s="1375" t="s">
        <v>146</v>
      </c>
      <c r="B992" s="1559"/>
      <c r="C992" s="1356">
        <f>SUM(C774,C775,C776,C782:C783,C806)</f>
        <v>770</v>
      </c>
      <c r="D992" s="1356">
        <f t="shared" ref="D992:F992" si="221">SUM(D774,D775,D776,D782:D783,D806)</f>
        <v>830</v>
      </c>
      <c r="E992" s="1356">
        <f t="shared" si="221"/>
        <v>1850</v>
      </c>
      <c r="F992" s="1356">
        <f t="shared" si="221"/>
        <v>2510</v>
      </c>
      <c r="G992" s="1551"/>
      <c r="H992" s="1356">
        <f>SUM(H774,H775,H776,H782:H783,H806)</f>
        <v>3260</v>
      </c>
      <c r="I992" s="1356">
        <f t="shared" ref="I992:K992" si="222">SUM(I774,I775,I776,I782:I783,I806)</f>
        <v>3320</v>
      </c>
      <c r="J992" s="1356">
        <f t="shared" si="222"/>
        <v>3320</v>
      </c>
      <c r="K992" s="1356">
        <f t="shared" si="222"/>
        <v>3727.5</v>
      </c>
      <c r="L992" s="1551"/>
      <c r="M992" s="1356">
        <f>SUM(M774,M775,M776,M782:M783,M806)</f>
        <v>2490</v>
      </c>
      <c r="N992" s="1356">
        <f t="shared" ref="N992:P992" si="223">SUM(N774,N775,N776,N782:N783,N806)</f>
        <v>2490</v>
      </c>
      <c r="O992" s="1356">
        <f t="shared" si="223"/>
        <v>1470</v>
      </c>
      <c r="P992" s="1356">
        <f t="shared" si="223"/>
        <v>1217.5</v>
      </c>
      <c r="Q992" s="1564" t="s">
        <v>946</v>
      </c>
      <c r="R992" s="1375"/>
      <c r="S992" s="1357"/>
      <c r="T992" s="1357"/>
      <c r="U992" s="1394">
        <v>992</v>
      </c>
      <c r="V992" s="1357"/>
    </row>
    <row r="993" spans="1:22" ht="15.75" customHeight="1">
      <c r="A993" s="1375" t="s">
        <v>54</v>
      </c>
      <c r="B993" s="1559"/>
      <c r="C993" s="1356">
        <f>SUM(C781,C790)</f>
        <v>0</v>
      </c>
      <c r="D993" s="1356">
        <f>SUM(D781,D790)</f>
        <v>0</v>
      </c>
      <c r="E993" s="1356">
        <f>SUM(E781,E790)</f>
        <v>0</v>
      </c>
      <c r="F993" s="1356">
        <f>SUM(F781,F790)</f>
        <v>0</v>
      </c>
      <c r="G993" s="1551"/>
      <c r="H993" s="1356">
        <f>SUM(H781,H790)</f>
        <v>0</v>
      </c>
      <c r="I993" s="1356">
        <f>SUM(I781,I790)</f>
        <v>0</v>
      </c>
      <c r="J993" s="1356">
        <f>SUM(J781,J790)</f>
        <v>0</v>
      </c>
      <c r="K993" s="1356">
        <f>SUM(K781,K790)</f>
        <v>0</v>
      </c>
      <c r="L993" s="1551"/>
      <c r="M993" s="1356">
        <f>SUM(M781,M790)</f>
        <v>0</v>
      </c>
      <c r="N993" s="1356">
        <f>SUM(N781,N790)</f>
        <v>0</v>
      </c>
      <c r="O993" s="1356">
        <f>SUM(O781,O790)</f>
        <v>0</v>
      </c>
      <c r="P993" s="1356">
        <f>SUM(P781,P790)</f>
        <v>0</v>
      </c>
      <c r="R993" s="1375"/>
      <c r="S993" s="1357"/>
      <c r="T993" s="1357"/>
      <c r="U993" s="1394">
        <v>993</v>
      </c>
      <c r="V993" s="1357"/>
    </row>
    <row r="994" spans="1:22" ht="15.75" customHeight="1">
      <c r="A994" s="1375" t="s">
        <v>147</v>
      </c>
      <c r="B994" s="1559"/>
      <c r="C994" s="1356">
        <f>SUM(C784:C785,C791:C798)</f>
        <v>1200</v>
      </c>
      <c r="D994" s="1356">
        <f>SUM(D784:D785,D791:D798)</f>
        <v>1830</v>
      </c>
      <c r="E994" s="1356">
        <f>SUM(E784:E785,E791:E798)</f>
        <v>3600</v>
      </c>
      <c r="F994" s="1356">
        <f>SUM(F784:F785,F791:F798)</f>
        <v>8450</v>
      </c>
      <c r="G994" s="1551"/>
      <c r="H994" s="1356">
        <f>SUM(H784:H785,H791:H798)</f>
        <v>1200</v>
      </c>
      <c r="I994" s="1356">
        <f>SUM(I784:I785,I791:I798)</f>
        <v>1830</v>
      </c>
      <c r="J994" s="1356">
        <f>SUM(J784:J785,J791:J798)</f>
        <v>3600</v>
      </c>
      <c r="K994" s="1356">
        <f>SUM(K784:K785,K791:K798)</f>
        <v>8450</v>
      </c>
      <c r="L994" s="1551"/>
      <c r="M994" s="1356">
        <f>SUM(M784:M785,M791:M798)</f>
        <v>0</v>
      </c>
      <c r="N994" s="1356">
        <f>SUM(N784:N785,N791:N798)</f>
        <v>0</v>
      </c>
      <c r="O994" s="1356">
        <f>SUM(O784:O785,O791:O798)</f>
        <v>0</v>
      </c>
      <c r="P994" s="1356">
        <f>SUM(P784:P785,P791:P798)</f>
        <v>0</v>
      </c>
      <c r="R994" s="1375"/>
      <c r="S994" s="1357"/>
      <c r="T994" s="1357"/>
      <c r="U994" s="1394">
        <v>994</v>
      </c>
      <c r="V994" s="1357"/>
    </row>
    <row r="995" spans="1:22" ht="15.75" customHeight="1">
      <c r="A995" s="1375" t="s">
        <v>148</v>
      </c>
      <c r="B995" s="1559"/>
      <c r="C995" s="1356">
        <f>SUM(C799,C800)</f>
        <v>1350</v>
      </c>
      <c r="D995" s="1356">
        <f>SUM(D799,D800)</f>
        <v>1700</v>
      </c>
      <c r="E995" s="1356">
        <f>SUM(E799,E800)</f>
        <v>2400</v>
      </c>
      <c r="F995" s="1356">
        <f>SUM(F799,F800)</f>
        <v>5000</v>
      </c>
      <c r="G995" s="1551"/>
      <c r="H995" s="1356">
        <f>SUM(H799,H800)</f>
        <v>1760</v>
      </c>
      <c r="I995" s="1356">
        <f>SUM(I799,I800)</f>
        <v>1760</v>
      </c>
      <c r="J995" s="1356">
        <f>SUM(J799,J800)</f>
        <v>1760</v>
      </c>
      <c r="K995" s="1356">
        <f>SUM(K799,K800)</f>
        <v>1980</v>
      </c>
      <c r="L995" s="1551"/>
      <c r="M995" s="1356">
        <f>SUM(M799,M800)</f>
        <v>410</v>
      </c>
      <c r="N995" s="1356">
        <f>SUM(N799,N800)</f>
        <v>60</v>
      </c>
      <c r="O995" s="1356">
        <f>SUM(O799,O800)</f>
        <v>-640</v>
      </c>
      <c r="P995" s="1356">
        <f>SUM(P799,P800)</f>
        <v>-3020</v>
      </c>
      <c r="R995" s="1375"/>
      <c r="S995" s="1357"/>
      <c r="T995" s="1357"/>
      <c r="U995" s="1394">
        <v>995</v>
      </c>
      <c r="V995" s="1357"/>
    </row>
    <row r="996" spans="1:22" ht="15.75" customHeight="1">
      <c r="A996" s="1375" t="s">
        <v>149</v>
      </c>
      <c r="B996" s="1559"/>
      <c r="C996" s="1356">
        <f>SUM(C801)</f>
        <v>1250</v>
      </c>
      <c r="D996" s="1356">
        <f>SUM(D801)</f>
        <v>1750</v>
      </c>
      <c r="E996" s="1356">
        <f>SUM(E801)</f>
        <v>3000</v>
      </c>
      <c r="F996" s="1356">
        <f>SUM(F801)</f>
        <v>6500</v>
      </c>
      <c r="G996" s="1559"/>
      <c r="H996" s="1356">
        <f>SUM(H801)</f>
        <v>2400</v>
      </c>
      <c r="I996" s="1356">
        <f>SUM(I801)</f>
        <v>2400</v>
      </c>
      <c r="J996" s="1356">
        <f>SUM(J801)</f>
        <v>2400</v>
      </c>
      <c r="K996" s="1356">
        <f>SUM(K801)</f>
        <v>2700</v>
      </c>
      <c r="L996" s="1559"/>
      <c r="M996" s="1356">
        <f>SUM(M801)</f>
        <v>1150</v>
      </c>
      <c r="N996" s="1356">
        <f>SUM(N801)</f>
        <v>650</v>
      </c>
      <c r="O996" s="1356">
        <f>SUM(O801)</f>
        <v>-600</v>
      </c>
      <c r="P996" s="1356">
        <f>SUM(P801)</f>
        <v>-3800</v>
      </c>
      <c r="R996" s="1375"/>
      <c r="S996" s="1357"/>
      <c r="T996" s="1357"/>
      <c r="U996" s="1394">
        <v>996</v>
      </c>
      <c r="V996" s="1357"/>
    </row>
    <row r="997" spans="1:22" ht="15.75" customHeight="1">
      <c r="A997" s="1357" t="s">
        <v>411</v>
      </c>
      <c r="B997" s="1559"/>
      <c r="C997" s="1356">
        <f>SUM(C802,C804)</f>
        <v>1300</v>
      </c>
      <c r="D997" s="1356">
        <f>SUM(D802,D804)</f>
        <v>1750</v>
      </c>
      <c r="E997" s="1356">
        <f>SUM(E802,E804)</f>
        <v>4900</v>
      </c>
      <c r="F997" s="1356">
        <f>SUM(F802,F804)</f>
        <v>4200</v>
      </c>
      <c r="G997" s="1559"/>
      <c r="H997" s="1356">
        <f>SUM(H802,H804)</f>
        <v>1080</v>
      </c>
      <c r="I997" s="1356">
        <f>SUM(I802,I804)</f>
        <v>1330</v>
      </c>
      <c r="J997" s="1356">
        <f>SUM(J802,J804)</f>
        <v>2880</v>
      </c>
      <c r="K997" s="1356">
        <f>SUM(K802,K804)</f>
        <v>2040</v>
      </c>
      <c r="L997" s="1559"/>
      <c r="M997" s="1356">
        <f>SUM(M802,M804)</f>
        <v>-220</v>
      </c>
      <c r="N997" s="1356">
        <f>SUM(N802,N804)</f>
        <v>-420</v>
      </c>
      <c r="O997" s="1356">
        <f>SUM(O802,O804)</f>
        <v>-2020</v>
      </c>
      <c r="P997" s="1356">
        <f>SUM(P802,P804)</f>
        <v>-2160</v>
      </c>
      <c r="R997" s="1375"/>
      <c r="S997" s="1357"/>
      <c r="T997" s="1357"/>
      <c r="U997" s="1394">
        <v>997</v>
      </c>
      <c r="V997" s="1357"/>
    </row>
    <row r="998" spans="1:22" ht="15.75" customHeight="1">
      <c r="A998" s="1357" t="s">
        <v>942</v>
      </c>
      <c r="B998" s="1559"/>
      <c r="C998" s="1356">
        <f>C803</f>
        <v>1200</v>
      </c>
      <c r="D998" s="1356">
        <f>D803</f>
        <v>1200</v>
      </c>
      <c r="E998" s="1356">
        <f>E803</f>
        <v>2600</v>
      </c>
      <c r="F998" s="1356">
        <f>F803</f>
        <v>8500</v>
      </c>
      <c r="G998" s="1559"/>
      <c r="H998" s="1356">
        <f>H803</f>
        <v>704</v>
      </c>
      <c r="I998" s="1356">
        <f>I803</f>
        <v>704</v>
      </c>
      <c r="J998" s="1356">
        <f>J803</f>
        <v>704</v>
      </c>
      <c r="K998" s="1356">
        <f>K803</f>
        <v>792</v>
      </c>
      <c r="L998" s="1559"/>
      <c r="M998" s="1356">
        <f>M803</f>
        <v>-496</v>
      </c>
      <c r="N998" s="1356">
        <f>N803</f>
        <v>-496</v>
      </c>
      <c r="O998" s="1356">
        <f>O803</f>
        <v>-1896</v>
      </c>
      <c r="P998" s="1356">
        <f>P803</f>
        <v>-7708</v>
      </c>
      <c r="R998" s="1375"/>
      <c r="S998" s="1357"/>
      <c r="T998" s="1357"/>
      <c r="U998" s="1394">
        <v>998</v>
      </c>
      <c r="V998" s="1357"/>
    </row>
    <row r="999" spans="1:22" ht="15.75" customHeight="1">
      <c r="A999" s="1357" t="s">
        <v>412</v>
      </c>
      <c r="B999" s="1559"/>
      <c r="C999" s="1356">
        <f>SUM(C805,C808:C810)</f>
        <v>3300</v>
      </c>
      <c r="D999" s="1356">
        <f>SUM(D805,D808:D810)</f>
        <v>3300</v>
      </c>
      <c r="E999" s="1356">
        <f>SUM(E805,E808:E810)</f>
        <v>4450</v>
      </c>
      <c r="F999" s="1356">
        <f>SUM(F805,F808:F810)</f>
        <v>5700</v>
      </c>
      <c r="G999" s="1559"/>
      <c r="H999" s="1356">
        <f>SUM(H805,H808:H810)</f>
        <v>28744</v>
      </c>
      <c r="I999" s="1356">
        <f>SUM(I805,I808:I810)</f>
        <v>28744</v>
      </c>
      <c r="J999" s="1356">
        <f>SUM(J805,J808:J810)</f>
        <v>29194</v>
      </c>
      <c r="K999" s="1356">
        <f>SUM(K805,K808:K810)</f>
        <v>32712</v>
      </c>
      <c r="L999" s="1559"/>
      <c r="M999" s="1356">
        <f>SUM(M805,M808:M810)</f>
        <v>25444</v>
      </c>
      <c r="N999" s="1356">
        <f>SUM(N805,N808:N810)</f>
        <v>25444</v>
      </c>
      <c r="O999" s="1356">
        <f>SUM(O805,O808:O810)</f>
        <v>24744</v>
      </c>
      <c r="P999" s="1356">
        <f>SUM(P805,P808:P810)</f>
        <v>27012</v>
      </c>
      <c r="R999" s="1375"/>
      <c r="S999" s="1357"/>
      <c r="T999" s="1357"/>
      <c r="U999" s="1394">
        <v>999</v>
      </c>
      <c r="V999" s="1357"/>
    </row>
    <row r="1000" spans="1:22" ht="15.75" customHeight="1">
      <c r="A1000" s="1357" t="s">
        <v>703</v>
      </c>
      <c r="B1000" s="1559"/>
      <c r="C1000" s="1356">
        <f t="shared" ref="C1000:F1001" si="224">SUM(C807)</f>
        <v>0</v>
      </c>
      <c r="D1000" s="1356">
        <f t="shared" si="224"/>
        <v>0</v>
      </c>
      <c r="E1000" s="1356">
        <f t="shared" si="224"/>
        <v>0</v>
      </c>
      <c r="F1000" s="1356">
        <f t="shared" si="224"/>
        <v>0</v>
      </c>
      <c r="G1000" s="1559"/>
      <c r="H1000" s="1356">
        <f t="shared" ref="H1000:K1000" si="225">SUM(H807)</f>
        <v>4934.6666666666679</v>
      </c>
      <c r="I1000" s="1356">
        <f t="shared" si="225"/>
        <v>4934.6666666666679</v>
      </c>
      <c r="J1000" s="1356">
        <f t="shared" si="225"/>
        <v>4934.6666666666679</v>
      </c>
      <c r="K1000" s="1356">
        <f t="shared" si="225"/>
        <v>5551.5000000000018</v>
      </c>
      <c r="L1000" s="1559"/>
      <c r="M1000" s="1356">
        <f t="shared" ref="M1000:P1000" si="226">SUM(M807)</f>
        <v>4934.6666666666679</v>
      </c>
      <c r="N1000" s="1356">
        <f t="shared" si="226"/>
        <v>4934.6666666666679</v>
      </c>
      <c r="O1000" s="1356">
        <f t="shared" si="226"/>
        <v>4934.6666666666679</v>
      </c>
      <c r="P1000" s="1356">
        <f t="shared" si="226"/>
        <v>5551.5000000000018</v>
      </c>
      <c r="R1000" s="1375"/>
      <c r="S1000" s="1357"/>
      <c r="T1000" s="1357"/>
      <c r="U1000" s="1394">
        <v>1000</v>
      </c>
      <c r="V1000" s="1357"/>
    </row>
    <row r="1001" spans="1:22" ht="15.75" customHeight="1">
      <c r="A1001" s="1357" t="s">
        <v>704</v>
      </c>
      <c r="B1001" s="1559"/>
      <c r="C1001" s="1356">
        <f t="shared" si="224"/>
        <v>0</v>
      </c>
      <c r="D1001" s="1356">
        <f t="shared" si="224"/>
        <v>0</v>
      </c>
      <c r="E1001" s="1356">
        <f t="shared" si="224"/>
        <v>0</v>
      </c>
      <c r="F1001" s="1356">
        <f t="shared" si="224"/>
        <v>0</v>
      </c>
      <c r="G1001" s="1559"/>
      <c r="H1001" s="1356">
        <f t="shared" ref="H1001:K1001" si="227">SUM(H808)</f>
        <v>27744</v>
      </c>
      <c r="I1001" s="1356">
        <f t="shared" si="227"/>
        <v>27744</v>
      </c>
      <c r="J1001" s="1356">
        <f t="shared" si="227"/>
        <v>27744</v>
      </c>
      <c r="K1001" s="1356">
        <f t="shared" si="227"/>
        <v>31212</v>
      </c>
      <c r="L1001" s="1559"/>
      <c r="M1001" s="1356">
        <f t="shared" ref="M1001:P1001" si="228">SUM(M808)</f>
        <v>27744</v>
      </c>
      <c r="N1001" s="1356">
        <f t="shared" si="228"/>
        <v>27744</v>
      </c>
      <c r="O1001" s="1356">
        <f t="shared" si="228"/>
        <v>27744</v>
      </c>
      <c r="P1001" s="1356">
        <f t="shared" si="228"/>
        <v>31212</v>
      </c>
      <c r="R1001" s="1375"/>
      <c r="S1001" s="1357"/>
      <c r="T1001" s="1357"/>
      <c r="U1001" s="1394">
        <v>1001</v>
      </c>
      <c r="V1001" s="1357"/>
    </row>
    <row r="1002" spans="1:22" ht="15.75" customHeight="1">
      <c r="A1002" s="1375" t="s">
        <v>413</v>
      </c>
      <c r="B1002" s="1559"/>
      <c r="C1002" s="1356">
        <f>C985-SUM(C988:C999)</f>
        <v>1718</v>
      </c>
      <c r="D1002" s="1356">
        <f>D985-SUM(D988:D999)</f>
        <v>1403</v>
      </c>
      <c r="E1002" s="1356">
        <f>E985-SUM(E988:E999)</f>
        <v>-605</v>
      </c>
      <c r="F1002" s="1356">
        <f>F985-SUM(F988:F999)</f>
        <v>778</v>
      </c>
      <c r="G1002" s="1559"/>
      <c r="H1002" s="1356">
        <f>H985-SUM(H988:H999)</f>
        <v>-58963.233122109799</v>
      </c>
      <c r="I1002" s="1356">
        <f>I985-SUM(I988:I999)</f>
        <v>-58294.233122109799</v>
      </c>
      <c r="J1002" s="1356">
        <f>J985-SUM(J988:J999)</f>
        <v>-54843.933122109796</v>
      </c>
      <c r="K1002" s="1356">
        <f>K985-SUM(K988:K999)</f>
        <v>-24608.637262373522</v>
      </c>
      <c r="L1002" s="1559"/>
      <c r="M1002" s="1356">
        <f>M985-SUM(M988:M999)</f>
        <v>-41481.233122109799</v>
      </c>
      <c r="N1002" s="1356">
        <f>N985-SUM(N988:N999)</f>
        <v>-40312.233122109799</v>
      </c>
      <c r="O1002" s="1356">
        <f>O985-SUM(O988:O999)</f>
        <v>-30607.9331221098</v>
      </c>
      <c r="P1002" s="1356">
        <f>P985-SUM(P988:P999)</f>
        <v>-20194.63726237353</v>
      </c>
      <c r="R1002" s="1375"/>
      <c r="S1002" s="1357"/>
      <c r="T1002" s="1357"/>
      <c r="U1002" s="1394">
        <v>1002</v>
      </c>
      <c r="V1002" s="1357"/>
    </row>
    <row r="1003" spans="1:22" ht="15.75" customHeight="1">
      <c r="A1003" s="1375"/>
      <c r="B1003" s="1559"/>
      <c r="C1003" s="1559"/>
      <c r="D1003" s="1559"/>
      <c r="E1003" s="1559"/>
      <c r="F1003" s="1559"/>
      <c r="G1003" s="1559"/>
      <c r="H1003" s="1592"/>
      <c r="I1003" s="1592"/>
      <c r="J1003" s="1592"/>
      <c r="K1003" s="1592"/>
      <c r="L1003" s="1559"/>
      <c r="M1003" s="1559"/>
      <c r="N1003" s="1559"/>
      <c r="O1003" s="1559"/>
      <c r="P1003" s="1559"/>
      <c r="R1003" s="1375"/>
      <c r="S1003" s="1357"/>
      <c r="T1003" s="1357"/>
      <c r="U1003" s="1394">
        <v>1003</v>
      </c>
      <c r="V1003" s="1357"/>
    </row>
    <row r="1004" spans="1:22" ht="15.75" customHeight="1">
      <c r="A1004" s="1375" t="s">
        <v>74</v>
      </c>
      <c r="B1004" s="1559"/>
      <c r="C1004" s="1451">
        <f>SUM(C988:C1003)</f>
        <v>22020</v>
      </c>
      <c r="D1004" s="1451">
        <f>SUM(D988:D1002)</f>
        <v>24465</v>
      </c>
      <c r="E1004" s="1451">
        <f>SUM(E988:E1003)</f>
        <v>34453</v>
      </c>
      <c r="F1004" s="1451">
        <f>SUM(F988:F1003)</f>
        <v>57746</v>
      </c>
      <c r="G1004" s="1559"/>
      <c r="H1004" s="1356">
        <f>SUM(H988:H1003)</f>
        <v>32678.666666666672</v>
      </c>
      <c r="I1004" s="1356">
        <f>SUM(I988:I1003)</f>
        <v>34287.666666666672</v>
      </c>
      <c r="J1004" s="1356">
        <f>SUM(J988:J1003)</f>
        <v>41507.966666666674</v>
      </c>
      <c r="K1004" s="1356">
        <f>SUM(K988:K1003)</f>
        <v>86848.5</v>
      </c>
      <c r="L1004" s="1559"/>
      <c r="M1004" s="1451">
        <f>SUM(M988:M1003)</f>
        <v>32678.666666666672</v>
      </c>
      <c r="N1004" s="1451">
        <f>SUM(N988:N1003)</f>
        <v>31992.666666666672</v>
      </c>
      <c r="O1004" s="1451">
        <f>SUM(O988:O1003)</f>
        <v>33705.966666666674</v>
      </c>
      <c r="P1004" s="1451">
        <f>SUM(P988:P1003)</f>
        <v>37414.5</v>
      </c>
      <c r="Q1004" s="1375"/>
      <c r="R1004" s="1375"/>
      <c r="S1004" s="1357"/>
      <c r="T1004" s="1357"/>
      <c r="U1004" s="1394">
        <v>1004</v>
      </c>
      <c r="V1004" s="1357"/>
    </row>
    <row r="1005" spans="1:22" ht="15.75" customHeight="1">
      <c r="A1005" s="1378"/>
      <c r="B1005" s="1593"/>
      <c r="C1005" s="1593"/>
      <c r="D1005" s="1593"/>
      <c r="E1005" s="1593"/>
      <c r="F1005" s="1593"/>
      <c r="G1005" s="1593"/>
      <c r="H1005" s="1594"/>
      <c r="I1005" s="1594"/>
      <c r="J1005" s="1594"/>
      <c r="K1005" s="1594"/>
      <c r="L1005" s="1593"/>
      <c r="M1005" s="1593"/>
      <c r="N1005" s="1593"/>
      <c r="O1005" s="1593"/>
      <c r="P1005" s="1593"/>
      <c r="Q1005" s="1375"/>
      <c r="R1005" s="1375"/>
      <c r="S1005" s="1357"/>
      <c r="T1005" s="1357"/>
      <c r="U1005" s="1394">
        <v>1005</v>
      </c>
      <c r="V1005" s="1357"/>
    </row>
    <row r="1006" spans="1:22" ht="15.75" customHeight="1">
      <c r="A1006" s="1375"/>
      <c r="B1006" s="1593"/>
      <c r="C1006" s="1593"/>
      <c r="D1006" s="1593"/>
      <c r="E1006" s="1593"/>
      <c r="F1006" s="1593"/>
      <c r="G1006" s="1593"/>
      <c r="H1006" s="1594"/>
      <c r="I1006" s="1594"/>
      <c r="J1006" s="1594"/>
      <c r="K1006" s="1594"/>
      <c r="L1006" s="1593"/>
      <c r="M1006" s="1593"/>
      <c r="N1006" s="1593"/>
      <c r="O1006" s="1593"/>
      <c r="P1006" s="1593"/>
      <c r="Q1006" s="1375"/>
      <c r="R1006" s="1375"/>
      <c r="S1006" s="1357"/>
      <c r="T1006" s="1357"/>
      <c r="U1006" s="1394">
        <v>1006</v>
      </c>
      <c r="V1006" s="1357"/>
    </row>
    <row r="1007" spans="1:22" ht="15.75" customHeight="1">
      <c r="A1007" s="1378"/>
      <c r="B1007" s="1593"/>
      <c r="C1007" s="1593"/>
      <c r="D1007" s="1593"/>
      <c r="E1007" s="1593"/>
      <c r="F1007" s="1593"/>
      <c r="G1007" s="1593"/>
      <c r="H1007" s="1594"/>
      <c r="I1007" s="1594"/>
      <c r="J1007" s="1594"/>
      <c r="K1007" s="1594"/>
      <c r="L1007" s="1593"/>
      <c r="M1007" s="1593"/>
      <c r="N1007" s="1593"/>
      <c r="O1007" s="1593"/>
      <c r="P1007" s="1593"/>
      <c r="Q1007" s="1375"/>
      <c r="R1007" s="1375"/>
      <c r="S1007" s="1357"/>
      <c r="T1007" s="1357"/>
      <c r="U1007" s="1394">
        <v>1007</v>
      </c>
      <c r="V1007" s="1357"/>
    </row>
    <row r="1008" spans="1:22" ht="15.75" customHeight="1">
      <c r="A1008" s="1378"/>
      <c r="B1008" s="1593"/>
      <c r="C1008" s="1593"/>
      <c r="D1008" s="1593"/>
      <c r="E1008" s="1593"/>
      <c r="F1008" s="1593"/>
      <c r="G1008" s="1593"/>
      <c r="H1008" s="1594"/>
      <c r="I1008" s="1594"/>
      <c r="J1008" s="1594"/>
      <c r="K1008" s="1594"/>
      <c r="L1008" s="1593"/>
      <c r="M1008" s="1593"/>
      <c r="N1008" s="1593"/>
      <c r="O1008" s="1593"/>
      <c r="P1008" s="1593"/>
      <c r="Q1008" s="1375"/>
      <c r="R1008" s="1375"/>
      <c r="S1008" s="1357"/>
      <c r="T1008" s="1357"/>
      <c r="U1008" s="1394">
        <v>1008</v>
      </c>
      <c r="V1008" s="1357"/>
    </row>
    <row r="1009" spans="1:22" ht="15.75" customHeight="1">
      <c r="A1009" s="1575" t="s">
        <v>414</v>
      </c>
      <c r="B1009" s="1593"/>
      <c r="C1009" s="1593"/>
      <c r="D1009" s="1593"/>
      <c r="E1009" s="1593"/>
      <c r="F1009" s="1593"/>
      <c r="G1009" s="1593"/>
      <c r="H1009" s="1594"/>
      <c r="I1009" s="1594"/>
      <c r="J1009" s="1594"/>
      <c r="K1009" s="1594"/>
      <c r="L1009" s="1593"/>
      <c r="M1009" s="1593"/>
      <c r="N1009" s="1593"/>
      <c r="O1009" s="1593"/>
      <c r="P1009" s="1593"/>
      <c r="Q1009" s="1375"/>
      <c r="R1009" s="1375"/>
      <c r="S1009" s="1357"/>
      <c r="T1009" s="1357"/>
      <c r="U1009" s="1394">
        <v>1009</v>
      </c>
      <c r="V1009" s="1357"/>
    </row>
    <row r="1010" spans="1:22" ht="15.75" customHeight="1">
      <c r="A1010" s="1575" t="s">
        <v>415</v>
      </c>
      <c r="B1010" s="1595"/>
      <c r="C1010" s="1593"/>
      <c r="D1010" s="1593"/>
      <c r="E1010" s="1593"/>
      <c r="F1010" s="1593"/>
      <c r="G1010" s="1593"/>
      <c r="H1010" s="1594"/>
      <c r="I1010" s="1594"/>
      <c r="J1010" s="1594"/>
      <c r="K1010" s="1594"/>
      <c r="L1010" s="1593"/>
      <c r="M1010" s="1593"/>
      <c r="N1010" s="1593"/>
      <c r="O1010" s="1593"/>
      <c r="P1010" s="1593"/>
      <c r="Q1010" s="1375"/>
      <c r="R1010" s="1375"/>
      <c r="S1010" s="1357"/>
      <c r="T1010" s="1357"/>
      <c r="U1010" s="1394">
        <v>1010</v>
      </c>
      <c r="V1010" s="1357"/>
    </row>
    <row r="1011" spans="1:22" ht="15.75" customHeight="1">
      <c r="A1011" s="1498" t="s">
        <v>416</v>
      </c>
      <c r="B1011" s="1595"/>
      <c r="C1011" s="1466">
        <f>SUM(C45)</f>
        <v>0.5</v>
      </c>
      <c r="D1011" s="1466">
        <f>SUM(D45)</f>
        <v>0.3</v>
      </c>
      <c r="E1011" s="1466">
        <f>SUM(E45)</f>
        <v>0.15</v>
      </c>
      <c r="F1011" s="1466">
        <f>SUM(F45)</f>
        <v>0.05</v>
      </c>
      <c r="G1011" s="1593"/>
      <c r="H1011" s="1594"/>
      <c r="I1011" s="1594"/>
      <c r="J1011" s="1594"/>
      <c r="K1011" s="1594"/>
      <c r="L1011" s="1593"/>
      <c r="M1011" s="1593"/>
      <c r="N1011" s="1593"/>
      <c r="O1011" s="1593"/>
      <c r="P1011" s="1593"/>
      <c r="Q1011" s="1375"/>
      <c r="R1011" s="1375"/>
      <c r="S1011" s="1357"/>
      <c r="T1011" s="1357"/>
      <c r="U1011" s="1394">
        <v>1011</v>
      </c>
      <c r="V1011" s="1357"/>
    </row>
    <row r="1012" spans="1:22" ht="15.75" customHeight="1">
      <c r="A1012" s="1498" t="s">
        <v>417</v>
      </c>
      <c r="B1012" s="1595"/>
      <c r="C1012" s="1456">
        <f>SUM(C965:C967)</f>
        <v>0</v>
      </c>
      <c r="D1012" s="1456">
        <f>SUM(D965:D967)</f>
        <v>1109</v>
      </c>
      <c r="E1012" s="1456">
        <f>SUM(E965:E967)</f>
        <v>752</v>
      </c>
      <c r="F1012" s="1456">
        <f>SUM(F965:F967)</f>
        <v>0</v>
      </c>
      <c r="G1012" s="1593"/>
      <c r="H1012" s="1594"/>
      <c r="I1012" s="1594"/>
      <c r="J1012" s="1594"/>
      <c r="K1012" s="1594"/>
      <c r="L1012" s="1593"/>
      <c r="M1012" s="1593"/>
      <c r="N1012" s="1593"/>
      <c r="O1012" s="1593"/>
      <c r="P1012" s="1593"/>
      <c r="Q1012" s="1375"/>
      <c r="R1012" s="1375"/>
      <c r="S1012" s="1357"/>
      <c r="T1012" s="1357"/>
      <c r="U1012" s="1394">
        <v>1012</v>
      </c>
      <c r="V1012" s="1357"/>
    </row>
    <row r="1013" spans="1:22" ht="15.75" customHeight="1">
      <c r="A1013" s="1498" t="s">
        <v>418</v>
      </c>
      <c r="B1013" s="1595"/>
      <c r="C1013" s="1456">
        <f>C1011*C1012*100</f>
        <v>0</v>
      </c>
      <c r="D1013" s="1456">
        <f>D1011*D1012*100</f>
        <v>33270</v>
      </c>
      <c r="E1013" s="1456">
        <f>E1011*E1012*100</f>
        <v>11280</v>
      </c>
      <c r="F1013" s="1456">
        <f>F1011*F1012*100</f>
        <v>0</v>
      </c>
      <c r="G1013" s="1593"/>
      <c r="H1013" s="1594"/>
      <c r="I1013" s="1594"/>
      <c r="J1013" s="1594"/>
      <c r="K1013" s="1594"/>
      <c r="L1013" s="1593"/>
      <c r="M1013" s="1593"/>
      <c r="N1013" s="1593"/>
      <c r="O1013" s="1593"/>
      <c r="P1013" s="1593"/>
      <c r="Q1013" s="1375"/>
      <c r="R1013" s="1375"/>
      <c r="S1013" s="1357"/>
      <c r="T1013" s="1357"/>
      <c r="U1013" s="1394">
        <v>1013</v>
      </c>
      <c r="V1013" s="1357"/>
    </row>
    <row r="1014" spans="1:22" ht="15.75" customHeight="1">
      <c r="A1014" s="1498" t="s">
        <v>419</v>
      </c>
      <c r="B1014" s="1595"/>
      <c r="C1014" s="1456">
        <f>SUM(C1013:F1013)</f>
        <v>44550</v>
      </c>
      <c r="D1014" s="1596"/>
      <c r="E1014" s="1596"/>
      <c r="F1014" s="1596"/>
      <c r="G1014" s="1593"/>
      <c r="H1014" s="1594"/>
      <c r="I1014" s="1594"/>
      <c r="J1014" s="1594"/>
      <c r="K1014" s="1594"/>
      <c r="L1014" s="1593"/>
      <c r="M1014" s="1593"/>
      <c r="N1014" s="1593"/>
      <c r="O1014" s="1593"/>
      <c r="P1014" s="1593"/>
      <c r="Q1014" s="1375"/>
      <c r="R1014" s="1375"/>
      <c r="S1014" s="1357"/>
      <c r="T1014" s="1357"/>
      <c r="U1014" s="1394">
        <v>1014</v>
      </c>
      <c r="V1014" s="1357"/>
    </row>
    <row r="1015" spans="1:22" ht="15.75" customHeight="1">
      <c r="A1015" s="1498" t="s">
        <v>420</v>
      </c>
      <c r="B1015" s="1595"/>
      <c r="C1015" s="1456">
        <f>SUM(C795)</f>
        <v>0</v>
      </c>
      <c r="D1015" s="1456">
        <f>SUM(D795)</f>
        <v>0</v>
      </c>
      <c r="E1015" s="1456">
        <f>SUM(E795)</f>
        <v>1300</v>
      </c>
      <c r="F1015" s="1456">
        <f>SUM(F795)</f>
        <v>5000</v>
      </c>
      <c r="G1015" s="1593"/>
      <c r="H1015" s="1594"/>
      <c r="I1015" s="1594"/>
      <c r="J1015" s="1594"/>
      <c r="K1015" s="1594"/>
      <c r="L1015" s="1593"/>
      <c r="M1015" s="1593"/>
      <c r="N1015" s="1593"/>
      <c r="O1015" s="1593"/>
      <c r="P1015" s="1593"/>
      <c r="Q1015" s="1375"/>
      <c r="R1015" s="1375"/>
      <c r="S1015" s="1357"/>
      <c r="T1015" s="1357"/>
      <c r="U1015" s="1394">
        <v>1015</v>
      </c>
      <c r="V1015" s="1357"/>
    </row>
    <row r="1016" spans="1:22" ht="15.75" customHeight="1">
      <c r="A1016" s="1498" t="s">
        <v>421</v>
      </c>
      <c r="B1016" s="1595"/>
      <c r="C1016" s="1456">
        <f>C1011*C1015*100</f>
        <v>0</v>
      </c>
      <c r="D1016" s="1456">
        <f>D1011*D1015*100</f>
        <v>0</v>
      </c>
      <c r="E1016" s="1456">
        <f>E1011*E1015*100</f>
        <v>19500</v>
      </c>
      <c r="F1016" s="1456">
        <f>F1011*F1015*100</f>
        <v>25000</v>
      </c>
      <c r="G1016" s="1593"/>
      <c r="H1016" s="1594"/>
      <c r="I1016" s="1594"/>
      <c r="J1016" s="1594"/>
      <c r="K1016" s="1594"/>
      <c r="L1016" s="1593"/>
      <c r="M1016" s="1593"/>
      <c r="N1016" s="1593"/>
      <c r="O1016" s="1593"/>
      <c r="P1016" s="1593"/>
      <c r="Q1016" s="1375"/>
      <c r="R1016" s="1375"/>
      <c r="S1016" s="1357"/>
      <c r="T1016" s="1357"/>
      <c r="U1016" s="1394">
        <v>1016</v>
      </c>
      <c r="V1016" s="1357"/>
    </row>
    <row r="1017" spans="1:22" ht="15.75" customHeight="1">
      <c r="A1017" s="1498" t="s">
        <v>422</v>
      </c>
      <c r="B1017" s="1595"/>
      <c r="C1017" s="1456">
        <f>SUM(C1016:F1016)</f>
        <v>44500</v>
      </c>
      <c r="D1017" s="1596"/>
      <c r="E1017" s="1596"/>
      <c r="F1017" s="1596"/>
      <c r="G1017" s="1593"/>
      <c r="H1017" s="1594"/>
      <c r="I1017" s="1594"/>
      <c r="J1017" s="1594"/>
      <c r="K1017" s="1594"/>
      <c r="L1017" s="1593"/>
      <c r="M1017" s="1593"/>
      <c r="N1017" s="1593"/>
      <c r="O1017" s="1593"/>
      <c r="P1017" s="1593"/>
      <c r="Q1017" s="1375"/>
      <c r="R1017" s="1375"/>
      <c r="S1017" s="1357"/>
      <c r="T1017" s="1357"/>
      <c r="U1017" s="1394">
        <v>1017</v>
      </c>
      <c r="V1017" s="1357"/>
    </row>
    <row r="1018" spans="1:22" ht="15.75" customHeight="1">
      <c r="A1018" s="1378"/>
      <c r="B1018" s="1595"/>
      <c r="C1018" s="1593"/>
      <c r="D1018" s="1593"/>
      <c r="E1018" s="1593"/>
      <c r="F1018" s="1593"/>
      <c r="G1018" s="1593"/>
      <c r="H1018" s="1594"/>
      <c r="I1018" s="1594"/>
      <c r="J1018" s="1594"/>
      <c r="K1018" s="1594"/>
      <c r="L1018" s="1593"/>
      <c r="M1018" s="1593"/>
      <c r="N1018" s="1593"/>
      <c r="O1018" s="1593"/>
      <c r="P1018" s="1593"/>
      <c r="Q1018" s="1375"/>
      <c r="R1018" s="1375"/>
      <c r="S1018" s="1357"/>
      <c r="T1018" s="1357"/>
      <c r="U1018" s="1394">
        <v>1018</v>
      </c>
      <c r="V1018" s="1357"/>
    </row>
    <row r="1019" spans="1:22" ht="15.75" customHeight="1">
      <c r="A1019" s="1575" t="s">
        <v>423</v>
      </c>
      <c r="B1019" s="1595"/>
      <c r="C1019" s="1593"/>
      <c r="D1019" s="1593"/>
      <c r="E1019" s="1593"/>
      <c r="F1019" s="1593"/>
      <c r="G1019" s="1593"/>
      <c r="H1019" s="1594"/>
      <c r="I1019" s="1594"/>
      <c r="J1019" s="1594"/>
      <c r="K1019" s="1594"/>
      <c r="L1019" s="1593"/>
      <c r="M1019" s="1593"/>
      <c r="N1019" s="1593"/>
      <c r="O1019" s="1593"/>
      <c r="P1019" s="1593"/>
      <c r="Q1019" s="1375"/>
      <c r="R1019" s="1375"/>
      <c r="S1019" s="1357"/>
      <c r="T1019" s="1357"/>
      <c r="U1019" s="1394">
        <v>1019</v>
      </c>
      <c r="V1019" s="1357"/>
    </row>
    <row r="1020" spans="1:22" ht="15.75" customHeight="1">
      <c r="A1020" s="1498" t="s">
        <v>525</v>
      </c>
      <c r="B1020" s="1595"/>
      <c r="C1020" s="1597">
        <f>C11</f>
        <v>0.19606839196762141</v>
      </c>
      <c r="D1020" s="1597">
        <f>D11</f>
        <v>0.14383883094645081</v>
      </c>
      <c r="E1020" s="1597">
        <f>E11</f>
        <v>0.23988982331880446</v>
      </c>
      <c r="F1020" s="1597">
        <f>F11</f>
        <v>0.26859843143766426</v>
      </c>
      <c r="G1020" s="1593"/>
      <c r="H1020" s="1594"/>
      <c r="I1020" s="1594"/>
      <c r="J1020" s="1594"/>
      <c r="K1020" s="1594"/>
      <c r="L1020" s="1593"/>
      <c r="M1020" s="1593"/>
      <c r="N1020" s="1593"/>
      <c r="O1020" s="1593"/>
      <c r="P1020" s="1593"/>
      <c r="Q1020" s="1375"/>
      <c r="R1020" s="1375"/>
      <c r="S1020" s="1357"/>
      <c r="T1020" s="1357"/>
      <c r="U1020" s="1394">
        <v>1020</v>
      </c>
      <c r="V1020" s="1357"/>
    </row>
    <row r="1021" spans="1:22" ht="15.75" customHeight="1">
      <c r="A1021" s="1498" t="s">
        <v>425</v>
      </c>
      <c r="B1021" s="1595"/>
      <c r="C1021" s="1598">
        <f>C21</f>
        <v>0</v>
      </c>
      <c r="D1021" s="1598">
        <f>D21</f>
        <v>836</v>
      </c>
      <c r="E1021" s="1598">
        <f>E21</f>
        <v>3621</v>
      </c>
      <c r="F1021" s="1598">
        <f>F21</f>
        <v>5774</v>
      </c>
      <c r="G1021" s="1593"/>
      <c r="H1021" s="1594"/>
      <c r="I1021" s="1594"/>
      <c r="J1021" s="1594"/>
      <c r="K1021" s="1594"/>
      <c r="L1021" s="1593"/>
      <c r="M1021" s="1593"/>
      <c r="N1021" s="1593"/>
      <c r="O1021" s="1593"/>
      <c r="P1021" s="1593"/>
      <c r="Q1021" s="1375"/>
      <c r="R1021" s="1375"/>
      <c r="S1021" s="1357"/>
      <c r="T1021" s="1357"/>
      <c r="U1021" s="1394">
        <v>1021</v>
      </c>
      <c r="V1021" s="1357"/>
    </row>
    <row r="1022" spans="1:22" ht="15.75" customHeight="1">
      <c r="A1022" s="1599" t="s">
        <v>681</v>
      </c>
      <c r="B1022" s="1595"/>
      <c r="C1022" s="1456">
        <f>IF(C46="",0,$D1022*C46/$D46)</f>
        <v>6781.6399555139615</v>
      </c>
      <c r="D1022" s="1456">
        <f>IF(OR(D454=0,D454="",D450=0,D450=""),0,365*$P$1*D456*D46/D454/D450)</f>
        <v>6781.6399555139615</v>
      </c>
      <c r="E1022" s="1456">
        <f>IF(E46="",0,$D1022*E46/$D46)</f>
        <v>6781.6399555139615</v>
      </c>
      <c r="F1022" s="1456">
        <f>IF(F46="",0,$D1022*F46/$D46)</f>
        <v>7629.3449499532071</v>
      </c>
      <c r="G1022" s="1593"/>
      <c r="H1022" s="1594"/>
      <c r="I1022" s="1594"/>
      <c r="J1022" s="1594"/>
      <c r="K1022" s="1594"/>
      <c r="L1022" s="1593"/>
      <c r="M1022" s="1593"/>
      <c r="N1022" s="1593"/>
      <c r="O1022" s="1593"/>
      <c r="P1022" s="1593"/>
      <c r="Q1022" s="1375"/>
      <c r="R1022" s="1375"/>
      <c r="S1022" s="1357"/>
      <c r="T1022" s="1357"/>
      <c r="U1022" s="1394">
        <v>1022</v>
      </c>
      <c r="V1022" s="1357"/>
    </row>
    <row r="1023" spans="1:22" ht="15.75" customHeight="1">
      <c r="A1023" s="1600" t="s">
        <v>526</v>
      </c>
      <c r="B1023" s="1595"/>
      <c r="C1023" s="1601">
        <f>C1021/C1022</f>
        <v>0</v>
      </c>
      <c r="D1023" s="1601">
        <f>D1021/D1022</f>
        <v>0.12327401712328769</v>
      </c>
      <c r="E1023" s="1601">
        <f>E1021/E1022</f>
        <v>0.53394164593711091</v>
      </c>
      <c r="F1023" s="1601">
        <f>F1021/F1022</f>
        <v>0.75681464632627649</v>
      </c>
      <c r="G1023" s="1593"/>
      <c r="H1023" s="1594"/>
      <c r="I1023" s="1594"/>
      <c r="J1023" s="1594"/>
      <c r="K1023" s="1594"/>
      <c r="L1023" s="1593"/>
      <c r="M1023" s="1593"/>
      <c r="N1023" s="1593"/>
      <c r="O1023" s="1593"/>
      <c r="P1023" s="1593"/>
      <c r="Q1023" s="1375"/>
      <c r="R1023" s="1375"/>
      <c r="S1023" s="1357"/>
      <c r="T1023" s="1357"/>
      <c r="U1023" s="1394">
        <v>1023</v>
      </c>
      <c r="V1023" s="1357"/>
    </row>
    <row r="1024" spans="1:22" ht="15.75" customHeight="1">
      <c r="A1024" s="1600" t="s">
        <v>428</v>
      </c>
      <c r="B1024" s="1595"/>
      <c r="C1024" s="1601">
        <f>C1020+C1023</f>
        <v>0.19606839196762141</v>
      </c>
      <c r="D1024" s="1601">
        <f>D1020+D1023</f>
        <v>0.26711284806973851</v>
      </c>
      <c r="E1024" s="1601">
        <f>E1020+E1023</f>
        <v>0.77383146925591539</v>
      </c>
      <c r="F1024" s="1601">
        <f>F1020+F1023</f>
        <v>1.0254130777639408</v>
      </c>
      <c r="G1024" s="1593"/>
      <c r="H1024" s="1594"/>
      <c r="I1024" s="1594"/>
      <c r="J1024" s="1594"/>
      <c r="K1024" s="1594"/>
      <c r="L1024" s="1593"/>
      <c r="M1024" s="1593"/>
      <c r="N1024" s="1593"/>
      <c r="O1024" s="1593"/>
      <c r="P1024" s="1593"/>
      <c r="Q1024" s="1375"/>
      <c r="R1024" s="1375"/>
      <c r="S1024" s="1357"/>
      <c r="T1024" s="1357"/>
      <c r="U1024" s="1394">
        <v>1024</v>
      </c>
      <c r="V1024" s="1357"/>
    </row>
    <row r="1025" spans="1:22" ht="15.75" customHeight="1">
      <c r="A1025" s="1600" t="s">
        <v>429</v>
      </c>
      <c r="B1025" s="1595"/>
      <c r="C1025" s="1601">
        <f>C1024*C46/6</f>
        <v>0.26142452262349519</v>
      </c>
      <c r="D1025" s="1601">
        <f>D1024*D46/6</f>
        <v>0.35615046409298468</v>
      </c>
      <c r="E1025" s="1601">
        <f>E1024*E46/6</f>
        <v>1.0317752923412205</v>
      </c>
      <c r="F1025" s="1601">
        <f>F1024*F46/6</f>
        <v>1.5381196166459112</v>
      </c>
      <c r="G1025" s="1593"/>
      <c r="H1025" s="1594"/>
      <c r="I1025" s="1594"/>
      <c r="J1025" s="1594"/>
      <c r="K1025" s="1594"/>
      <c r="L1025" s="1593"/>
      <c r="M1025" s="1593"/>
      <c r="N1025" s="1593"/>
      <c r="O1025" s="1593"/>
      <c r="P1025" s="1593"/>
      <c r="Q1025" s="1375"/>
      <c r="R1025" s="1375"/>
      <c r="S1025" s="1357"/>
      <c r="T1025" s="1357"/>
      <c r="U1025" s="1394">
        <v>1025</v>
      </c>
      <c r="V1025" s="1357"/>
    </row>
    <row r="1026" spans="1:22" ht="15.75" customHeight="1">
      <c r="A1026" s="1600" t="s">
        <v>430</v>
      </c>
      <c r="B1026" s="1595"/>
      <c r="C1026" s="1601">
        <f>C1025/SUM(C48)</f>
        <v>0.26142452262349519</v>
      </c>
      <c r="D1026" s="1601">
        <f>D1025/SUM(D48)</f>
        <v>0.44518808011623084</v>
      </c>
      <c r="E1026" s="1601">
        <f>E1025/SUM(E48)</f>
        <v>1.0317752923412205</v>
      </c>
      <c r="F1026" s="1601">
        <f>F1025/SUM(F48)</f>
        <v>1.5381196166459112</v>
      </c>
      <c r="G1026" s="1593"/>
      <c r="H1026" s="1594"/>
      <c r="I1026" s="1594"/>
      <c r="J1026" s="1594"/>
      <c r="K1026" s="1594"/>
      <c r="L1026" s="1593"/>
      <c r="M1026" s="1593"/>
      <c r="N1026" s="1593"/>
      <c r="O1026" s="1593"/>
      <c r="P1026" s="1593"/>
      <c r="Q1026" s="1375"/>
      <c r="R1026" s="1375"/>
      <c r="S1026" s="1357"/>
      <c r="T1026" s="1357"/>
      <c r="U1026" s="1394">
        <v>1026</v>
      </c>
      <c r="V1026" s="1357"/>
    </row>
    <row r="1027" spans="1:22" ht="15.75" customHeight="1">
      <c r="A1027" s="1378"/>
      <c r="B1027" s="1595"/>
      <c r="C1027" s="1593"/>
      <c r="D1027" s="1593"/>
      <c r="E1027" s="1593"/>
      <c r="F1027" s="1593"/>
      <c r="G1027" s="1593"/>
      <c r="H1027" s="1594"/>
      <c r="I1027" s="1594"/>
      <c r="J1027" s="1594"/>
      <c r="K1027" s="1594"/>
      <c r="L1027" s="1593"/>
      <c r="M1027" s="1593"/>
      <c r="N1027" s="1593"/>
      <c r="O1027" s="1593"/>
      <c r="P1027" s="1593"/>
      <c r="Q1027" s="1375"/>
      <c r="R1027" s="1375"/>
      <c r="S1027" s="1357"/>
      <c r="T1027" s="1357"/>
      <c r="U1027" s="1394">
        <v>1027</v>
      </c>
      <c r="V1027" s="1357"/>
    </row>
    <row r="1028" spans="1:22" ht="15.75" customHeight="1">
      <c r="A1028" s="1375"/>
      <c r="B1028" s="1593"/>
      <c r="C1028" s="1593"/>
      <c r="D1028" s="1593"/>
      <c r="E1028" s="1593"/>
      <c r="F1028" s="1593"/>
      <c r="G1028" s="1593"/>
      <c r="H1028" s="1594"/>
      <c r="I1028" s="1594"/>
      <c r="J1028" s="1594"/>
      <c r="K1028" s="1594"/>
      <c r="L1028" s="1593"/>
      <c r="M1028" s="1593"/>
      <c r="N1028" s="1593"/>
      <c r="O1028" s="1593"/>
      <c r="P1028" s="1593"/>
      <c r="Q1028" s="1375"/>
      <c r="R1028" s="1375"/>
      <c r="S1028" s="1357"/>
      <c r="T1028" s="1357"/>
      <c r="U1028" s="1394">
        <v>1028</v>
      </c>
      <c r="V1028" s="1357"/>
    </row>
    <row r="1029" spans="1:22" ht="15.75" customHeight="1">
      <c r="A1029" s="1496" t="s">
        <v>527</v>
      </c>
      <c r="B1029" s="1595"/>
      <c r="C1029" s="1593"/>
      <c r="D1029" s="1593"/>
      <c r="E1029" s="1593"/>
      <c r="F1029" s="1593"/>
      <c r="G1029" s="1593"/>
      <c r="H1029" s="1594"/>
      <c r="I1029" s="1594"/>
      <c r="J1029" s="1594"/>
      <c r="K1029" s="1594"/>
      <c r="L1029" s="1593"/>
      <c r="M1029" s="1593"/>
      <c r="N1029" s="1593"/>
      <c r="O1029" s="1593"/>
      <c r="P1029" s="1593"/>
      <c r="Q1029" s="1602"/>
      <c r="R1029" s="1602"/>
      <c r="S1029" s="1357"/>
      <c r="T1029" s="1357"/>
      <c r="U1029" s="1394">
        <v>1029</v>
      </c>
      <c r="V1029" s="1357"/>
    </row>
    <row r="1030" spans="1:22" ht="15.75" customHeight="1">
      <c r="A1030" s="1603" t="s">
        <v>17</v>
      </c>
      <c r="B1030" s="1595"/>
      <c r="C1030" s="1604" t="str">
        <f>C1110</f>
        <v>VP</v>
      </c>
      <c r="D1030" s="1593"/>
      <c r="E1030" s="1604" t="str">
        <f>D1110</f>
        <v>P</v>
      </c>
      <c r="F1030" s="1593"/>
      <c r="G1030" s="1593"/>
      <c r="H1030" s="1605" t="str">
        <f>E1110</f>
        <v>M</v>
      </c>
      <c r="I1030" s="1594"/>
      <c r="J1030" s="1605" t="str">
        <f>F1110</f>
        <v>BO</v>
      </c>
      <c r="K1030" s="1594"/>
      <c r="L1030" s="1593"/>
      <c r="M1030" s="1594"/>
      <c r="N1030" s="1594"/>
      <c r="O1030" s="1594"/>
      <c r="P1030" s="1594"/>
      <c r="Q1030" s="1602"/>
      <c r="R1030" s="1602"/>
      <c r="S1030" s="1357"/>
      <c r="T1030" s="1357"/>
      <c r="U1030" s="1394">
        <v>1030</v>
      </c>
      <c r="V1030" s="1357"/>
    </row>
    <row r="1031" spans="1:22" ht="15.75" customHeight="1">
      <c r="A1031" s="1498" t="s">
        <v>696</v>
      </c>
      <c r="B1031" s="1595"/>
      <c r="C1031" s="1456">
        <f>SUM(C989)+SUM(M989)</f>
        <v>13579.12894961681</v>
      </c>
      <c r="D1031" s="1593"/>
      <c r="E1031" s="1456">
        <f>SUM(D989)+SUM(N989)</f>
        <v>13579.12894961681</v>
      </c>
      <c r="F1031" s="1593"/>
      <c r="G1031" s="1593"/>
      <c r="H1031" s="1456">
        <f>SUM(E989)+SUM(O989)</f>
        <v>13579.12894961681</v>
      </c>
      <c r="I1031" s="1594"/>
      <c r="J1031" s="1456">
        <f>SUM(F989)+SUM(P989)</f>
        <v>15276.520068318912</v>
      </c>
      <c r="K1031" s="1594"/>
      <c r="L1031" s="1593"/>
      <c r="M1031" s="1594"/>
      <c r="N1031" s="1594"/>
      <c r="O1031" s="1594"/>
      <c r="P1031" s="1594"/>
      <c r="Q1031" s="1602"/>
      <c r="R1031" s="1602"/>
      <c r="S1031" s="1357"/>
      <c r="T1031" s="1357"/>
      <c r="U1031" s="1394">
        <v>1031</v>
      </c>
      <c r="V1031" s="1357"/>
    </row>
    <row r="1032" spans="1:22" ht="15.75" customHeight="1">
      <c r="A1032" s="1498" t="s">
        <v>697</v>
      </c>
      <c r="B1032" s="1595"/>
      <c r="C1032" s="1456">
        <f>SUMIF($Q$772:$Q$776,"lbpl",H$772:H$776)+SUMIF($Q$781:$Q$785,"lbpl",H$781:H$785)+SUMIF($Q$790:$Q$810,"lbpl",H$790:H$810)</f>
        <v>13978.666666666668</v>
      </c>
      <c r="D1032" s="1593"/>
      <c r="E1032" s="1456">
        <f>SUMIF($Q$772:$Q$776,"lbpl",I$772:I$776)+SUMIF($Q$781:$Q$785,"lbpl",I$781:I$785)+SUMIF($Q$790:$Q$810,"lbpl",I$790:I$810)</f>
        <v>13978.666666666668</v>
      </c>
      <c r="F1032" s="1593"/>
      <c r="G1032" s="1593"/>
      <c r="H1032" s="1456">
        <f>SUMIF($Q$772:$Q$776,"lbpl",J$772:J$776)+SUMIF($Q$781:$Q$785,"lbpl",J$781:J$785)+SUMIF($Q$790:$Q$810,"lbpl",J$790:J$810)</f>
        <v>13978.666666666668</v>
      </c>
      <c r="I1032" s="1594"/>
      <c r="J1032" s="1456">
        <f>SUMIF($Q$772:$Q$776,"lbpl",K$772:K$776)+SUMIF($Q$781:$Q$785,"lbpl",K$781:K$785)+SUMIF($Q$790:$Q$810,"lbpl",K$790:K$810)</f>
        <v>15726.000000000002</v>
      </c>
      <c r="K1032" s="1594"/>
      <c r="L1032" s="1593"/>
      <c r="M1032" s="1594"/>
      <c r="N1032" s="1594"/>
      <c r="O1032" s="1594"/>
      <c r="P1032" s="1594"/>
      <c r="Q1032" s="1602"/>
      <c r="R1032" s="1602"/>
      <c r="S1032" s="1357"/>
      <c r="T1032" s="1357"/>
      <c r="U1032" s="1394">
        <v>1032</v>
      </c>
      <c r="V1032" s="1357"/>
    </row>
    <row r="1033" spans="1:22" ht="15.75" customHeight="1">
      <c r="A1033" s="1606" t="s">
        <v>698</v>
      </c>
      <c r="B1033" s="1595"/>
      <c r="C1033" s="1456">
        <f>SUMIF($Q$772:$Q$776,"ubpl",H$772:H$776)+SUMIF($Q$781:$Q$785,"ubpl",H$781:H$785)+SUMIF($Q$790:$Q$810,"ubpl",H$790:H$810)</f>
        <v>27744</v>
      </c>
      <c r="D1033" s="1595"/>
      <c r="E1033" s="1456">
        <f>SUMIF($Q$772:$Q$776,"ubpl",I$772:I$776)+SUMIF($Q$781:$Q$785,"ubpl",I$781:I$785)+SUMIF($Q$790:$Q$810,"ubpl",I$790:I$810)</f>
        <v>27744</v>
      </c>
      <c r="F1033" s="1595"/>
      <c r="G1033" s="1595"/>
      <c r="H1033" s="1456">
        <f>SUMIF($Q$772:$Q$776,"ubpl",J$772:J$776)+SUMIF($Q$781:$Q$785,"ubpl",J$781:J$785)+SUMIF($Q$790:$Q$810,"ubpl",J$790:J$810)</f>
        <v>27744</v>
      </c>
      <c r="I1033" s="1607"/>
      <c r="J1033" s="1456">
        <f>SUMIF($Q$772:$Q$776,"ubpl",K$772:K$776)+SUMIF($Q$781:$Q$785,"ubpl",K$781:K$785)+SUMIF($Q$790:$Q$810,"ubpl",K$790:K$810)</f>
        <v>31212</v>
      </c>
      <c r="K1033" s="1594"/>
      <c r="L1033" s="1593"/>
      <c r="M1033" s="1594"/>
      <c r="N1033" s="1594"/>
      <c r="O1033" s="1594"/>
      <c r="P1033" s="1594"/>
      <c r="Q1033" s="1602"/>
      <c r="R1033" s="1602"/>
      <c r="S1033" s="1357"/>
      <c r="T1033" s="1357"/>
      <c r="U1033" s="1394">
        <v>1033</v>
      </c>
      <c r="V1033" s="1357"/>
    </row>
    <row r="1034" spans="1:22" ht="15.75" customHeight="1">
      <c r="A1034" s="1606" t="s">
        <v>699</v>
      </c>
      <c r="B1034" s="1595"/>
      <c r="C1034" s="1456">
        <f>SUMIF($Q$772:$Q$776,"des",H$772:H$776)+SUMIF($Q$781:$Q$785,"des",H$781:H$785)+SUMIF($Q$790:$Q$810,"des",H$790:H$810)</f>
        <v>2800</v>
      </c>
      <c r="D1034" s="1595"/>
      <c r="E1034" s="1456">
        <f>SUMIF($Q$772:$Q$776,"des",I$772:I$776)+SUMIF($Q$781:$Q$785,"des",I$781:I$785)+SUMIF($Q$790:$Q$810,"des",I$790:I$810)</f>
        <v>3740</v>
      </c>
      <c r="F1034" s="1595"/>
      <c r="G1034" s="1595"/>
      <c r="H1034" s="1456">
        <f>SUMIF($Q$772:$Q$776,"des",J$772:J$776)+SUMIF($Q$781:$Q$785,"des",J$781:J$785)+SUMIF($Q$790:$Q$810,"des",J$790:J$810)</f>
        <v>7510</v>
      </c>
      <c r="I1034" s="1607"/>
      <c r="J1034" s="1456">
        <f>SUMIF($Q$772:$Q$776,"des",K$772:K$776)+SUMIF($Q$781:$Q$785,"des",K$781:K$785)+SUMIF($Q$790:$Q$810,"des",K$790:K$810)</f>
        <v>11510</v>
      </c>
      <c r="K1034" s="1594"/>
      <c r="L1034" s="1593"/>
      <c r="M1034" s="1593"/>
      <c r="N1034" s="1593"/>
      <c r="O1034" s="1593"/>
      <c r="P1034" s="1593"/>
      <c r="Q1034" s="1602"/>
      <c r="R1034" s="1602"/>
      <c r="S1034" s="1357"/>
      <c r="T1034" s="1357"/>
      <c r="U1034" s="1394">
        <v>1034</v>
      </c>
      <c r="V1034" s="1357"/>
    </row>
    <row r="1035" spans="1:22" s="1422" customFormat="1" ht="15.75" customHeight="1">
      <c r="A1035" s="1606"/>
      <c r="B1035" s="1595"/>
      <c r="C1035" s="1608"/>
      <c r="D1035" s="1595"/>
      <c r="E1035" s="1608"/>
      <c r="F1035" s="1595"/>
      <c r="G1035" s="1595"/>
      <c r="H1035" s="1609"/>
      <c r="I1035" s="1607"/>
      <c r="J1035" s="1609"/>
      <c r="K1035" s="1607"/>
      <c r="L1035" s="1595"/>
      <c r="M1035" s="1607"/>
      <c r="N1035" s="1607"/>
      <c r="O1035" s="1607"/>
      <c r="P1035" s="1607"/>
      <c r="Q1035" s="1610"/>
      <c r="R1035" s="1610"/>
      <c r="S1035" s="1421"/>
      <c r="T1035" s="1421"/>
      <c r="U1035" s="1394">
        <v>1035</v>
      </c>
      <c r="V1035" s="1421"/>
    </row>
    <row r="1036" spans="1:22" ht="15.75" customHeight="1">
      <c r="A1036" s="1603" t="s">
        <v>528</v>
      </c>
      <c r="B1036" s="1595"/>
      <c r="C1036" s="1604" t="str">
        <f>C1030</f>
        <v>VP</v>
      </c>
      <c r="D1036" s="1593"/>
      <c r="E1036" s="1604" t="str">
        <f>E1030</f>
        <v>P</v>
      </c>
      <c r="F1036" s="1593"/>
      <c r="G1036" s="1593"/>
      <c r="H1036" s="1605" t="str">
        <f>H1030</f>
        <v>M</v>
      </c>
      <c r="I1036" s="1594"/>
      <c r="J1036" s="1605" t="str">
        <f>J1030</f>
        <v>BO</v>
      </c>
      <c r="K1036" s="1594"/>
      <c r="L1036" s="1593"/>
      <c r="M1036" s="1594"/>
      <c r="N1036" s="1594"/>
      <c r="O1036" s="1594"/>
      <c r="P1036" s="1594"/>
      <c r="Q1036" s="1602"/>
      <c r="R1036" s="1602"/>
      <c r="S1036" s="1357"/>
      <c r="T1036" s="1357"/>
      <c r="U1036" s="1394">
        <v>1036</v>
      </c>
      <c r="V1036" s="1357"/>
    </row>
    <row r="1037" spans="1:22" ht="15.75" customHeight="1">
      <c r="A1037" s="1498" t="s">
        <v>529</v>
      </c>
      <c r="B1037" s="1595"/>
      <c r="C1037" s="1444" t="str">
        <f>E1037</f>
        <v>mix</v>
      </c>
      <c r="D1037" s="1593"/>
      <c r="E1037" s="1492" t="s">
        <v>949</v>
      </c>
      <c r="F1037" s="1593"/>
      <c r="G1037" s="1593"/>
      <c r="H1037" s="1611" t="str">
        <f>E1037</f>
        <v>mix</v>
      </c>
      <c r="I1037" s="1594"/>
      <c r="J1037" s="1612" t="str">
        <f>E1037</f>
        <v>mix</v>
      </c>
      <c r="K1037" s="1594"/>
      <c r="L1037" s="1593"/>
      <c r="M1037" s="1594"/>
      <c r="N1037" s="1594"/>
      <c r="O1037" s="1594"/>
      <c r="P1037" s="1594"/>
      <c r="Q1037" s="1602"/>
      <c r="R1037" s="1602"/>
      <c r="S1037" s="1357"/>
      <c r="T1037" s="1357"/>
      <c r="U1037" s="1394">
        <v>1037</v>
      </c>
      <c r="V1037" s="1357"/>
    </row>
    <row r="1038" spans="1:22" ht="15.75" customHeight="1">
      <c r="A1038" s="1498" t="s">
        <v>530</v>
      </c>
      <c r="B1038" s="1595"/>
      <c r="C1038" s="1552">
        <f>E1038</f>
        <v>0.64232512570888012</v>
      </c>
      <c r="D1038" s="1613"/>
      <c r="E1038" s="1321">
        <f>IF(UPPER('Exp factors'!$D$41)="YES",$P$1/$D$454,SUM(D453,D462,D471,D480,D489,D498,D631)/(SUM(D455,D464,D473,D482,D491,D500,D633)*365*D$46))</f>
        <v>0.64232512570888012</v>
      </c>
      <c r="F1038" s="1613"/>
      <c r="G1038" s="1613"/>
      <c r="H1038" s="1612">
        <f>E1038</f>
        <v>0.64232512570888012</v>
      </c>
      <c r="I1038" s="1614"/>
      <c r="J1038" s="1612">
        <f>E1038</f>
        <v>0.64232512570888012</v>
      </c>
      <c r="K1038" s="1594"/>
      <c r="L1038" s="1593"/>
      <c r="M1038" s="1594"/>
      <c r="N1038" s="1594"/>
      <c r="O1038" s="1594"/>
      <c r="P1038" s="1594"/>
      <c r="Q1038" s="1602"/>
      <c r="R1038" s="1602"/>
      <c r="S1038" s="1357"/>
      <c r="T1038" s="1357"/>
      <c r="U1038" s="1394">
        <v>1038</v>
      </c>
      <c r="V1038" s="1357"/>
    </row>
    <row r="1039" spans="1:22" ht="15.75" customHeight="1">
      <c r="A1039" s="1498" t="s">
        <v>64</v>
      </c>
      <c r="B1039" s="1595"/>
      <c r="C1039" s="1444">
        <f>SUM(C46)</f>
        <v>8</v>
      </c>
      <c r="D1039" s="1593"/>
      <c r="E1039" s="1444">
        <f>SUM(D46)</f>
        <v>8</v>
      </c>
      <c r="F1039" s="1593"/>
      <c r="G1039" s="1593"/>
      <c r="H1039" s="1611">
        <f>SUM(E46)</f>
        <v>8</v>
      </c>
      <c r="I1039" s="1594"/>
      <c r="J1039" s="1611">
        <f>SUM(F46)</f>
        <v>9</v>
      </c>
      <c r="K1039" s="1594"/>
      <c r="L1039" s="1593"/>
      <c r="M1039" s="1594"/>
      <c r="N1039" s="1594"/>
      <c r="O1039" s="1594"/>
      <c r="P1039" s="1594"/>
      <c r="Q1039" s="1602"/>
      <c r="R1039" s="1602"/>
      <c r="S1039" s="1357"/>
      <c r="T1039" s="1357"/>
      <c r="U1039" s="1394">
        <v>1039</v>
      </c>
      <c r="V1039" s="1357"/>
    </row>
    <row r="1040" spans="1:22" ht="15.75" customHeight="1">
      <c r="A1040" s="1498" t="s">
        <v>531</v>
      </c>
      <c r="B1040" s="1595"/>
      <c r="C1040" s="1552">
        <f>E1040</f>
        <v>4.509345794392523</v>
      </c>
      <c r="D1040" s="1593"/>
      <c r="E1040" s="1552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593"/>
      <c r="G1040" s="1593"/>
      <c r="H1040" s="1612">
        <f>E1040</f>
        <v>4.509345794392523</v>
      </c>
      <c r="I1040" s="1594"/>
      <c r="J1040" s="1612">
        <f>E1040</f>
        <v>4.509345794392523</v>
      </c>
      <c r="K1040" s="1594"/>
      <c r="L1040" s="1593"/>
      <c r="M1040" s="1594"/>
      <c r="N1040" s="1594"/>
      <c r="O1040" s="1594"/>
      <c r="P1040" s="1594"/>
      <c r="Q1040" s="1602"/>
      <c r="R1040" s="1602"/>
      <c r="S1040" s="1357"/>
      <c r="T1040" s="1357"/>
      <c r="U1040" s="1394">
        <v>1040</v>
      </c>
      <c r="V1040" s="1357"/>
    </row>
    <row r="1041" spans="1:22" ht="15.75" customHeight="1">
      <c r="A1041" s="1375"/>
      <c r="B1041" s="1595"/>
      <c r="C1041" s="1593"/>
      <c r="D1041" s="1593"/>
      <c r="E1041" s="1593"/>
      <c r="F1041" s="1593"/>
      <c r="G1041" s="1593"/>
      <c r="H1041" s="1594"/>
      <c r="I1041" s="1594"/>
      <c r="J1041" s="1594"/>
      <c r="K1041" s="1594"/>
      <c r="L1041" s="1593"/>
      <c r="M1041" s="1593"/>
      <c r="N1041" s="1593"/>
      <c r="O1041" s="1593"/>
      <c r="P1041" s="1593"/>
      <c r="Q1041" s="1602"/>
      <c r="R1041" s="1602"/>
      <c r="S1041" s="1357"/>
      <c r="T1041" s="1357"/>
      <c r="U1041" s="1394">
        <v>1041</v>
      </c>
      <c r="V1041" s="1357"/>
    </row>
    <row r="1042" spans="1:22" ht="15.75" customHeight="1">
      <c r="A1042" s="1575" t="s">
        <v>532</v>
      </c>
      <c r="B1042" s="1595"/>
      <c r="C1042" s="1615" t="str">
        <f>WB!T3</f>
        <v>V Poor</v>
      </c>
      <c r="D1042" s="1616"/>
      <c r="E1042" s="1615" t="str">
        <f>WB!AK3</f>
        <v>Poor</v>
      </c>
      <c r="F1042" s="1616"/>
      <c r="G1042" s="1593"/>
      <c r="H1042" s="1617" t="str">
        <f>WB!BB3</f>
        <v>Middle</v>
      </c>
      <c r="I1042" s="1618"/>
      <c r="J1042" s="1617" t="str">
        <f>WB!BS3</f>
        <v>B Off</v>
      </c>
      <c r="K1042" s="1618"/>
      <c r="L1042" s="1593"/>
      <c r="M1042" s="1619"/>
      <c r="N1042" s="1593"/>
      <c r="O1042" s="1593"/>
      <c r="P1042" s="1593"/>
      <c r="Q1042" s="1602"/>
      <c r="R1042" s="1602"/>
      <c r="S1042" s="1357"/>
      <c r="T1042" s="1357"/>
      <c r="U1042" s="1394">
        <v>1042</v>
      </c>
      <c r="V1042" s="1357"/>
    </row>
    <row r="1043" spans="1:22" ht="15.75" customHeight="1">
      <c r="A1043" s="1603" t="s">
        <v>15</v>
      </c>
      <c r="B1043" s="1595"/>
      <c r="C1043" s="1620" t="s">
        <v>533</v>
      </c>
      <c r="D1043" s="1620" t="s">
        <v>534</v>
      </c>
      <c r="E1043" s="1620" t="s">
        <v>533</v>
      </c>
      <c r="F1043" s="1620" t="s">
        <v>534</v>
      </c>
      <c r="G1043" s="1593"/>
      <c r="H1043" s="1621" t="s">
        <v>533</v>
      </c>
      <c r="I1043" s="1621" t="s">
        <v>534</v>
      </c>
      <c r="J1043" s="1621" t="s">
        <v>533</v>
      </c>
      <c r="K1043" s="1621" t="s">
        <v>534</v>
      </c>
      <c r="L1043" s="1593"/>
      <c r="M1043" s="1605" t="s">
        <v>535</v>
      </c>
      <c r="N1043" s="1593"/>
      <c r="O1043" s="1593"/>
      <c r="P1043" s="1593"/>
      <c r="Q1043" s="1602"/>
      <c r="R1043" s="1375" t="s">
        <v>536</v>
      </c>
      <c r="S1043" s="1357"/>
      <c r="T1043" s="1357"/>
      <c r="U1043" s="1394">
        <v>1043</v>
      </c>
      <c r="V1043" s="1357"/>
    </row>
    <row r="1044" spans="1:22" ht="15" customHeight="1">
      <c r="A1044" s="1622" t="str">
        <f>LOOKUP(B1044,$T$820:$T$898,A$820:A$898)</f>
        <v>Cows' milk - season 1</v>
      </c>
      <c r="B1044" s="1595">
        <v>1</v>
      </c>
      <c r="C1044" s="1466">
        <f>LOOKUP($B1044,$T$820:$T$898,C$820:C$898)</f>
        <v>1.4080012453300126E-2</v>
      </c>
      <c r="D1044" s="1466">
        <f>LOOKUP($B1044,$T$820:$T$898,M$820:M$898)</f>
        <v>0</v>
      </c>
      <c r="E1044" s="1466">
        <f>LOOKUP($B1044,$T$820:$T$898,D$820:D$898)</f>
        <v>8.3437110834371116E-3</v>
      </c>
      <c r="F1044" s="1466">
        <f>LOOKUP($B1044,$T$820:$T$898,N$820:N$898)</f>
        <v>0</v>
      </c>
      <c r="G1044" s="1593"/>
      <c r="H1044" s="1623">
        <f>LOOKUP($B1044,$T$820:$T$898,E$820:E$898)</f>
        <v>1.3037048567870486E-2</v>
      </c>
      <c r="I1044" s="1623">
        <f>LOOKUP($B1044,$T$820:$T$898,O$820:O$898)</f>
        <v>0</v>
      </c>
      <c r="J1044" s="1623">
        <f>LOOKUP($B1044,$T$820:$T$898,F$820:F$898)</f>
        <v>8.5476684654766849E-2</v>
      </c>
      <c r="K1044" s="1623">
        <f>LOOKUP($B1044,$T$820:$T$898,P$820:P$898)</f>
        <v>0</v>
      </c>
      <c r="L1044" s="1593"/>
      <c r="M1044" s="1624" t="str">
        <f t="shared" ref="M1044:M1063" si="229">IF(LOOKUP(R1044,R$1071:R$1094,R$1071:R$1094)=R1044,R1044,"")</f>
        <v/>
      </c>
      <c r="N1044" s="1593"/>
      <c r="O1044" s="1593"/>
      <c r="P1044" s="1593"/>
      <c r="Q1044" s="1602"/>
      <c r="R1044" s="1593">
        <f t="shared" ref="R1044:R1063" si="230">IF($A1044="","",IF(LOOKUP($B1044,$T$820:$T$898,R$820:R$898)=0,"",LOOKUP($B1044,$T$820:$T$898,R$820:R$898)))</f>
        <v>3</v>
      </c>
      <c r="S1044" s="1593"/>
      <c r="T1044" s="1357"/>
      <c r="U1044" s="1394">
        <v>1044</v>
      </c>
      <c r="V1044" s="1357"/>
    </row>
    <row r="1045" spans="1:22" ht="15.75" customHeight="1">
      <c r="A1045" s="1622" t="str">
        <f t="shared" ref="A1045:A1055" si="231">IF(OR(A1044="",LOOKUP(B1045,$T$820:$T$898,A$820:A$898)=A1044),"",LOOKUP(B1045,$T$820:$T$898,A$820:A$898))</f>
        <v>Cows' milk - season 2</v>
      </c>
      <c r="B1045" s="1595">
        <v>2</v>
      </c>
      <c r="C1045" s="1466">
        <f t="shared" ref="C1045:C1063" si="232">IF($A1045="","",LOOKUP($B1045,$T$820:$T$898,C$820:C$898))</f>
        <v>2.3466687422166875E-3</v>
      </c>
      <c r="D1045" s="1466">
        <f t="shared" ref="D1045:D1055" si="233">IF($A1045="","",LOOKUP($B1045,$T$820:$T$898,M$820:M$898))</f>
        <v>0</v>
      </c>
      <c r="E1045" s="1466">
        <f t="shared" ref="E1045:E1055" si="234">IF($A1045="","",LOOKUP($B1045,$T$820:$T$898,D$820:D$898))</f>
        <v>0</v>
      </c>
      <c r="F1045" s="1466">
        <f t="shared" ref="F1045:F1055" si="235">IF($A1045="","",LOOKUP($B1045,$T$820:$T$898,N$820:N$898))</f>
        <v>0</v>
      </c>
      <c r="G1045" s="1593"/>
      <c r="H1045" s="1623">
        <f t="shared" ref="H1045:H1055" si="236">IF($A1045="","",LOOKUP($B1045,$T$820:$T$898,E$820:E$898))</f>
        <v>0</v>
      </c>
      <c r="I1045" s="1623">
        <f t="shared" ref="I1045:I1055" si="237">IF($A1045="","",LOOKUP($B1045,$T$820:$T$898,O$820:O$898))</f>
        <v>0</v>
      </c>
      <c r="J1045" s="1623">
        <f t="shared" ref="J1045:J1055" si="238">IF($A1045="","",LOOKUP($B1045,$T$820:$T$898,F$820:F$898))</f>
        <v>0</v>
      </c>
      <c r="K1045" s="1623">
        <f t="shared" ref="K1045:K1055" si="239">IF($A1045="","",LOOKUP($B1045,$T$820:$T$898,P$820:P$898))</f>
        <v>0</v>
      </c>
      <c r="L1045" s="1593"/>
      <c r="M1045" s="1624" t="str">
        <f t="shared" si="229"/>
        <v/>
      </c>
      <c r="N1045" s="1593"/>
      <c r="O1045" s="1593"/>
      <c r="P1045" s="1593"/>
      <c r="Q1045" s="1602"/>
      <c r="R1045" s="1593">
        <f t="shared" si="230"/>
        <v>4</v>
      </c>
      <c r="S1045" s="1357"/>
      <c r="T1045" s="1357"/>
      <c r="U1045" s="1394">
        <v>1045</v>
      </c>
      <c r="V1045" s="1357"/>
    </row>
    <row r="1046" spans="1:22" ht="15.75" customHeight="1">
      <c r="A1046" s="1622" t="str">
        <f t="shared" si="231"/>
        <v>Own meat</v>
      </c>
      <c r="B1046" s="1595">
        <v>3</v>
      </c>
      <c r="C1046" s="1466">
        <f t="shared" si="232"/>
        <v>5.906425124533001E-3</v>
      </c>
      <c r="D1046" s="1466">
        <f t="shared" si="233"/>
        <v>0</v>
      </c>
      <c r="E1046" s="1466">
        <f t="shared" si="234"/>
        <v>2.6171573396637608E-2</v>
      </c>
      <c r="F1046" s="1466">
        <f t="shared" si="235"/>
        <v>0</v>
      </c>
      <c r="G1046" s="1593"/>
      <c r="H1046" s="1623">
        <f t="shared" si="236"/>
        <v>4.6436721668742222E-2</v>
      </c>
      <c r="I1046" s="1623">
        <f t="shared" si="237"/>
        <v>0</v>
      </c>
      <c r="J1046" s="1623">
        <f t="shared" si="238"/>
        <v>6.942878268991283E-2</v>
      </c>
      <c r="K1046" s="1623">
        <f t="shared" si="239"/>
        <v>0</v>
      </c>
      <c r="L1046" s="1593"/>
      <c r="M1046" s="1624" t="str">
        <f t="shared" si="229"/>
        <v/>
      </c>
      <c r="N1046" s="1593"/>
      <c r="O1046" s="1593"/>
      <c r="P1046" s="1593"/>
      <c r="Q1046" s="1602"/>
      <c r="R1046" s="1593" t="str">
        <f t="shared" si="230"/>
        <v/>
      </c>
      <c r="S1046" s="1357"/>
      <c r="T1046" s="1357"/>
      <c r="U1046" s="1394">
        <v>1046</v>
      </c>
      <c r="V1046" s="1357"/>
    </row>
    <row r="1047" spans="1:22" ht="15.75" customHeight="1">
      <c r="A1047" s="1622" t="str">
        <f t="shared" si="231"/>
        <v>Green cons - Season 1: no of months</v>
      </c>
      <c r="B1047" s="1595">
        <v>4</v>
      </c>
      <c r="C1047" s="1466">
        <f t="shared" si="232"/>
        <v>4.2500000000000003E-2</v>
      </c>
      <c r="D1047" s="1466">
        <f t="shared" si="233"/>
        <v>0</v>
      </c>
      <c r="E1047" s="1466">
        <f t="shared" si="234"/>
        <v>4.2500000000000003E-2</v>
      </c>
      <c r="F1047" s="1466">
        <f t="shared" si="235"/>
        <v>0</v>
      </c>
      <c r="G1047" s="1593"/>
      <c r="H1047" s="1623">
        <f t="shared" si="236"/>
        <v>4.2500000000000003E-2</v>
      </c>
      <c r="I1047" s="1623">
        <f t="shared" si="237"/>
        <v>0</v>
      </c>
      <c r="J1047" s="1623">
        <f t="shared" si="238"/>
        <v>0.05</v>
      </c>
      <c r="K1047" s="1623">
        <f t="shared" si="239"/>
        <v>0</v>
      </c>
      <c r="L1047" s="1593"/>
      <c r="M1047" s="1624" t="str">
        <f t="shared" si="229"/>
        <v/>
      </c>
      <c r="N1047" s="1593"/>
      <c r="O1047" s="1593"/>
      <c r="P1047" s="1593"/>
      <c r="Q1047" s="1602"/>
      <c r="R1047" s="1593">
        <f t="shared" si="230"/>
        <v>9</v>
      </c>
      <c r="S1047" s="1357"/>
      <c r="T1047" s="1357"/>
      <c r="U1047" s="1394">
        <v>1047</v>
      </c>
      <c r="V1047" s="1357"/>
    </row>
    <row r="1048" spans="1:22" ht="15.75" customHeight="1">
      <c r="A1048" s="1622" t="str">
        <f t="shared" si="231"/>
        <v>Maize: kg produced</v>
      </c>
      <c r="B1048" s="1595">
        <v>5</v>
      </c>
      <c r="C1048" s="1466">
        <f t="shared" si="232"/>
        <v>8.8718578767123274E-2</v>
      </c>
      <c r="D1048" s="1466">
        <f t="shared" si="233"/>
        <v>0</v>
      </c>
      <c r="E1048" s="1466">
        <f t="shared" si="234"/>
        <v>8.8718578767123274E-2</v>
      </c>
      <c r="F1048" s="1466">
        <f t="shared" si="235"/>
        <v>0</v>
      </c>
      <c r="G1048" s="1593"/>
      <c r="H1048" s="1623">
        <f t="shared" si="236"/>
        <v>0.13307786815068492</v>
      </c>
      <c r="I1048" s="1623">
        <f t="shared" si="237"/>
        <v>7.3932148972602724E-2</v>
      </c>
      <c r="J1048" s="1623">
        <f t="shared" si="238"/>
        <v>0.16245357534246571</v>
      </c>
      <c r="K1048" s="1623">
        <f t="shared" si="239"/>
        <v>6.8871904109589072E-2</v>
      </c>
      <c r="L1048" s="1593"/>
      <c r="M1048" s="1624">
        <f t="shared" si="229"/>
        <v>10</v>
      </c>
      <c r="N1048" s="1593"/>
      <c r="O1048" s="1593"/>
      <c r="P1048" s="1593"/>
      <c r="Q1048" s="1602"/>
      <c r="R1048" s="1593">
        <f t="shared" si="230"/>
        <v>10</v>
      </c>
      <c r="S1048" s="1357"/>
      <c r="T1048" s="1357"/>
      <c r="U1048" s="1394">
        <v>1048</v>
      </c>
      <c r="V1048" s="1357"/>
    </row>
    <row r="1049" spans="1:22" ht="15.75" customHeight="1">
      <c r="A1049" s="1622" t="str">
        <f t="shared" si="231"/>
        <v>Sorghum: kg produced</v>
      </c>
      <c r="B1049" s="1595">
        <v>6</v>
      </c>
      <c r="C1049" s="1466">
        <f t="shared" si="232"/>
        <v>0</v>
      </c>
      <c r="D1049" s="1466">
        <f t="shared" si="233"/>
        <v>0</v>
      </c>
      <c r="E1049" s="1466">
        <f t="shared" si="234"/>
        <v>0</v>
      </c>
      <c r="F1049" s="1466">
        <f t="shared" si="235"/>
        <v>0</v>
      </c>
      <c r="G1049" s="1593"/>
      <c r="H1049" s="1623">
        <f t="shared" si="236"/>
        <v>0</v>
      </c>
      <c r="I1049" s="1623">
        <f t="shared" si="237"/>
        <v>0</v>
      </c>
      <c r="J1049" s="1623">
        <f t="shared" si="238"/>
        <v>3.8561488169364881E-2</v>
      </c>
      <c r="K1049" s="1623">
        <f t="shared" si="239"/>
        <v>0</v>
      </c>
      <c r="L1049" s="1593"/>
      <c r="M1049" s="1624" t="str">
        <f t="shared" si="229"/>
        <v/>
      </c>
      <c r="N1049" s="1593"/>
      <c r="O1049" s="1593"/>
      <c r="P1049" s="1593"/>
      <c r="Q1049" s="1602"/>
      <c r="R1049" s="1593">
        <f t="shared" si="230"/>
        <v>11</v>
      </c>
      <c r="S1049" s="1357"/>
      <c r="T1049" s="1357"/>
      <c r="U1049" s="1394">
        <v>1049</v>
      </c>
      <c r="V1049" s="1357"/>
    </row>
    <row r="1050" spans="1:22" ht="15.75" customHeight="1">
      <c r="A1050" s="1622" t="str">
        <f t="shared" si="231"/>
        <v>Beans: kg produced</v>
      </c>
      <c r="B1050" s="1595">
        <v>7</v>
      </c>
      <c r="C1050" s="1466">
        <f t="shared" si="232"/>
        <v>4.4188206724782075E-2</v>
      </c>
      <c r="D1050" s="1466">
        <f t="shared" si="233"/>
        <v>0</v>
      </c>
      <c r="E1050" s="1466">
        <f t="shared" si="234"/>
        <v>8.2852887608966391E-2</v>
      </c>
      <c r="F1050" s="1466">
        <f t="shared" si="235"/>
        <v>0</v>
      </c>
      <c r="G1050" s="1593"/>
      <c r="H1050" s="1623">
        <f t="shared" si="236"/>
        <v>0.10770875389165629</v>
      </c>
      <c r="I1050" s="1623">
        <f t="shared" si="237"/>
        <v>-4.0045562344333749E-2</v>
      </c>
      <c r="J1050" s="1623">
        <f t="shared" si="238"/>
        <v>6.6773290161892901E-2</v>
      </c>
      <c r="K1050" s="1623">
        <f t="shared" si="239"/>
        <v>-2.1112143212951434E-2</v>
      </c>
      <c r="L1050" s="1593"/>
      <c r="M1050" s="1624">
        <f t="shared" si="229"/>
        <v>15</v>
      </c>
      <c r="N1050" s="1593"/>
      <c r="O1050" s="1593"/>
      <c r="P1050" s="1593"/>
      <c r="Q1050" s="1602"/>
      <c r="R1050" s="1593">
        <f t="shared" si="230"/>
        <v>15</v>
      </c>
      <c r="S1050" s="1357"/>
      <c r="T1050" s="1357"/>
      <c r="U1050" s="1394">
        <v>1050</v>
      </c>
      <c r="V1050" s="1357"/>
    </row>
    <row r="1051" spans="1:22" ht="15.75" customHeight="1">
      <c r="A1051" s="1622" t="str">
        <f t="shared" si="231"/>
        <v>Cassava: no. local meas.</v>
      </c>
      <c r="B1051" s="1595">
        <v>8</v>
      </c>
      <c r="C1051" s="1466">
        <f t="shared" si="232"/>
        <v>4.9858374844333753E-2</v>
      </c>
      <c r="D1051" s="1466">
        <f t="shared" si="233"/>
        <v>1.2464593711083438E-2</v>
      </c>
      <c r="E1051" s="1466">
        <f t="shared" si="234"/>
        <v>0</v>
      </c>
      <c r="F1051" s="1466">
        <f t="shared" si="235"/>
        <v>0</v>
      </c>
      <c r="G1051" s="1593"/>
      <c r="H1051" s="1623">
        <f t="shared" si="236"/>
        <v>0</v>
      </c>
      <c r="I1051" s="1623">
        <f t="shared" si="237"/>
        <v>0</v>
      </c>
      <c r="J1051" s="1623">
        <f t="shared" si="238"/>
        <v>0</v>
      </c>
      <c r="K1051" s="1623">
        <f t="shared" si="239"/>
        <v>0</v>
      </c>
      <c r="L1051" s="1593"/>
      <c r="M1051" s="1624" t="str">
        <f t="shared" si="229"/>
        <v/>
      </c>
      <c r="N1051" s="1593"/>
      <c r="O1051" s="1593"/>
      <c r="P1051" s="1593"/>
      <c r="Q1051" s="1602"/>
      <c r="R1051" s="1593">
        <f t="shared" si="230"/>
        <v>19</v>
      </c>
      <c r="S1051" s="1357"/>
      <c r="T1051" s="1357"/>
      <c r="U1051" s="1394">
        <v>1051</v>
      </c>
      <c r="V1051" s="1357"/>
    </row>
    <row r="1052" spans="1:22" ht="15.75" customHeight="1">
      <c r="A1052" s="1622" t="str">
        <f t="shared" si="231"/>
        <v>Water melon: no. local meas (Bhece)</v>
      </c>
      <c r="B1052" s="1595">
        <v>9</v>
      </c>
      <c r="C1052" s="1466">
        <f t="shared" si="232"/>
        <v>0</v>
      </c>
      <c r="D1052" s="1466">
        <f t="shared" si="233"/>
        <v>0</v>
      </c>
      <c r="E1052" s="1466">
        <f t="shared" si="234"/>
        <v>0</v>
      </c>
      <c r="F1052" s="1466">
        <f t="shared" si="235"/>
        <v>0</v>
      </c>
      <c r="G1052" s="1595"/>
      <c r="H1052" s="1623">
        <f t="shared" si="236"/>
        <v>2.2485149439601493E-3</v>
      </c>
      <c r="I1052" s="1623">
        <f t="shared" si="237"/>
        <v>1.1242574719800748E-3</v>
      </c>
      <c r="J1052" s="1623">
        <f t="shared" si="238"/>
        <v>1.9986799501867992E-3</v>
      </c>
      <c r="K1052" s="1623">
        <f t="shared" si="239"/>
        <v>9.9933997509339982E-4</v>
      </c>
      <c r="L1052" s="1593"/>
      <c r="M1052" s="1624">
        <f t="shared" si="229"/>
        <v>20</v>
      </c>
      <c r="N1052" s="1593"/>
      <c r="O1052" s="1593"/>
      <c r="P1052" s="1593"/>
      <c r="Q1052" s="1602"/>
      <c r="R1052" s="1593">
        <f t="shared" si="230"/>
        <v>20</v>
      </c>
      <c r="S1052" s="1357"/>
      <c r="T1052" s="1357"/>
      <c r="U1052" s="1394">
        <v>1052</v>
      </c>
      <c r="V1052" s="1357"/>
    </row>
    <row r="1053" spans="1:22" ht="15.75" customHeight="1">
      <c r="A1053" s="1622" t="str">
        <f t="shared" si="231"/>
        <v>Pumpkin: no. local meas</v>
      </c>
      <c r="B1053" s="1595">
        <v>10</v>
      </c>
      <c r="C1053" s="1466">
        <f t="shared" si="232"/>
        <v>0</v>
      </c>
      <c r="D1053" s="1466">
        <f t="shared" si="233"/>
        <v>0</v>
      </c>
      <c r="E1053" s="1466">
        <f t="shared" si="234"/>
        <v>2.1996341843088418E-2</v>
      </c>
      <c r="F1053" s="1466">
        <f t="shared" si="235"/>
        <v>0</v>
      </c>
      <c r="G1053" s="1593"/>
      <c r="H1053" s="1623">
        <f t="shared" si="236"/>
        <v>0</v>
      </c>
      <c r="I1053" s="1623">
        <f t="shared" si="237"/>
        <v>0</v>
      </c>
      <c r="J1053" s="1623">
        <f t="shared" si="238"/>
        <v>0</v>
      </c>
      <c r="K1053" s="1623">
        <f t="shared" si="239"/>
        <v>0</v>
      </c>
      <c r="L1053" s="1593"/>
      <c r="M1053" s="1624" t="str">
        <f t="shared" si="229"/>
        <v/>
      </c>
      <c r="N1053" s="1593"/>
      <c r="O1053" s="1593"/>
      <c r="P1053" s="1593"/>
      <c r="Q1053" s="1602"/>
      <c r="R1053" s="1593">
        <f t="shared" si="230"/>
        <v>21</v>
      </c>
      <c r="S1053" s="1357"/>
      <c r="T1053" s="1357"/>
      <c r="U1053" s="1394">
        <v>1053</v>
      </c>
      <c r="V1053" s="1357"/>
    </row>
    <row r="1054" spans="1:22" ht="15.75" customHeight="1">
      <c r="A1054" s="1622" t="str">
        <f t="shared" si="231"/>
        <v>Sweet poatato: no. local meas</v>
      </c>
      <c r="B1054" s="1595">
        <v>11</v>
      </c>
      <c r="C1054" s="1466">
        <f t="shared" si="232"/>
        <v>2.5988480697384807E-2</v>
      </c>
      <c r="D1054" s="1466">
        <f t="shared" si="233"/>
        <v>0</v>
      </c>
      <c r="E1054" s="1466">
        <f t="shared" si="234"/>
        <v>2.5988480697384807E-2</v>
      </c>
      <c r="F1054" s="1466">
        <f t="shared" si="235"/>
        <v>0</v>
      </c>
      <c r="G1054" s="1593"/>
      <c r="H1054" s="1623">
        <f t="shared" si="236"/>
        <v>6.125856164383562E-2</v>
      </c>
      <c r="I1054" s="1623">
        <f t="shared" si="237"/>
        <v>9.281600249065998E-3</v>
      </c>
      <c r="J1054" s="1623">
        <f t="shared" si="238"/>
        <v>3.7951432129514323E-2</v>
      </c>
      <c r="K1054" s="1623">
        <f t="shared" si="239"/>
        <v>2.4750933997509342E-2</v>
      </c>
      <c r="L1054" s="1593"/>
      <c r="M1054" s="1624">
        <f t="shared" si="229"/>
        <v>22</v>
      </c>
      <c r="N1054" s="1593"/>
      <c r="O1054" s="1593"/>
      <c r="P1054" s="1593"/>
      <c r="Q1054" s="1602"/>
      <c r="R1054" s="1593">
        <f t="shared" si="230"/>
        <v>22</v>
      </c>
      <c r="S1054" s="1357"/>
      <c r="T1054" s="1357"/>
      <c r="U1054" s="1394">
        <v>1054</v>
      </c>
      <c r="V1054" s="1357"/>
    </row>
    <row r="1055" spans="1:22" ht="15.75" customHeight="1">
      <c r="A1055" s="1622" t="str">
        <f t="shared" si="231"/>
        <v>Groundnuts (dry): no. local meas</v>
      </c>
      <c r="B1055" s="1595">
        <v>12</v>
      </c>
      <c r="C1055" s="1466">
        <f t="shared" si="232"/>
        <v>3.3018953144458282E-2</v>
      </c>
      <c r="D1055" s="1466">
        <f t="shared" si="233"/>
        <v>0</v>
      </c>
      <c r="E1055" s="1466">
        <f t="shared" si="234"/>
        <v>5.849071699875466E-2</v>
      </c>
      <c r="F1055" s="1466">
        <f t="shared" si="235"/>
        <v>4.7169933063511846E-2</v>
      </c>
      <c r="G1055" s="1593"/>
      <c r="H1055" s="1623">
        <f t="shared" si="236"/>
        <v>9.4339866127023678E-2</v>
      </c>
      <c r="I1055" s="1623">
        <f t="shared" si="237"/>
        <v>4.7169933063511818E-2</v>
      </c>
      <c r="J1055" s="1623">
        <f t="shared" si="238"/>
        <v>0.10482207347447074</v>
      </c>
      <c r="K1055" s="1623">
        <f t="shared" si="239"/>
        <v>5.0314595267745968E-2</v>
      </c>
      <c r="L1055" s="1593"/>
      <c r="M1055" s="1624">
        <f t="shared" si="229"/>
        <v>23</v>
      </c>
      <c r="N1055" s="1593"/>
      <c r="O1055" s="1593"/>
      <c r="P1055" s="1593"/>
      <c r="Q1055" s="1602"/>
      <c r="R1055" s="1593">
        <f t="shared" si="230"/>
        <v>23</v>
      </c>
      <c r="S1055" s="1357"/>
      <c r="T1055" s="1357"/>
      <c r="U1055" s="1394">
        <v>1055</v>
      </c>
      <c r="V1055" s="1357"/>
    </row>
    <row r="1056" spans="1:22" ht="15.75" customHeight="1">
      <c r="A1056" s="1622" t="str">
        <f t="shared" ref="A1056:A1058" si="240">IF(OR(A1055="",LOOKUP(B1056,$T$820:$T$898,A$820:A$898)=A1055),"",LOOKUP(B1056,$T$820:$T$898,A$820:A$898))</f>
        <v>Irish potato: type</v>
      </c>
      <c r="B1056" s="1595">
        <v>13</v>
      </c>
      <c r="C1056" s="1466">
        <f t="shared" si="232"/>
        <v>6.1099003735990039E-3</v>
      </c>
      <c r="D1056" s="1466">
        <f t="shared" ref="D1056:D1058" si="241">IF($A1056="","",LOOKUP($B1056,$T$820:$T$898,M$820:M$898))</f>
        <v>0</v>
      </c>
      <c r="E1056" s="1466">
        <f t="shared" ref="E1056:E1058" si="242">IF($A1056="","",LOOKUP($B1056,$T$820:$T$898,D$820:D$898))</f>
        <v>8.3094645080946453E-3</v>
      </c>
      <c r="F1056" s="1466">
        <f t="shared" ref="F1056:F1058" si="243">IF($A1056="","",LOOKUP($B1056,$T$820:$T$898,N$820:N$898))</f>
        <v>2.1995641344956414E-3</v>
      </c>
      <c r="G1056" s="1593"/>
      <c r="H1056" s="1623">
        <f t="shared" ref="H1056:H1058" si="244">IF($A1056="","",LOOKUP($B1056,$T$820:$T$898,E$820:E$898))</f>
        <v>2.4561799501867997E-2</v>
      </c>
      <c r="I1056" s="1623">
        <f t="shared" ref="I1056:I1058" si="245">IF($A1056="","",LOOKUP($B1056,$T$820:$T$898,O$820:O$898))</f>
        <v>2.358421544209215E-2</v>
      </c>
      <c r="J1056" s="1623">
        <f t="shared" ref="J1056:J1058" si="246">IF($A1056="","",LOOKUP($B1056,$T$820:$T$898,F$820:F$898))</f>
        <v>7.0603293206032928E-3</v>
      </c>
      <c r="K1056" s="1623">
        <f t="shared" ref="K1056:K1058" si="247">IF($A1056="","",LOOKUP($B1056,$T$820:$T$898,P$820:P$898))</f>
        <v>7.6034315760343165E-3</v>
      </c>
      <c r="L1056" s="1593"/>
      <c r="M1056" s="1624">
        <f t="shared" si="229"/>
        <v>25</v>
      </c>
      <c r="N1056" s="1593"/>
      <c r="O1056" s="1593"/>
      <c r="P1056" s="1593"/>
      <c r="Q1056" s="1602"/>
      <c r="R1056" s="1593">
        <f t="shared" si="230"/>
        <v>25</v>
      </c>
      <c r="S1056" s="1357"/>
      <c r="T1056" s="1357"/>
      <c r="U1056" s="1394">
        <v>1056</v>
      </c>
      <c r="V1056" s="1357"/>
    </row>
    <row r="1057" spans="1:22" ht="15.75" customHeight="1">
      <c r="A1057" s="1622" t="str">
        <f t="shared" si="240"/>
        <v>Yam: type</v>
      </c>
      <c r="B1057" s="1595">
        <v>14</v>
      </c>
      <c r="C1057" s="1466">
        <f t="shared" si="232"/>
        <v>2.5393057285180574E-2</v>
      </c>
      <c r="D1057" s="1466">
        <f t="shared" si="241"/>
        <v>0</v>
      </c>
      <c r="E1057" s="1466">
        <f t="shared" si="242"/>
        <v>2.082230697384807E-2</v>
      </c>
      <c r="F1057" s="1466">
        <f t="shared" si="243"/>
        <v>0</v>
      </c>
      <c r="G1057" s="1593"/>
      <c r="H1057" s="1623">
        <f t="shared" si="244"/>
        <v>2.0991594022415939E-2</v>
      </c>
      <c r="I1057" s="1623">
        <f t="shared" si="245"/>
        <v>0</v>
      </c>
      <c r="J1057" s="1623">
        <f t="shared" si="246"/>
        <v>2.2571606475716065E-2</v>
      </c>
      <c r="K1057" s="1623">
        <f t="shared" si="247"/>
        <v>0</v>
      </c>
      <c r="L1057" s="1593"/>
      <c r="M1057" s="1624">
        <f t="shared" si="229"/>
        <v>27</v>
      </c>
      <c r="N1057" s="1593"/>
      <c r="O1057" s="1593"/>
      <c r="P1057" s="1593"/>
      <c r="Q1057" s="1602"/>
      <c r="R1057" s="1593">
        <f t="shared" si="230"/>
        <v>27</v>
      </c>
      <c r="S1057" s="1357"/>
      <c r="T1057" s="1357"/>
      <c r="U1057" s="1394">
        <v>1057</v>
      </c>
      <c r="V1057" s="1357"/>
    </row>
    <row r="1058" spans="1:22" ht="15.75" customHeight="1">
      <c r="A1058" s="1622" t="str">
        <f t="shared" si="240"/>
        <v>FISHING -- see worksheet Data 3</v>
      </c>
      <c r="B1058" s="1595">
        <v>15</v>
      </c>
      <c r="C1058" s="1466">
        <f t="shared" si="232"/>
        <v>0</v>
      </c>
      <c r="D1058" s="1466">
        <f t="shared" si="241"/>
        <v>0</v>
      </c>
      <c r="E1058" s="1466">
        <f t="shared" si="242"/>
        <v>0</v>
      </c>
      <c r="F1058" s="1466">
        <f t="shared" si="243"/>
        <v>0</v>
      </c>
      <c r="G1058" s="1593"/>
      <c r="H1058" s="1623">
        <f t="shared" si="244"/>
        <v>0</v>
      </c>
      <c r="I1058" s="1623">
        <f t="shared" si="245"/>
        <v>0</v>
      </c>
      <c r="J1058" s="1623">
        <f t="shared" si="246"/>
        <v>1.1706102117061022E-2</v>
      </c>
      <c r="K1058" s="1623">
        <f t="shared" si="247"/>
        <v>2.9265255292652559E-3</v>
      </c>
      <c r="L1058" s="1593"/>
      <c r="M1058" s="1624" t="str">
        <f t="shared" si="229"/>
        <v/>
      </c>
      <c r="N1058" s="1593"/>
      <c r="O1058" s="1593"/>
      <c r="P1058" s="1593"/>
      <c r="Q1058" s="1602"/>
      <c r="R1058" s="1593">
        <f t="shared" si="230"/>
        <v>28</v>
      </c>
      <c r="S1058" s="1357"/>
      <c r="T1058" s="1357"/>
      <c r="U1058" s="1394">
        <v>1058</v>
      </c>
      <c r="V1058" s="1357"/>
    </row>
    <row r="1059" spans="1:22" ht="15.75" customHeight="1">
      <c r="A1059" s="1622" t="str">
        <f t="shared" ref="A1059:A1060" si="248">IF(OR(A1058="",LOOKUP(B1059,$T$820:$T$898,A$820:A$898)=A1058),"",LOOKUP(B1059,$T$820:$T$898,A$820:A$898))</f>
        <v>Labour: Land clearing, construction, herding, slaughtering</v>
      </c>
      <c r="B1059" s="1595">
        <v>16</v>
      </c>
      <c r="C1059" s="1466">
        <f t="shared" si="232"/>
        <v>0</v>
      </c>
      <c r="D1059" s="1466">
        <f t="shared" ref="D1059:D1060" si="249">IF($A1059="","",LOOKUP($B1059,$T$820:$T$898,M$820:M$898))</f>
        <v>0</v>
      </c>
      <c r="E1059" s="1466">
        <f t="shared" ref="E1059:E1060" si="250">IF($A1059="","",LOOKUP($B1059,$T$820:$T$898,D$820:D$898))</f>
        <v>5.6779890410958905E-2</v>
      </c>
      <c r="F1059" s="1466">
        <f t="shared" ref="F1059:F1060" si="251">IF($A1059="","",LOOKUP($B1059,$T$820:$T$898,N$820:N$898))</f>
        <v>0</v>
      </c>
      <c r="G1059" s="1593"/>
      <c r="H1059" s="1623">
        <f t="shared" ref="H1059:H1060" si="252">IF($A1059="","",LOOKUP($B1059,$T$820:$T$898,E$820:E$898))</f>
        <v>0</v>
      </c>
      <c r="I1059" s="1623">
        <f t="shared" ref="I1059:I1060" si="253">IF($A1059="","",LOOKUP($B1059,$T$820:$T$898,O$820:O$898))</f>
        <v>0</v>
      </c>
      <c r="J1059" s="1623">
        <f t="shared" ref="J1059:J1060" si="254">IF($A1059="","",LOOKUP($B1059,$T$820:$T$898,F$820:F$898))</f>
        <v>0</v>
      </c>
      <c r="K1059" s="1623">
        <f t="shared" ref="K1059:K1060" si="255">IF($A1059="","",LOOKUP($B1059,$T$820:$T$898,P$820:P$898))</f>
        <v>0</v>
      </c>
      <c r="L1059" s="1593"/>
      <c r="M1059" s="1624" t="str">
        <f t="shared" si="229"/>
        <v/>
      </c>
      <c r="N1059" s="1593"/>
      <c r="O1059" s="1593"/>
      <c r="P1059" s="1593"/>
      <c r="Q1059" s="1602"/>
      <c r="R1059" s="1593" t="str">
        <f t="shared" si="230"/>
        <v/>
      </c>
      <c r="S1059" s="1357"/>
      <c r="T1059" s="1357"/>
      <c r="U1059" s="1394">
        <v>1059</v>
      </c>
      <c r="V1059" s="1357"/>
    </row>
    <row r="1060" spans="1:22" ht="15.75" customHeight="1">
      <c r="A1060" s="1622" t="str">
        <f t="shared" si="248"/>
        <v>Labour: Weeding</v>
      </c>
      <c r="B1060" s="1595">
        <v>17</v>
      </c>
      <c r="C1060" s="1466">
        <f t="shared" si="232"/>
        <v>0</v>
      </c>
      <c r="D1060" s="1466">
        <f t="shared" si="249"/>
        <v>0</v>
      </c>
      <c r="E1060" s="1466">
        <f t="shared" si="250"/>
        <v>1.8926630136986301E-2</v>
      </c>
      <c r="F1060" s="1466">
        <f t="shared" si="251"/>
        <v>0</v>
      </c>
      <c r="G1060" s="1593"/>
      <c r="H1060" s="1623">
        <f t="shared" si="252"/>
        <v>0</v>
      </c>
      <c r="I1060" s="1623">
        <f t="shared" si="253"/>
        <v>0</v>
      </c>
      <c r="J1060" s="1623">
        <f t="shared" si="254"/>
        <v>0</v>
      </c>
      <c r="K1060" s="1623">
        <f t="shared" si="255"/>
        <v>0</v>
      </c>
      <c r="L1060" s="1593"/>
      <c r="M1060" s="1624" t="str">
        <f t="shared" si="229"/>
        <v/>
      </c>
      <c r="N1060" s="1593"/>
      <c r="O1060" s="1593"/>
      <c r="P1060" s="1593"/>
      <c r="Q1060" s="1602"/>
      <c r="R1060" s="1593" t="str">
        <f t="shared" si="230"/>
        <v/>
      </c>
      <c r="S1060" s="1357"/>
      <c r="T1060" s="1357"/>
      <c r="U1060" s="1394">
        <v>1060</v>
      </c>
      <c r="V1060" s="1357"/>
    </row>
    <row r="1061" spans="1:22" ht="15.75" customHeight="1">
      <c r="A1061" s="1622" t="str">
        <f t="shared" ref="A1061:A1062" si="256">IF(OR(A1060="",LOOKUP(B1061,$T$820:$T$898,A$820:A$898)=A1060),"",LOOKUP(B1061,$T$820:$T$898,A$820:A$898))</f>
        <v>Gifts/remittances: cereal</v>
      </c>
      <c r="B1061" s="1595">
        <v>18</v>
      </c>
      <c r="C1061" s="1466">
        <f t="shared" si="232"/>
        <v>0</v>
      </c>
      <c r="D1061" s="1466">
        <f t="shared" ref="D1061:D1062" si="257">IF($A1061="","",LOOKUP($B1061,$T$820:$T$898,M$820:M$898))</f>
        <v>0</v>
      </c>
      <c r="E1061" s="1466">
        <f t="shared" ref="E1061:E1062" si="258">IF($A1061="","",LOOKUP($B1061,$T$820:$T$898,D$820:D$898))</f>
        <v>0</v>
      </c>
      <c r="F1061" s="1466">
        <f t="shared" ref="F1061:F1062" si="259">IF($A1061="","",LOOKUP($B1061,$T$820:$T$898,N$820:N$898))</f>
        <v>0</v>
      </c>
      <c r="G1061" s="1593"/>
      <c r="H1061" s="1623">
        <f t="shared" ref="H1061:H1062" si="260">IF($A1061="","",LOOKUP($B1061,$T$820:$T$898,E$820:E$898))</f>
        <v>1.7694834993773351E-2</v>
      </c>
      <c r="I1061" s="1623">
        <f t="shared" ref="I1061:I1062" si="261">IF($A1061="","",LOOKUP($B1061,$T$820:$T$898,O$820:O$898))</f>
        <v>0</v>
      </c>
      <c r="J1061" s="1623">
        <f t="shared" ref="J1061:J1062" si="262">IF($A1061="","",LOOKUP($B1061,$T$820:$T$898,F$820:F$898))</f>
        <v>5.3477723536737236E-2</v>
      </c>
      <c r="K1061" s="1623">
        <f t="shared" ref="K1061:K1062" si="263">IF($A1061="","",LOOKUP($B1061,$T$820:$T$898,P$820:P$898))</f>
        <v>0</v>
      </c>
      <c r="L1061" s="1593"/>
      <c r="M1061" s="1624" t="str">
        <f t="shared" si="229"/>
        <v/>
      </c>
      <c r="N1061" s="1593"/>
      <c r="O1061" s="1593"/>
      <c r="P1061" s="1593"/>
      <c r="Q1061" s="1602"/>
      <c r="R1061" s="1593" t="str">
        <f t="shared" si="230"/>
        <v/>
      </c>
      <c r="S1061" s="1357"/>
      <c r="T1061" s="1357"/>
      <c r="U1061" s="1394">
        <v>1061</v>
      </c>
      <c r="V1061" s="1357"/>
    </row>
    <row r="1062" spans="1:22" ht="15.75" customHeight="1">
      <c r="A1062" s="1622" t="str">
        <f t="shared" si="256"/>
        <v>Gifts/remittances: Other</v>
      </c>
      <c r="B1062" s="1595">
        <v>19</v>
      </c>
      <c r="C1062" s="1466">
        <f t="shared" si="232"/>
        <v>0</v>
      </c>
      <c r="D1062" s="1466">
        <f t="shared" si="257"/>
        <v>0</v>
      </c>
      <c r="E1062" s="1466">
        <f t="shared" si="258"/>
        <v>0</v>
      </c>
      <c r="F1062" s="1466">
        <f t="shared" si="259"/>
        <v>0</v>
      </c>
      <c r="G1062" s="1593"/>
      <c r="H1062" s="1623">
        <f t="shared" si="260"/>
        <v>2.3069738480697384E-2</v>
      </c>
      <c r="I1062" s="1623">
        <f t="shared" si="261"/>
        <v>0</v>
      </c>
      <c r="J1062" s="1623">
        <f t="shared" si="262"/>
        <v>2.5633042756330427E-2</v>
      </c>
      <c r="K1062" s="1623">
        <f t="shared" si="263"/>
        <v>0</v>
      </c>
      <c r="L1062" s="1593"/>
      <c r="M1062" s="1624" t="str">
        <f t="shared" si="229"/>
        <v/>
      </c>
      <c r="N1062" s="1593"/>
      <c r="O1062" s="1593"/>
      <c r="P1062" s="1593"/>
      <c r="Q1062" s="1602"/>
      <c r="R1062" s="1593" t="str">
        <f t="shared" si="230"/>
        <v/>
      </c>
      <c r="S1062" s="1357"/>
      <c r="T1062" s="1357"/>
      <c r="U1062" s="1394">
        <v>1062</v>
      </c>
      <c r="V1062" s="1357"/>
    </row>
    <row r="1063" spans="1:22" ht="15.75" customHeight="1">
      <c r="A1063" s="1622" t="str">
        <f t="shared" ref="A1063" si="264">IF(OR(A1062="",LOOKUP(B1063,$T$820:$T$898,A$820:A$898)=A1062),"",LOOKUP(B1063,$T$820:$T$898,A$820:A$898))</f>
        <v/>
      </c>
      <c r="B1063" s="1595">
        <v>20</v>
      </c>
      <c r="C1063" s="1466" t="str">
        <f t="shared" si="232"/>
        <v/>
      </c>
      <c r="D1063" s="1466" t="str">
        <f t="shared" ref="D1063" si="265">IF($A1063="","",LOOKUP($B1063,$T$820:$T$898,M$820:M$898))</f>
        <v/>
      </c>
      <c r="E1063" s="1466" t="str">
        <f t="shared" ref="E1063" si="266">IF($A1063="","",LOOKUP($B1063,$T$820:$T$898,D$820:D$898))</f>
        <v/>
      </c>
      <c r="F1063" s="1466" t="str">
        <f t="shared" ref="F1063" si="267">IF($A1063="","",LOOKUP($B1063,$T$820:$T$898,N$820:N$898))</f>
        <v/>
      </c>
      <c r="G1063" s="1593"/>
      <c r="H1063" s="1623" t="str">
        <f t="shared" ref="H1063" si="268">IF($A1063="","",LOOKUP($B1063,$T$820:$T$898,E$820:E$898))</f>
        <v/>
      </c>
      <c r="I1063" s="1623" t="str">
        <f t="shared" ref="I1063" si="269">IF($A1063="","",LOOKUP($B1063,$T$820:$T$898,O$820:O$898))</f>
        <v/>
      </c>
      <c r="J1063" s="1623" t="str">
        <f t="shared" ref="J1063" si="270">IF($A1063="","",LOOKUP($B1063,$T$820:$T$898,F$820:F$898))</f>
        <v/>
      </c>
      <c r="K1063" s="1623" t="str">
        <f t="shared" ref="K1063" si="271">IF($A1063="","",LOOKUP($B1063,$T$820:$T$898,P$820:P$898))</f>
        <v/>
      </c>
      <c r="L1063" s="1593"/>
      <c r="M1063" s="1624" t="str">
        <f t="shared" si="229"/>
        <v/>
      </c>
      <c r="N1063" s="1593"/>
      <c r="O1063" s="1593"/>
      <c r="P1063" s="1593"/>
      <c r="Q1063" s="1602"/>
      <c r="R1063" s="1593" t="str">
        <f t="shared" si="230"/>
        <v/>
      </c>
      <c r="S1063" s="1357"/>
      <c r="T1063" s="1357"/>
      <c r="U1063" s="1394">
        <v>1063</v>
      </c>
      <c r="V1063" s="1357"/>
    </row>
    <row r="1064" spans="1:22" ht="15.75" customHeight="1">
      <c r="A1064" s="1622" t="s">
        <v>537</v>
      </c>
      <c r="B1064" s="1595"/>
      <c r="C1064" s="1466">
        <f>SUM(C889:C895)</f>
        <v>0.11904761904761904</v>
      </c>
      <c r="D1064" s="1466">
        <f>SUM(M889:M895)</f>
        <v>0</v>
      </c>
      <c r="E1064" s="1466">
        <f>SUM(D889:D895)</f>
        <v>0.11904761904761904</v>
      </c>
      <c r="F1064" s="1466">
        <f>SUM(N889:N895)</f>
        <v>0</v>
      </c>
      <c r="G1064" s="1593"/>
      <c r="H1064" s="1466">
        <f>SUM(E889:E895)</f>
        <v>0.11904761904761904</v>
      </c>
      <c r="I1064" s="1466">
        <f>SUM(O889:O895)</f>
        <v>0</v>
      </c>
      <c r="J1064" s="1466">
        <f>SUM(F889:F895)</f>
        <v>0.10582010582010581</v>
      </c>
      <c r="K1064" s="1466">
        <f>SUM(P889:P895)</f>
        <v>0</v>
      </c>
      <c r="L1064" s="1593"/>
      <c r="M1064" s="1593"/>
      <c r="N1064" s="1593"/>
      <c r="O1064" s="1593"/>
      <c r="P1064" s="1593"/>
      <c r="Q1064" s="1602"/>
      <c r="R1064" s="1593"/>
      <c r="S1064" s="1593"/>
      <c r="T1064" s="1357"/>
      <c r="U1064" s="1394">
        <v>1064</v>
      </c>
      <c r="V1064" s="1357"/>
    </row>
    <row r="1065" spans="1:22" ht="15.75" customHeight="1">
      <c r="A1065" s="1622" t="s">
        <v>707</v>
      </c>
      <c r="B1065" s="1595"/>
      <c r="C1065" s="1466">
        <f>SUM(C887:C888)</f>
        <v>3.314115504358655E-2</v>
      </c>
      <c r="D1065" s="1466">
        <f>SUM(M887:M888)</f>
        <v>-3.314115504358655E-2</v>
      </c>
      <c r="E1065" s="1466">
        <f>SUM(D887:D888)</f>
        <v>3.314115504358655E-2</v>
      </c>
      <c r="F1065" s="1466">
        <f>SUM(N887:N888)</f>
        <v>-3.314115504358655E-2</v>
      </c>
      <c r="G1065" s="1593"/>
      <c r="H1065" s="1466">
        <f>SUM(E887:E888)</f>
        <v>3.314115504358655E-2</v>
      </c>
      <c r="I1065" s="1466">
        <f>SUM(O887:O888)</f>
        <v>-3.314115504358655E-2</v>
      </c>
      <c r="J1065" s="1466">
        <f>SUM(F887:F888)</f>
        <v>2.7003904109589038E-2</v>
      </c>
      <c r="K1065" s="1466">
        <f>SUM(P887:P888)</f>
        <v>-2.7003904109589038E-2</v>
      </c>
      <c r="L1065" s="1593"/>
      <c r="M1065" s="1593"/>
      <c r="N1065" s="1593"/>
      <c r="O1065" s="1593"/>
      <c r="P1065" s="1593"/>
      <c r="Q1065" s="1602"/>
      <c r="R1065" s="1593"/>
      <c r="S1065" s="1593"/>
      <c r="T1065" s="1357"/>
      <c r="U1065" s="1394">
        <v>1065</v>
      </c>
      <c r="V1065" s="1357"/>
    </row>
    <row r="1066" spans="1:22" ht="15.75" customHeight="1">
      <c r="A1066" s="1622" t="s">
        <v>708</v>
      </c>
      <c r="B1066" s="1595"/>
      <c r="C1066" s="1466">
        <f>SUM(C880,C883,C885)</f>
        <v>0</v>
      </c>
      <c r="D1066" s="1466">
        <f>SUM(M880,M883,M885)</f>
        <v>0</v>
      </c>
      <c r="E1066" s="1466">
        <f>SUM(D880,D883,D885)</f>
        <v>0</v>
      </c>
      <c r="F1066" s="1466">
        <f>SUM(N880,N883,N885)</f>
        <v>0</v>
      </c>
      <c r="G1066" s="1593"/>
      <c r="H1066" s="1466">
        <f>SUM(E880,E883,E885)</f>
        <v>0</v>
      </c>
      <c r="I1066" s="1466">
        <f>SUM(O880,O883,O885)</f>
        <v>0</v>
      </c>
      <c r="J1066" s="1466">
        <f>SUM(F880,F883,F885)</f>
        <v>0</v>
      </c>
      <c r="K1066" s="1466">
        <f>SUM(P880,P883,P885)</f>
        <v>0</v>
      </c>
      <c r="L1066" s="1593"/>
      <c r="M1066" s="1593"/>
      <c r="N1066" s="1593"/>
      <c r="O1066" s="1593"/>
      <c r="P1066" s="1593"/>
      <c r="Q1066" s="1602"/>
      <c r="R1066" s="1593"/>
      <c r="S1066" s="1593"/>
      <c r="T1066" s="1357"/>
      <c r="U1066" s="1394">
        <v>1066</v>
      </c>
      <c r="V1066" s="1357"/>
    </row>
    <row r="1067" spans="1:22" ht="15.75" customHeight="1">
      <c r="A1067" s="1622" t="s">
        <v>709</v>
      </c>
      <c r="B1067" s="1595"/>
      <c r="C1067" s="1466">
        <f>SUM(C865:C879,C881:C882,C884)</f>
        <v>0.18129873754669984</v>
      </c>
      <c r="D1067" s="1466">
        <f>SUM(M865:M879,M881:M882,M884)</f>
        <v>4.3338036395297215E-2</v>
      </c>
      <c r="E1067" s="1466">
        <f>SUM(D865:D879,D881:D882,D884)</f>
        <v>0.19715891469489413</v>
      </c>
      <c r="F1067" s="1466">
        <f>SUM(N865:N879,N881:N882,N884)</f>
        <v>2.7477859247102939E-2</v>
      </c>
      <c r="G1067" s="1593"/>
      <c r="H1067" s="1466">
        <f>SUM(E865:E879,E881:E882,E884)</f>
        <v>0.21142394971980072</v>
      </c>
      <c r="I1067" s="1466">
        <f>SUM(O865:O879,O881:O882,O884)</f>
        <v>1.3212824222196339E-2</v>
      </c>
      <c r="J1067" s="1466">
        <f>SUM(F865:F879,F881:F882,F884)</f>
        <v>0.20561839999999998</v>
      </c>
      <c r="K1067" s="1466">
        <f>SUM(P865:P879,P881:P882,P884)</f>
        <v>1.9018373941997086E-2</v>
      </c>
      <c r="L1067" s="1593"/>
      <c r="M1067" s="1593"/>
      <c r="N1067" s="1593"/>
      <c r="O1067" s="1593"/>
      <c r="P1067" s="1593"/>
      <c r="Q1067" s="1602"/>
      <c r="R1067" s="1593"/>
      <c r="S1067" s="1357"/>
      <c r="T1067" s="1357"/>
      <c r="U1067" s="1394">
        <v>1067</v>
      </c>
      <c r="V1067" s="1357"/>
    </row>
    <row r="1068" spans="1:22" ht="15.75" customHeight="1">
      <c r="A1068" s="1622" t="s">
        <v>538</v>
      </c>
      <c r="B1068" s="1595"/>
      <c r="C1068" s="1466">
        <f>SUM(C859:C864,C886)</f>
        <v>0.57517989881693654</v>
      </c>
      <c r="D1068" s="1625">
        <f>SUM(M859:M860)</f>
        <v>0</v>
      </c>
      <c r="E1068" s="1466">
        <f>SUM(D859:D864,D886)</f>
        <v>0.57048734589041095</v>
      </c>
      <c r="F1068" s="1625">
        <f>SUM(N859:N860)</f>
        <v>0</v>
      </c>
      <c r="G1068" s="1593"/>
      <c r="H1068" s="1466">
        <f>SUM(E859:E864,E886)</f>
        <v>0.56457277397260275</v>
      </c>
      <c r="I1068" s="1625">
        <f>SUM(O859:O860)</f>
        <v>0</v>
      </c>
      <c r="J1068" s="1466">
        <f>SUM(F859:F864,F886)</f>
        <v>0.60560871481942702</v>
      </c>
      <c r="K1068" s="1625">
        <f>SUM(P859:P860)</f>
        <v>0</v>
      </c>
      <c r="L1068" s="1593"/>
      <c r="M1068" s="1593"/>
      <c r="N1068" s="1593"/>
      <c r="O1068" s="1593"/>
      <c r="P1068" s="1593"/>
      <c r="Q1068" s="1602"/>
      <c r="R1068" s="1593"/>
      <c r="S1068" s="1357"/>
      <c r="T1068" s="1357"/>
      <c r="U1068" s="1394">
        <v>1068</v>
      </c>
      <c r="V1068" s="1357"/>
    </row>
    <row r="1069" spans="1:22" ht="15.75" customHeight="1">
      <c r="A1069" s="1498" t="s">
        <v>74</v>
      </c>
      <c r="B1069" s="1595"/>
      <c r="C1069" s="1466">
        <f>SUM(C1044:C1068)</f>
        <v>1.2467760686117537</v>
      </c>
      <c r="D1069" s="1466">
        <f>SUM(D1044:D1068)</f>
        <v>2.2661475062794104E-2</v>
      </c>
      <c r="E1069" s="1466">
        <f>SUM(E1044:E1068)</f>
        <v>1.3797356171017907</v>
      </c>
      <c r="F1069" s="1466">
        <f>SUM(F1044:F1068)</f>
        <v>4.370620140152387E-2</v>
      </c>
      <c r="G1069" s="1626"/>
      <c r="H1069" s="1623">
        <f>SUM(H1044:H1068)</f>
        <v>1.5151107997761371</v>
      </c>
      <c r="I1069" s="1623">
        <f>SUM(I1044:I1068)</f>
        <v>9.5118262033528814E-2</v>
      </c>
      <c r="J1069" s="1623">
        <f>SUM(J1044:J1068)</f>
        <v>1.6819659355281447</v>
      </c>
      <c r="K1069" s="1623">
        <f>SUM(K1044:K1068)</f>
        <v>0.12636905707469395</v>
      </c>
      <c r="L1069" s="1593"/>
      <c r="M1069" s="1593"/>
      <c r="N1069" s="1593"/>
      <c r="O1069" s="1593"/>
      <c r="P1069" s="1593"/>
      <c r="Q1069" s="1602"/>
      <c r="R1069" s="1593"/>
      <c r="S1069" s="1357"/>
      <c r="T1069" s="1357"/>
      <c r="U1069" s="1394">
        <v>1069</v>
      </c>
      <c r="V1069" s="1357"/>
    </row>
    <row r="1070" spans="1:22" ht="15.75" customHeight="1">
      <c r="A1070" s="1378"/>
      <c r="B1070" s="1595"/>
      <c r="C1070" s="1627"/>
      <c r="D1070" s="1627"/>
      <c r="E1070" s="1627"/>
      <c r="F1070" s="1627"/>
      <c r="G1070" s="1593"/>
      <c r="H1070" s="1628"/>
      <c r="I1070" s="1628"/>
      <c r="J1070" s="1628"/>
      <c r="K1070" s="1628"/>
      <c r="L1070" s="1593"/>
      <c r="M1070" s="1593"/>
      <c r="N1070" s="1593"/>
      <c r="O1070" s="1593"/>
      <c r="P1070" s="1593"/>
      <c r="Q1070" s="1602"/>
      <c r="R1070" s="1593" t="s">
        <v>535</v>
      </c>
      <c r="S1070" s="1357"/>
      <c r="T1070" s="1357"/>
      <c r="U1070" s="1394">
        <v>1070</v>
      </c>
      <c r="V1070" s="1357"/>
    </row>
    <row r="1071" spans="1:22" ht="15.75" customHeight="1">
      <c r="A1071" s="1603" t="s">
        <v>16</v>
      </c>
      <c r="B1071" s="1595"/>
      <c r="C1071" s="1604" t="str">
        <f>C1036</f>
        <v>VP</v>
      </c>
      <c r="D1071" s="1604" t="str">
        <f>C1036</f>
        <v>VP</v>
      </c>
      <c r="E1071" s="1604" t="str">
        <f>E1036</f>
        <v>P</v>
      </c>
      <c r="F1071" s="1604" t="str">
        <f>E1036</f>
        <v>P</v>
      </c>
      <c r="G1071" s="1593"/>
      <c r="H1071" s="1605" t="str">
        <f>H1036</f>
        <v>M</v>
      </c>
      <c r="I1071" s="1605" t="str">
        <f>H1036</f>
        <v>M</v>
      </c>
      <c r="J1071" s="1605" t="str">
        <f>J1036</f>
        <v>BO</v>
      </c>
      <c r="K1071" s="1605" t="str">
        <f>J1036</f>
        <v>BO</v>
      </c>
      <c r="L1071" s="1593"/>
      <c r="M1071" s="1605" t="s">
        <v>535</v>
      </c>
      <c r="N1071" s="1593"/>
      <c r="O1071" s="1593"/>
      <c r="P1071" s="1593"/>
      <c r="Q1071" s="1602"/>
      <c r="R1071" s="1593">
        <v>0</v>
      </c>
      <c r="S1071" s="1357"/>
      <c r="T1071" s="1357"/>
      <c r="U1071" s="1394">
        <v>1071</v>
      </c>
      <c r="V1071" s="1357"/>
    </row>
    <row r="1072" spans="1:22" ht="15.75" customHeight="1">
      <c r="A1072" s="1622" t="str">
        <f t="shared" ref="A1072:A1094" si="272">IF(OR(A1071="",LOOKUP(B1072,$T$904:$T$983,A$904:A$983)=A1071),"",LOOKUP(B1072,$T$904:$T$983,A$904:A$983))</f>
        <v>Cattle sales - local: no. sold</v>
      </c>
      <c r="B1072" s="1595">
        <v>1</v>
      </c>
      <c r="C1072" s="1456">
        <f>LOOKUP($B1072,$T$904:$T$983,C$904:C$983)</f>
        <v>0</v>
      </c>
      <c r="D1072" s="1456">
        <f>LOOKUP($B1072,$T$904:$T$983,M$904:M$983)</f>
        <v>0</v>
      </c>
      <c r="E1072" s="1456">
        <f>LOOKUP($B1072,$T$904:$T$983,D$904:D$983)</f>
        <v>0</v>
      </c>
      <c r="F1072" s="1456">
        <f>LOOKUP($B1072,$T$904:$T$983,N$904:N$983)</f>
        <v>0</v>
      </c>
      <c r="G1072" s="1593"/>
      <c r="H1072" s="1624">
        <f>LOOKUP($B1072,$T$904:$T$983,E$904:E$983)</f>
        <v>2000</v>
      </c>
      <c r="I1072" s="1624">
        <f>LOOKUP($B1072,$T$904:$T$983,O$904:O$983)</f>
        <v>0</v>
      </c>
      <c r="J1072" s="1624">
        <f>LOOKUP($B1072,$T$904:$T$983,F$904:F$983)</f>
        <v>8000</v>
      </c>
      <c r="K1072" s="1624">
        <f>LOOKUP($B1072,$T$904:$T$983,P$904:P$983)</f>
        <v>2000</v>
      </c>
      <c r="L1072" s="1593"/>
      <c r="M1072" s="1444" t="str">
        <f t="shared" ref="M1072:M1095" si="273">IF(LOOKUP(R1072,R$1044:R$1065,R$1044:R$1065)=R1072,R1072,"")</f>
        <v/>
      </c>
      <c r="N1072" s="1593"/>
      <c r="O1072" s="1593"/>
      <c r="P1072" s="1593"/>
      <c r="Q1072" s="1602"/>
      <c r="R1072" s="1593" t="str">
        <f>IF($A1072="","",IF(LOOKUP($B1072,$T$904:$T$983,R$904:R$983)=0,"",LOOKUP($B1072,$T$904:$T$983,R$904:R$983)))</f>
        <v/>
      </c>
      <c r="S1072" s="1357"/>
      <c r="T1072" s="1357"/>
      <c r="U1072" s="1394">
        <v>1072</v>
      </c>
      <c r="V1072" s="1357"/>
    </row>
    <row r="1073" spans="1:22" ht="15.75" customHeight="1">
      <c r="A1073" s="1622" t="str">
        <f t="shared" si="272"/>
        <v>Goat sales - local: no. sold</v>
      </c>
      <c r="B1073" s="1595">
        <v>2</v>
      </c>
      <c r="C1073" s="1456">
        <f t="shared" ref="C1073:C1099" si="274">IF($A1073="","",LOOKUP($B1073,$T$904:$T$983,C$904:C$983))</f>
        <v>0</v>
      </c>
      <c r="D1073" s="1456">
        <f t="shared" ref="D1073:D1094" si="275">IF($A1073="","",LOOKUP($B1073,$T$904:$T$983,M$904:M$983))</f>
        <v>0</v>
      </c>
      <c r="E1073" s="1456">
        <f t="shared" ref="E1073:E1094" si="276">IF($A1073="","",LOOKUP($B1073,$T$904:$T$983,D$904:D$983))</f>
        <v>500</v>
      </c>
      <c r="F1073" s="1456">
        <f t="shared" ref="F1073:F1094" si="277">IF($A1073="","",LOOKUP($B1073,$T$904:$T$983,N$904:N$983))</f>
        <v>0</v>
      </c>
      <c r="G1073" s="1593"/>
      <c r="H1073" s="1624">
        <f t="shared" ref="H1073:H1094" si="278">IF($A1073="","",LOOKUP($B1073,$T$904:$T$983,E$904:E$983))</f>
        <v>1500</v>
      </c>
      <c r="I1073" s="1624">
        <f t="shared" ref="I1073:I1094" si="279">IF($A1073="","",LOOKUP($B1073,$T$904:$T$983,O$904:O$983))</f>
        <v>1000</v>
      </c>
      <c r="J1073" s="1624">
        <f t="shared" ref="J1073:J1094" si="280">IF($A1073="","",LOOKUP($B1073,$T$904:$T$983,F$904:F$983))</f>
        <v>2500</v>
      </c>
      <c r="K1073" s="1624">
        <f t="shared" ref="K1073:K1094" si="281">IF($A1073="","",LOOKUP($B1073,$T$904:$T$983,P$904:P$983))</f>
        <v>500</v>
      </c>
      <c r="L1073" s="1593"/>
      <c r="M1073" s="1444" t="str">
        <f t="shared" si="273"/>
        <v/>
      </c>
      <c r="N1073" s="1593"/>
      <c r="O1073" s="1593"/>
      <c r="P1073" s="1593"/>
      <c r="Q1073" s="1602"/>
      <c r="R1073" s="1593" t="str">
        <f>IF($A1073="","",IF(LOOKUP($B1073,$T$904:$T$983,R$904:R$983)=0,"",LOOKUP($B1073,$T$904:$T$983,R$904:R$983)))</f>
        <v/>
      </c>
      <c r="S1073" s="1357"/>
      <c r="T1073" s="1357"/>
      <c r="U1073" s="1394">
        <v>1073</v>
      </c>
      <c r="V1073" s="1357"/>
    </row>
    <row r="1074" spans="1:22" ht="15.75" customHeight="1">
      <c r="A1074" s="1622" t="str">
        <f t="shared" si="272"/>
        <v>Chicken sales: no. sold</v>
      </c>
      <c r="B1074" s="1595">
        <v>3</v>
      </c>
      <c r="C1074" s="1456">
        <f t="shared" si="274"/>
        <v>0</v>
      </c>
      <c r="D1074" s="1456">
        <f t="shared" si="275"/>
        <v>0</v>
      </c>
      <c r="E1074" s="1456">
        <f t="shared" si="276"/>
        <v>0</v>
      </c>
      <c r="F1074" s="1456">
        <f t="shared" si="277"/>
        <v>0</v>
      </c>
      <c r="G1074" s="1593"/>
      <c r="H1074" s="1624">
        <f t="shared" si="278"/>
        <v>0</v>
      </c>
      <c r="I1074" s="1624">
        <f t="shared" si="279"/>
        <v>0</v>
      </c>
      <c r="J1074" s="1624">
        <f t="shared" si="280"/>
        <v>550</v>
      </c>
      <c r="K1074" s="1624">
        <f t="shared" si="281"/>
        <v>0</v>
      </c>
      <c r="L1074" s="1593"/>
      <c r="M1074" s="1444" t="str">
        <f t="shared" si="273"/>
        <v/>
      </c>
      <c r="N1074" s="1593"/>
      <c r="O1074" s="1593"/>
      <c r="P1074" s="1593"/>
      <c r="Q1074" s="1602"/>
      <c r="R1074" s="1593" t="str">
        <f t="shared" ref="R1074:R1099" si="282">IF($A1074="","",IF(LOOKUP($B1074,$T$904:$T$983,R$904:R$983)=0,"",LOOKUP($B1074,$T$904:$T$983,R$904:R$983)))</f>
        <v/>
      </c>
      <c r="S1074" s="1357"/>
      <c r="T1074" s="1357"/>
      <c r="U1074" s="1394">
        <v>1074</v>
      </c>
      <c r="V1074" s="1357"/>
    </row>
    <row r="1075" spans="1:22" ht="15.75" customHeight="1">
      <c r="A1075" s="1622" t="str">
        <f t="shared" si="272"/>
        <v>Maize: kg produced</v>
      </c>
      <c r="B1075" s="1595">
        <v>4</v>
      </c>
      <c r="C1075" s="1456">
        <f t="shared" si="274"/>
        <v>0</v>
      </c>
      <c r="D1075" s="1456">
        <f t="shared" si="275"/>
        <v>0</v>
      </c>
      <c r="E1075" s="1456">
        <f t="shared" si="276"/>
        <v>0</v>
      </c>
      <c r="F1075" s="1456">
        <f t="shared" si="277"/>
        <v>0</v>
      </c>
      <c r="G1075" s="1593"/>
      <c r="H1075" s="1624">
        <f t="shared" si="278"/>
        <v>500</v>
      </c>
      <c r="I1075" s="1624">
        <f t="shared" si="279"/>
        <v>-500</v>
      </c>
      <c r="J1075" s="1624">
        <f t="shared" si="280"/>
        <v>655</v>
      </c>
      <c r="K1075" s="1624">
        <f t="shared" si="281"/>
        <v>-655</v>
      </c>
      <c r="L1075" s="1593"/>
      <c r="M1075" s="1444">
        <f t="shared" si="273"/>
        <v>10</v>
      </c>
      <c r="N1075" s="1593"/>
      <c r="O1075" s="1593"/>
      <c r="P1075" s="1593"/>
      <c r="Q1075" s="1602"/>
      <c r="R1075" s="1593">
        <f t="shared" si="282"/>
        <v>10</v>
      </c>
      <c r="S1075" s="1357"/>
      <c r="T1075" s="1357"/>
      <c r="U1075" s="1394">
        <v>1075</v>
      </c>
      <c r="V1075" s="1357"/>
    </row>
    <row r="1076" spans="1:22" ht="15.75" customHeight="1">
      <c r="A1076" s="1622" t="str">
        <f t="shared" si="272"/>
        <v>Beans: kg produced</v>
      </c>
      <c r="B1076" s="1595">
        <v>5</v>
      </c>
      <c r="C1076" s="1456">
        <f t="shared" si="274"/>
        <v>0</v>
      </c>
      <c r="D1076" s="1456">
        <f t="shared" si="275"/>
        <v>0</v>
      </c>
      <c r="E1076" s="1456">
        <f t="shared" si="276"/>
        <v>0</v>
      </c>
      <c r="F1076" s="1456">
        <f t="shared" si="277"/>
        <v>0</v>
      </c>
      <c r="G1076" s="1593"/>
      <c r="H1076" s="1624">
        <f t="shared" si="278"/>
        <v>1250</v>
      </c>
      <c r="I1076" s="1624">
        <f t="shared" si="279"/>
        <v>1812.5</v>
      </c>
      <c r="J1076" s="1624">
        <f t="shared" si="280"/>
        <v>1250</v>
      </c>
      <c r="K1076" s="1624">
        <f t="shared" si="281"/>
        <v>1075</v>
      </c>
      <c r="L1076" s="1593"/>
      <c r="M1076" s="1444">
        <f t="shared" si="273"/>
        <v>15</v>
      </c>
      <c r="N1076" s="1593"/>
      <c r="O1076" s="1593"/>
      <c r="P1076" s="1593"/>
      <c r="Q1076" s="1602"/>
      <c r="R1076" s="1593">
        <f t="shared" si="282"/>
        <v>15</v>
      </c>
      <c r="S1076" s="1357"/>
      <c r="T1076" s="1357"/>
      <c r="U1076" s="1394">
        <v>1076</v>
      </c>
      <c r="V1076" s="1357"/>
    </row>
    <row r="1077" spans="1:22" ht="15.75" customHeight="1">
      <c r="A1077" s="1622" t="str">
        <f t="shared" si="272"/>
        <v>Water melon: no. local meas (Bhece)</v>
      </c>
      <c r="B1077" s="1595">
        <v>6</v>
      </c>
      <c r="C1077" s="1456">
        <f t="shared" si="274"/>
        <v>0</v>
      </c>
      <c r="D1077" s="1456">
        <f t="shared" si="275"/>
        <v>0</v>
      </c>
      <c r="E1077" s="1456">
        <f t="shared" si="276"/>
        <v>0</v>
      </c>
      <c r="F1077" s="1456">
        <f t="shared" si="277"/>
        <v>0</v>
      </c>
      <c r="G1077" s="1593"/>
      <c r="H1077" s="1624">
        <f t="shared" si="278"/>
        <v>99</v>
      </c>
      <c r="I1077" s="1624">
        <f t="shared" si="279"/>
        <v>-99</v>
      </c>
      <c r="J1077" s="1624">
        <f t="shared" si="280"/>
        <v>99</v>
      </c>
      <c r="K1077" s="1624">
        <f t="shared" si="281"/>
        <v>-99</v>
      </c>
      <c r="L1077" s="1593"/>
      <c r="M1077" s="1444">
        <f t="shared" si="273"/>
        <v>20</v>
      </c>
      <c r="N1077" s="1593"/>
      <c r="O1077" s="1593"/>
      <c r="P1077" s="1593"/>
      <c r="Q1077" s="1602"/>
      <c r="R1077" s="1593">
        <f t="shared" si="282"/>
        <v>20</v>
      </c>
      <c r="S1077" s="1357"/>
      <c r="T1077" s="1357"/>
      <c r="U1077" s="1394">
        <v>1077</v>
      </c>
      <c r="V1077" s="1357"/>
    </row>
    <row r="1078" spans="1:22" ht="15.75" customHeight="1">
      <c r="A1078" s="1622" t="str">
        <f t="shared" si="272"/>
        <v>Sweet poatato: no. local meas</v>
      </c>
      <c r="B1078" s="1595">
        <v>7</v>
      </c>
      <c r="C1078" s="1456">
        <f t="shared" si="274"/>
        <v>0</v>
      </c>
      <c r="D1078" s="1456">
        <f t="shared" si="275"/>
        <v>0</v>
      </c>
      <c r="E1078" s="1456">
        <f t="shared" si="276"/>
        <v>0</v>
      </c>
      <c r="F1078" s="1456">
        <f t="shared" si="277"/>
        <v>0</v>
      </c>
      <c r="G1078" s="1593"/>
      <c r="H1078" s="1624">
        <f t="shared" si="278"/>
        <v>250</v>
      </c>
      <c r="I1078" s="1624">
        <f t="shared" si="279"/>
        <v>-250</v>
      </c>
      <c r="J1078" s="1624">
        <f t="shared" si="280"/>
        <v>750</v>
      </c>
      <c r="K1078" s="1624">
        <f t="shared" si="281"/>
        <v>-750</v>
      </c>
      <c r="L1078" s="1593"/>
      <c r="M1078" s="1444">
        <f t="shared" si="273"/>
        <v>22</v>
      </c>
      <c r="N1078" s="1593"/>
      <c r="O1078" s="1593"/>
      <c r="P1078" s="1593"/>
      <c r="Q1078" s="1602"/>
      <c r="R1078" s="1593">
        <f t="shared" si="282"/>
        <v>22</v>
      </c>
      <c r="S1078" s="1357"/>
      <c r="T1078" s="1357"/>
      <c r="U1078" s="1394">
        <v>1078</v>
      </c>
      <c r="V1078" s="1357"/>
    </row>
    <row r="1079" spans="1:22" ht="15.75" customHeight="1">
      <c r="A1079" s="1622" t="str">
        <f t="shared" si="272"/>
        <v>Groundnuts (dry): no. local meas</v>
      </c>
      <c r="B1079" s="1595">
        <v>8</v>
      </c>
      <c r="C1079" s="1456">
        <f t="shared" si="274"/>
        <v>0</v>
      </c>
      <c r="D1079" s="1456">
        <f t="shared" si="275"/>
        <v>0</v>
      </c>
      <c r="E1079" s="1456">
        <f t="shared" si="276"/>
        <v>650</v>
      </c>
      <c r="F1079" s="1456">
        <f t="shared" si="277"/>
        <v>-650</v>
      </c>
      <c r="G1079" s="1593"/>
      <c r="H1079" s="1624">
        <f t="shared" si="278"/>
        <v>250</v>
      </c>
      <c r="I1079" s="1624">
        <f t="shared" si="279"/>
        <v>-250</v>
      </c>
      <c r="J1079" s="1624">
        <f t="shared" si="280"/>
        <v>1140</v>
      </c>
      <c r="K1079" s="1624">
        <f t="shared" si="281"/>
        <v>-1140</v>
      </c>
      <c r="L1079" s="1593"/>
      <c r="M1079" s="1444">
        <f t="shared" si="273"/>
        <v>23</v>
      </c>
      <c r="N1079" s="1593"/>
      <c r="O1079" s="1593"/>
      <c r="P1079" s="1593"/>
      <c r="Q1079" s="1602"/>
      <c r="R1079" s="1593">
        <f t="shared" si="282"/>
        <v>23</v>
      </c>
      <c r="S1079" s="1357"/>
      <c r="T1079" s="1357"/>
      <c r="U1079" s="1394">
        <v>1079</v>
      </c>
      <c r="V1079" s="1357"/>
    </row>
    <row r="1080" spans="1:22" ht="15.75" customHeight="1">
      <c r="A1080" s="1622" t="str">
        <f t="shared" si="272"/>
        <v>Irish potato: type</v>
      </c>
      <c r="B1080" s="1595">
        <v>9</v>
      </c>
      <c r="C1080" s="1456">
        <f t="shared" si="274"/>
        <v>0</v>
      </c>
      <c r="D1080" s="1456">
        <f t="shared" si="275"/>
        <v>0</v>
      </c>
      <c r="E1080" s="1456">
        <f t="shared" si="276"/>
        <v>36</v>
      </c>
      <c r="F1080" s="1456">
        <f t="shared" si="277"/>
        <v>-36</v>
      </c>
      <c r="G1080" s="1593"/>
      <c r="H1080" s="1624">
        <f t="shared" si="278"/>
        <v>772</v>
      </c>
      <c r="I1080" s="1624">
        <f t="shared" si="279"/>
        <v>-772</v>
      </c>
      <c r="J1080" s="1624">
        <f t="shared" si="280"/>
        <v>280</v>
      </c>
      <c r="K1080" s="1624">
        <f t="shared" si="281"/>
        <v>-280</v>
      </c>
      <c r="L1080" s="1593"/>
      <c r="M1080" s="1444">
        <f t="shared" si="273"/>
        <v>25</v>
      </c>
      <c r="N1080" s="1593"/>
      <c r="O1080" s="1593"/>
      <c r="P1080" s="1593"/>
      <c r="Q1080" s="1602"/>
      <c r="R1080" s="1593">
        <f t="shared" si="282"/>
        <v>25</v>
      </c>
      <c r="S1080" s="1357"/>
      <c r="T1080" s="1357"/>
      <c r="U1080" s="1394">
        <v>1080</v>
      </c>
      <c r="V1080" s="1357"/>
    </row>
    <row r="1081" spans="1:22" ht="15.75" customHeight="1">
      <c r="A1081" s="1622" t="str">
        <f t="shared" si="272"/>
        <v>Yam: type</v>
      </c>
      <c r="B1081" s="1595">
        <v>10</v>
      </c>
      <c r="C1081" s="1456">
        <f t="shared" si="274"/>
        <v>0</v>
      </c>
      <c r="D1081" s="1456">
        <f t="shared" si="275"/>
        <v>0</v>
      </c>
      <c r="E1081" s="1456">
        <f t="shared" si="276"/>
        <v>0</v>
      </c>
      <c r="F1081" s="1456">
        <f t="shared" si="277"/>
        <v>0</v>
      </c>
      <c r="G1081" s="1593"/>
      <c r="H1081" s="1624">
        <f t="shared" si="278"/>
        <v>400</v>
      </c>
      <c r="I1081" s="1624">
        <f t="shared" si="279"/>
        <v>0</v>
      </c>
      <c r="J1081" s="1624">
        <f t="shared" si="280"/>
        <v>500</v>
      </c>
      <c r="K1081" s="1624">
        <f t="shared" si="281"/>
        <v>0</v>
      </c>
      <c r="L1081" s="1593"/>
      <c r="M1081" s="1444">
        <f t="shared" si="273"/>
        <v>27</v>
      </c>
      <c r="N1081" s="1593"/>
      <c r="O1081" s="1593"/>
      <c r="P1081" s="1593"/>
      <c r="Q1081" s="1602"/>
      <c r="R1081" s="1593">
        <f t="shared" si="282"/>
        <v>27</v>
      </c>
      <c r="S1081" s="1357"/>
      <c r="T1081" s="1357"/>
      <c r="U1081" s="1394">
        <v>1081</v>
      </c>
      <c r="V1081" s="1357"/>
    </row>
    <row r="1082" spans="1:22" ht="15.75" customHeight="1">
      <c r="A1082" s="1622" t="str">
        <f t="shared" si="272"/>
        <v>Spinach (cash): kg produced</v>
      </c>
      <c r="B1082" s="1595">
        <v>11</v>
      </c>
      <c r="C1082" s="1456">
        <f t="shared" si="274"/>
        <v>0</v>
      </c>
      <c r="D1082" s="1456">
        <f t="shared" si="275"/>
        <v>0</v>
      </c>
      <c r="E1082" s="1456">
        <f t="shared" si="276"/>
        <v>150</v>
      </c>
      <c r="F1082" s="1456">
        <f t="shared" si="277"/>
        <v>0</v>
      </c>
      <c r="G1082" s="1593"/>
      <c r="H1082" s="1624">
        <f t="shared" si="278"/>
        <v>100</v>
      </c>
      <c r="I1082" s="1624">
        <f t="shared" si="279"/>
        <v>0</v>
      </c>
      <c r="J1082" s="1624">
        <f t="shared" si="280"/>
        <v>300</v>
      </c>
      <c r="K1082" s="1624">
        <f t="shared" si="281"/>
        <v>0</v>
      </c>
      <c r="L1082" s="1593"/>
      <c r="M1082" s="1444" t="str">
        <f t="shared" si="273"/>
        <v/>
      </c>
      <c r="N1082" s="1593"/>
      <c r="O1082" s="1593"/>
      <c r="P1082" s="1593"/>
      <c r="Q1082" s="1602"/>
      <c r="R1082" s="1593" t="str">
        <f t="shared" si="282"/>
        <v/>
      </c>
      <c r="S1082" s="1357"/>
      <c r="T1082" s="1357"/>
      <c r="U1082" s="1394">
        <v>1082</v>
      </c>
      <c r="V1082" s="1357"/>
    </row>
    <row r="1083" spans="1:22" ht="15.75" customHeight="1">
      <c r="A1083" s="1622" t="str">
        <f t="shared" si="272"/>
        <v>Tomatoes (cash): kg produced</v>
      </c>
      <c r="B1083" s="1595">
        <v>12</v>
      </c>
      <c r="C1083" s="1456">
        <f t="shared" si="274"/>
        <v>0</v>
      </c>
      <c r="D1083" s="1456">
        <f t="shared" si="275"/>
        <v>0</v>
      </c>
      <c r="E1083" s="1456">
        <f t="shared" si="276"/>
        <v>0</v>
      </c>
      <c r="F1083" s="1456">
        <f t="shared" si="277"/>
        <v>0</v>
      </c>
      <c r="G1083" s="1593"/>
      <c r="H1083" s="1624">
        <f t="shared" si="278"/>
        <v>0</v>
      </c>
      <c r="I1083" s="1624">
        <f t="shared" si="279"/>
        <v>0</v>
      </c>
      <c r="J1083" s="1624">
        <f t="shared" si="280"/>
        <v>500</v>
      </c>
      <c r="K1083" s="1624">
        <f t="shared" si="281"/>
        <v>0</v>
      </c>
      <c r="L1083" s="1593"/>
      <c r="M1083" s="1444" t="str">
        <f t="shared" si="273"/>
        <v/>
      </c>
      <c r="N1083" s="1593"/>
      <c r="O1083" s="1593"/>
      <c r="P1083" s="1593"/>
      <c r="Q1083" s="1602"/>
      <c r="R1083" s="1593" t="str">
        <f t="shared" si="282"/>
        <v/>
      </c>
      <c r="S1083" s="1357"/>
      <c r="T1083" s="1357"/>
      <c r="U1083" s="1394">
        <v>1083</v>
      </c>
      <c r="V1083" s="1357"/>
    </row>
    <row r="1084" spans="1:22" ht="15.75" customHeight="1">
      <c r="A1084" s="1622" t="str">
        <f t="shared" si="272"/>
        <v>Cabbage (cash): kg produced</v>
      </c>
      <c r="B1084" s="1595">
        <v>13</v>
      </c>
      <c r="C1084" s="1456">
        <f t="shared" si="274"/>
        <v>0</v>
      </c>
      <c r="D1084" s="1456">
        <f t="shared" si="275"/>
        <v>0</v>
      </c>
      <c r="E1084" s="1456">
        <f t="shared" si="276"/>
        <v>0</v>
      </c>
      <c r="F1084" s="1456">
        <f t="shared" si="277"/>
        <v>0</v>
      </c>
      <c r="G1084" s="1593"/>
      <c r="H1084" s="1624">
        <f t="shared" si="278"/>
        <v>0</v>
      </c>
      <c r="I1084" s="1624">
        <f t="shared" si="279"/>
        <v>0</v>
      </c>
      <c r="J1084" s="1624">
        <f t="shared" si="280"/>
        <v>300</v>
      </c>
      <c r="K1084" s="1624">
        <f t="shared" si="281"/>
        <v>0</v>
      </c>
      <c r="L1084" s="1593"/>
      <c r="M1084" s="1444" t="str">
        <f t="shared" si="273"/>
        <v/>
      </c>
      <c r="N1084" s="1593"/>
      <c r="O1084" s="1593"/>
      <c r="P1084" s="1593"/>
      <c r="Q1084" s="1602"/>
      <c r="R1084" s="1593" t="str">
        <f t="shared" si="282"/>
        <v/>
      </c>
      <c r="S1084" s="1357"/>
      <c r="T1084" s="1357"/>
      <c r="U1084" s="1394">
        <v>1084</v>
      </c>
      <c r="V1084" s="1357"/>
    </row>
    <row r="1085" spans="1:22" ht="15.75" customHeight="1">
      <c r="A1085" s="1622" t="str">
        <f t="shared" si="272"/>
        <v>Agricultural cash income -- see Data2</v>
      </c>
      <c r="B1085" s="1595">
        <v>14</v>
      </c>
      <c r="C1085" s="1456">
        <f t="shared" si="274"/>
        <v>0</v>
      </c>
      <c r="D1085" s="1456">
        <f t="shared" si="275"/>
        <v>0</v>
      </c>
      <c r="E1085" s="1456">
        <f t="shared" si="276"/>
        <v>1109</v>
      </c>
      <c r="F1085" s="1456">
        <f t="shared" si="277"/>
        <v>0</v>
      </c>
      <c r="G1085" s="1593"/>
      <c r="H1085" s="1624">
        <f t="shared" si="278"/>
        <v>752</v>
      </c>
      <c r="I1085" s="1624">
        <f t="shared" si="279"/>
        <v>0</v>
      </c>
      <c r="J1085" s="1624">
        <f t="shared" si="280"/>
        <v>0</v>
      </c>
      <c r="K1085" s="1624">
        <f t="shared" si="281"/>
        <v>0</v>
      </c>
      <c r="L1085" s="1593"/>
      <c r="M1085" s="1444" t="str">
        <f t="shared" si="273"/>
        <v/>
      </c>
      <c r="N1085" s="1593"/>
      <c r="O1085" s="1593"/>
      <c r="P1085" s="1593"/>
      <c r="Q1085" s="1602"/>
      <c r="R1085" s="1593" t="str">
        <f t="shared" si="282"/>
        <v/>
      </c>
      <c r="S1085" s="1357"/>
      <c r="T1085" s="1357"/>
      <c r="U1085" s="1394">
        <v>1085</v>
      </c>
      <c r="V1085" s="1357"/>
    </row>
    <row r="1086" spans="1:22" ht="15.75" customHeight="1">
      <c r="A1086" s="1622" t="str">
        <f t="shared" si="272"/>
        <v>Labour migration(formal employment): no. people per HH</v>
      </c>
      <c r="B1086" s="1595">
        <v>15</v>
      </c>
      <c r="C1086" s="1456">
        <f t="shared" si="274"/>
        <v>0</v>
      </c>
      <c r="D1086" s="1456">
        <f t="shared" si="275"/>
        <v>0</v>
      </c>
      <c r="E1086" s="1456">
        <f t="shared" si="276"/>
        <v>0</v>
      </c>
      <c r="F1086" s="1456">
        <f t="shared" si="277"/>
        <v>0</v>
      </c>
      <c r="G1086" s="1593"/>
      <c r="H1086" s="1624">
        <f t="shared" si="278"/>
        <v>0</v>
      </c>
      <c r="I1086" s="1624">
        <f t="shared" si="279"/>
        <v>0</v>
      </c>
      <c r="J1086" s="1624">
        <f t="shared" si="280"/>
        <v>11000</v>
      </c>
      <c r="K1086" s="1624">
        <f t="shared" si="281"/>
        <v>0</v>
      </c>
      <c r="L1086" s="1593"/>
      <c r="M1086" s="1444" t="str">
        <f t="shared" si="273"/>
        <v/>
      </c>
      <c r="N1086" s="1593"/>
      <c r="O1086" s="1593"/>
      <c r="P1086" s="1593"/>
      <c r="Q1086" s="1602"/>
      <c r="R1086" s="1593">
        <f t="shared" si="282"/>
        <v>30</v>
      </c>
      <c r="S1086" s="1357"/>
      <c r="T1086" s="1357"/>
      <c r="U1086" s="1394">
        <v>1086</v>
      </c>
      <c r="V1086" s="1357"/>
    </row>
    <row r="1087" spans="1:22" ht="15.75" customHeight="1">
      <c r="A1087" s="1622" t="str">
        <f t="shared" si="272"/>
        <v>Formal Employment (conservancies, etc.)</v>
      </c>
      <c r="B1087" s="1595">
        <v>16</v>
      </c>
      <c r="C1087" s="1456">
        <f t="shared" si="274"/>
        <v>0</v>
      </c>
      <c r="D1087" s="1456">
        <f t="shared" si="275"/>
        <v>0</v>
      </c>
      <c r="E1087" s="1456">
        <f t="shared" si="276"/>
        <v>0</v>
      </c>
      <c r="F1087" s="1456">
        <f t="shared" si="277"/>
        <v>0</v>
      </c>
      <c r="G1087" s="1593"/>
      <c r="H1087" s="1624">
        <f t="shared" si="278"/>
        <v>0</v>
      </c>
      <c r="I1087" s="1624">
        <f t="shared" si="279"/>
        <v>0</v>
      </c>
      <c r="J1087" s="1624">
        <f t="shared" si="280"/>
        <v>23760</v>
      </c>
      <c r="K1087" s="1624">
        <f t="shared" si="281"/>
        <v>0</v>
      </c>
      <c r="L1087" s="1593"/>
      <c r="M1087" s="1444" t="str">
        <f t="shared" si="273"/>
        <v/>
      </c>
      <c r="N1087" s="1593"/>
      <c r="O1087" s="1593"/>
      <c r="P1087" s="1593"/>
      <c r="Q1087" s="1602"/>
      <c r="R1087" s="1593" t="str">
        <f t="shared" si="282"/>
        <v/>
      </c>
      <c r="S1087" s="1357"/>
      <c r="T1087" s="1357"/>
      <c r="U1087" s="1394">
        <v>1087</v>
      </c>
      <c r="V1087" s="1357"/>
    </row>
    <row r="1088" spans="1:22" ht="15.75" customHeight="1">
      <c r="A1088" s="1622" t="str">
        <f t="shared" si="272"/>
        <v>Self-employment -- see Data2</v>
      </c>
      <c r="B1088" s="1595">
        <v>17</v>
      </c>
      <c r="C1088" s="1456">
        <f t="shared" si="274"/>
        <v>0</v>
      </c>
      <c r="D1088" s="1456">
        <f t="shared" si="275"/>
        <v>0</v>
      </c>
      <c r="E1088" s="1456">
        <f t="shared" si="276"/>
        <v>0</v>
      </c>
      <c r="F1088" s="1456">
        <f t="shared" si="277"/>
        <v>0</v>
      </c>
      <c r="G1088" s="1593"/>
      <c r="H1088" s="1624">
        <f t="shared" si="278"/>
        <v>429</v>
      </c>
      <c r="I1088" s="1624">
        <f t="shared" si="279"/>
        <v>85.799999999999955</v>
      </c>
      <c r="J1088" s="1624">
        <f t="shared" si="280"/>
        <v>0</v>
      </c>
      <c r="K1088" s="1624">
        <f t="shared" si="281"/>
        <v>0</v>
      </c>
      <c r="L1088" s="1593"/>
      <c r="M1088" s="1444" t="str">
        <f t="shared" si="273"/>
        <v/>
      </c>
      <c r="N1088" s="1593"/>
      <c r="O1088" s="1593"/>
      <c r="P1088" s="1593"/>
      <c r="Q1088" s="1602"/>
      <c r="R1088" s="1593" t="str">
        <f t="shared" si="282"/>
        <v/>
      </c>
      <c r="S1088" s="1357"/>
      <c r="T1088" s="1357"/>
      <c r="U1088" s="1394">
        <v>1088</v>
      </c>
      <c r="V1088" s="1357"/>
    </row>
    <row r="1089" spans="1:22" ht="15.75" customHeight="1">
      <c r="A1089" s="1622" t="str">
        <f t="shared" si="272"/>
        <v>Small business -- see Data2</v>
      </c>
      <c r="B1089" s="1595">
        <v>18</v>
      </c>
      <c r="C1089" s="1456">
        <f t="shared" si="274"/>
        <v>0</v>
      </c>
      <c r="D1089" s="1456">
        <f t="shared" si="275"/>
        <v>0</v>
      </c>
      <c r="E1089" s="1456">
        <f t="shared" si="276"/>
        <v>0</v>
      </c>
      <c r="F1089" s="1456">
        <f t="shared" si="277"/>
        <v>0</v>
      </c>
      <c r="G1089" s="1593"/>
      <c r="H1089" s="1624">
        <f t="shared" si="278"/>
        <v>2160</v>
      </c>
      <c r="I1089" s="1624">
        <f t="shared" si="279"/>
        <v>0</v>
      </c>
      <c r="J1089" s="1624">
        <f t="shared" si="280"/>
        <v>0</v>
      </c>
      <c r="K1089" s="1624">
        <f t="shared" si="281"/>
        <v>0</v>
      </c>
      <c r="L1089" s="1593"/>
      <c r="M1089" s="1444" t="str">
        <f t="shared" si="273"/>
        <v/>
      </c>
      <c r="N1089" s="1593"/>
      <c r="O1089" s="1593"/>
      <c r="P1089" s="1593"/>
      <c r="Q1089" s="1602"/>
      <c r="R1089" s="1593" t="str">
        <f t="shared" si="282"/>
        <v/>
      </c>
      <c r="S1089" s="1357"/>
      <c r="T1089" s="1357"/>
      <c r="U1089" s="1394">
        <v>1089</v>
      </c>
      <c r="V1089" s="1357"/>
    </row>
    <row r="1090" spans="1:22" ht="15.75" customHeight="1">
      <c r="A1090" s="1622" t="str">
        <f t="shared" si="272"/>
        <v>Social development -- see Data2</v>
      </c>
      <c r="B1090" s="1595">
        <v>19</v>
      </c>
      <c r="C1090" s="1456">
        <f t="shared" si="274"/>
        <v>22020</v>
      </c>
      <c r="D1090" s="1456">
        <f t="shared" si="275"/>
        <v>0</v>
      </c>
      <c r="E1090" s="1456">
        <f t="shared" si="276"/>
        <v>22020</v>
      </c>
      <c r="F1090" s="1456">
        <f t="shared" si="277"/>
        <v>0</v>
      </c>
      <c r="G1090" s="1593"/>
      <c r="H1090" s="1624">
        <f t="shared" si="278"/>
        <v>22020</v>
      </c>
      <c r="I1090" s="1624">
        <f t="shared" si="279"/>
        <v>0</v>
      </c>
      <c r="J1090" s="1624">
        <f t="shared" si="280"/>
        <v>6162</v>
      </c>
      <c r="K1090" s="1624">
        <f t="shared" si="281"/>
        <v>0</v>
      </c>
      <c r="L1090" s="1593"/>
      <c r="M1090" s="1444" t="str">
        <f t="shared" si="273"/>
        <v/>
      </c>
      <c r="N1090" s="1593"/>
      <c r="O1090" s="1593"/>
      <c r="P1090" s="1593"/>
      <c r="Q1090" s="1602"/>
      <c r="R1090" s="1593" t="str">
        <f t="shared" si="282"/>
        <v/>
      </c>
      <c r="S1090" s="1357"/>
      <c r="T1090" s="1357"/>
      <c r="U1090" s="1394">
        <v>1090</v>
      </c>
      <c r="V1090" s="1357"/>
    </row>
    <row r="1091" spans="1:22" ht="15.75" customHeight="1">
      <c r="A1091" s="1622" t="str">
        <f t="shared" si="272"/>
        <v>Public works -- see Data2</v>
      </c>
      <c r="B1091" s="1595">
        <v>20</v>
      </c>
      <c r="C1091" s="1456">
        <f t="shared" si="274"/>
        <v>0</v>
      </c>
      <c r="D1091" s="1456">
        <f t="shared" si="275"/>
        <v>0</v>
      </c>
      <c r="E1091" s="1456">
        <f t="shared" si="276"/>
        <v>0</v>
      </c>
      <c r="F1091" s="1456">
        <f t="shared" si="277"/>
        <v>0</v>
      </c>
      <c r="G1091" s="1593"/>
      <c r="H1091" s="1624">
        <f t="shared" si="278"/>
        <v>371</v>
      </c>
      <c r="I1091" s="1624">
        <f t="shared" si="279"/>
        <v>0</v>
      </c>
      <c r="J1091" s="1624">
        <f t="shared" si="280"/>
        <v>0</v>
      </c>
      <c r="K1091" s="1624">
        <f t="shared" si="281"/>
        <v>0</v>
      </c>
      <c r="L1091" s="1593"/>
      <c r="M1091" s="1444" t="str">
        <f t="shared" si="273"/>
        <v/>
      </c>
      <c r="N1091" s="1593"/>
      <c r="O1091" s="1593"/>
      <c r="P1091" s="1593"/>
      <c r="Q1091" s="1602"/>
      <c r="R1091" s="1593" t="str">
        <f t="shared" si="282"/>
        <v/>
      </c>
      <c r="S1091" s="1357"/>
      <c r="T1091" s="1357"/>
      <c r="U1091" s="1394">
        <v>1091</v>
      </c>
      <c r="V1091" s="1357"/>
    </row>
    <row r="1092" spans="1:22" ht="15.75" customHeight="1">
      <c r="A1092" s="1622" t="str">
        <f t="shared" si="272"/>
        <v>Other income: e.g. Credit (cotton loans)</v>
      </c>
      <c r="B1092" s="1595">
        <v>21</v>
      </c>
      <c r="C1092" s="1456">
        <f t="shared" si="274"/>
        <v>0</v>
      </c>
      <c r="D1092" s="1456">
        <f t="shared" si="275"/>
        <v>0</v>
      </c>
      <c r="E1092" s="1456">
        <f t="shared" si="276"/>
        <v>0</v>
      </c>
      <c r="F1092" s="1456">
        <f t="shared" si="277"/>
        <v>0</v>
      </c>
      <c r="G1092" s="1593"/>
      <c r="H1092" s="1624">
        <f t="shared" si="278"/>
        <v>1600</v>
      </c>
      <c r="I1092" s="1624">
        <f t="shared" si="279"/>
        <v>0</v>
      </c>
      <c r="J1092" s="1624">
        <f t="shared" si="280"/>
        <v>0</v>
      </c>
      <c r="K1092" s="1624">
        <f t="shared" si="281"/>
        <v>0</v>
      </c>
      <c r="L1092" s="1593"/>
      <c r="M1092" s="1444" t="str">
        <f t="shared" si="273"/>
        <v/>
      </c>
      <c r="N1092" s="1593"/>
      <c r="O1092" s="1593"/>
      <c r="P1092" s="1593"/>
      <c r="Q1092" s="1602"/>
      <c r="R1092" s="1593" t="str">
        <f t="shared" si="282"/>
        <v/>
      </c>
      <c r="S1092" s="1357"/>
      <c r="T1092" s="1357"/>
      <c r="U1092" s="1394">
        <v>1092</v>
      </c>
      <c r="V1092" s="1357"/>
    </row>
    <row r="1093" spans="1:22" ht="15.75" customHeight="1">
      <c r="A1093" s="1622" t="str">
        <f t="shared" si="272"/>
        <v/>
      </c>
      <c r="B1093" s="1595">
        <v>22</v>
      </c>
      <c r="C1093" s="1456" t="str">
        <f t="shared" si="274"/>
        <v/>
      </c>
      <c r="D1093" s="1456" t="str">
        <f t="shared" si="275"/>
        <v/>
      </c>
      <c r="E1093" s="1456" t="str">
        <f t="shared" si="276"/>
        <v/>
      </c>
      <c r="F1093" s="1456" t="str">
        <f t="shared" si="277"/>
        <v/>
      </c>
      <c r="G1093" s="1593"/>
      <c r="H1093" s="1624" t="str">
        <f t="shared" si="278"/>
        <v/>
      </c>
      <c r="I1093" s="1624" t="str">
        <f t="shared" si="279"/>
        <v/>
      </c>
      <c r="J1093" s="1624" t="str">
        <f t="shared" si="280"/>
        <v/>
      </c>
      <c r="K1093" s="1624" t="str">
        <f t="shared" si="281"/>
        <v/>
      </c>
      <c r="L1093" s="1593"/>
      <c r="M1093" s="1444" t="str">
        <f t="shared" si="273"/>
        <v/>
      </c>
      <c r="N1093" s="1593"/>
      <c r="O1093" s="1593"/>
      <c r="P1093" s="1593"/>
      <c r="Q1093" s="1602"/>
      <c r="R1093" s="1593" t="str">
        <f t="shared" si="282"/>
        <v/>
      </c>
      <c r="S1093" s="1357"/>
      <c r="T1093" s="1357"/>
      <c r="U1093" s="1394">
        <v>1093</v>
      </c>
      <c r="V1093" s="1357"/>
    </row>
    <row r="1094" spans="1:22" ht="15.75" customHeight="1">
      <c r="A1094" s="1622" t="str">
        <f t="shared" si="272"/>
        <v/>
      </c>
      <c r="B1094" s="1595">
        <v>23</v>
      </c>
      <c r="C1094" s="1456" t="str">
        <f t="shared" si="274"/>
        <v/>
      </c>
      <c r="D1094" s="1456" t="str">
        <f t="shared" si="275"/>
        <v/>
      </c>
      <c r="E1094" s="1456" t="str">
        <f t="shared" si="276"/>
        <v/>
      </c>
      <c r="F1094" s="1456" t="str">
        <f t="shared" si="277"/>
        <v/>
      </c>
      <c r="G1094" s="1593"/>
      <c r="H1094" s="1624" t="str">
        <f t="shared" si="278"/>
        <v/>
      </c>
      <c r="I1094" s="1624" t="str">
        <f t="shared" si="279"/>
        <v/>
      </c>
      <c r="J1094" s="1624" t="str">
        <f t="shared" si="280"/>
        <v/>
      </c>
      <c r="K1094" s="1624" t="str">
        <f t="shared" si="281"/>
        <v/>
      </c>
      <c r="L1094" s="1593"/>
      <c r="M1094" s="1444" t="str">
        <f t="shared" si="273"/>
        <v/>
      </c>
      <c r="N1094" s="1593"/>
      <c r="O1094" s="1593"/>
      <c r="P1094" s="1593"/>
      <c r="Q1094" s="1602"/>
      <c r="R1094" s="1593" t="str">
        <f t="shared" si="282"/>
        <v/>
      </c>
      <c r="S1094" s="1357"/>
      <c r="T1094" s="1357"/>
      <c r="U1094" s="1394">
        <v>1094</v>
      </c>
      <c r="V1094" s="1357"/>
    </row>
    <row r="1095" spans="1:22" ht="15.75" customHeight="1">
      <c r="A1095" s="1622" t="str">
        <f t="shared" ref="A1095" si="283">IF(OR(A1094="",LOOKUP(B1095,$T$904:$T$983,A$904:A$983)=A1094),"",LOOKUP(B1095,$T$904:$T$983,A$904:A$983))</f>
        <v/>
      </c>
      <c r="B1095" s="1595">
        <v>24</v>
      </c>
      <c r="C1095" s="1456" t="str">
        <f t="shared" si="274"/>
        <v/>
      </c>
      <c r="D1095" s="1456" t="str">
        <f t="shared" ref="D1095" si="284">IF($A1095="","",LOOKUP($B1095,$T$904:$T$983,M$904:M$983))</f>
        <v/>
      </c>
      <c r="E1095" s="1456" t="str">
        <f t="shared" ref="E1095" si="285">IF($A1095="","",LOOKUP($B1095,$T$904:$T$983,D$904:D$983))</f>
        <v/>
      </c>
      <c r="F1095" s="1456" t="str">
        <f t="shared" ref="F1095" si="286">IF($A1095="","",LOOKUP($B1095,$T$904:$T$983,N$904:N$983))</f>
        <v/>
      </c>
      <c r="G1095" s="1593"/>
      <c r="H1095" s="1624" t="str">
        <f t="shared" ref="H1095" si="287">IF($A1095="","",LOOKUP($B1095,$T$904:$T$983,E$904:E$983))</f>
        <v/>
      </c>
      <c r="I1095" s="1624" t="str">
        <f t="shared" ref="I1095" si="288">IF($A1095="","",LOOKUP($B1095,$T$904:$T$983,O$904:O$983))</f>
        <v/>
      </c>
      <c r="J1095" s="1624" t="str">
        <f t="shared" ref="J1095" si="289">IF($A1095="","",LOOKUP($B1095,$T$904:$T$983,F$904:F$983))</f>
        <v/>
      </c>
      <c r="K1095" s="1624" t="str">
        <f t="shared" ref="K1095" si="290">IF($A1095="","",LOOKUP($B1095,$T$904:$T$983,P$904:P$983))</f>
        <v/>
      </c>
      <c r="L1095" s="1593"/>
      <c r="M1095" s="1444" t="str">
        <f t="shared" si="273"/>
        <v/>
      </c>
      <c r="N1095" s="1593"/>
      <c r="O1095" s="1593"/>
      <c r="P1095" s="1593"/>
      <c r="Q1095" s="1602"/>
      <c r="R1095" s="1593" t="str">
        <f t="shared" si="282"/>
        <v/>
      </c>
      <c r="S1095" s="1357"/>
      <c r="T1095" s="1357"/>
      <c r="U1095" s="1394">
        <v>1095</v>
      </c>
      <c r="V1095" s="1357"/>
    </row>
    <row r="1096" spans="1:22" ht="15.75" customHeight="1">
      <c r="A1096" s="1622" t="str">
        <f t="shared" ref="A1096:A1099" si="291">IF(OR(A1095="",LOOKUP(B1096,$T$904:$T$983,A$904:A$983)=A1095),"",LOOKUP(B1096,$T$904:$T$983,A$904:A$983))</f>
        <v/>
      </c>
      <c r="B1096" s="1595">
        <v>25</v>
      </c>
      <c r="C1096" s="1456" t="str">
        <f t="shared" si="274"/>
        <v/>
      </c>
      <c r="D1096" s="1456" t="str">
        <f t="shared" ref="D1096:D1099" si="292">IF($A1096="","",LOOKUP($B1096,$T$904:$T$983,M$904:M$983))</f>
        <v/>
      </c>
      <c r="E1096" s="1456" t="str">
        <f t="shared" ref="E1096:E1099" si="293">IF($A1096="","",LOOKUP($B1096,$T$904:$T$983,D$904:D$983))</f>
        <v/>
      </c>
      <c r="F1096" s="1456" t="str">
        <f t="shared" ref="F1096:F1099" si="294">IF($A1096="","",LOOKUP($B1096,$T$904:$T$983,N$904:N$983))</f>
        <v/>
      </c>
      <c r="G1096" s="1593"/>
      <c r="H1096" s="1624" t="str">
        <f t="shared" ref="H1096:H1099" si="295">IF($A1096="","",LOOKUP($B1096,$T$904:$T$983,E$904:E$983))</f>
        <v/>
      </c>
      <c r="I1096" s="1624" t="str">
        <f t="shared" ref="I1096:I1099" si="296">IF($A1096="","",LOOKUP($B1096,$T$904:$T$983,O$904:O$983))</f>
        <v/>
      </c>
      <c r="J1096" s="1624" t="str">
        <f t="shared" ref="J1096:J1099" si="297">IF($A1096="","",LOOKUP($B1096,$T$904:$T$983,F$904:F$983))</f>
        <v/>
      </c>
      <c r="K1096" s="1624" t="str">
        <f t="shared" ref="K1096:K1099" si="298">IF($A1096="","",LOOKUP($B1096,$T$904:$T$983,P$904:P$983))</f>
        <v/>
      </c>
      <c r="L1096" s="1593"/>
      <c r="M1096" s="1444" t="str">
        <f t="shared" ref="M1096:M1099" si="299">IF(LOOKUP(R1096,R$1044:R$1065,R$1044:R$1065)=R1096,R1096,"")</f>
        <v/>
      </c>
      <c r="N1096" s="1593"/>
      <c r="O1096" s="1593"/>
      <c r="P1096" s="1593"/>
      <c r="Q1096" s="1602"/>
      <c r="R1096" s="1593" t="str">
        <f t="shared" si="282"/>
        <v/>
      </c>
      <c r="S1096" s="1357"/>
      <c r="T1096" s="1357"/>
      <c r="U1096" s="1394">
        <v>1096</v>
      </c>
      <c r="V1096" s="1357"/>
    </row>
    <row r="1097" spans="1:22" ht="15.75" customHeight="1">
      <c r="A1097" s="1622" t="str">
        <f t="shared" si="291"/>
        <v/>
      </c>
      <c r="B1097" s="1595">
        <v>26</v>
      </c>
      <c r="C1097" s="1456" t="str">
        <f t="shared" si="274"/>
        <v/>
      </c>
      <c r="D1097" s="1456" t="str">
        <f t="shared" si="292"/>
        <v/>
      </c>
      <c r="E1097" s="1456" t="str">
        <f t="shared" si="293"/>
        <v/>
      </c>
      <c r="F1097" s="1456" t="str">
        <f t="shared" si="294"/>
        <v/>
      </c>
      <c r="G1097" s="1593"/>
      <c r="H1097" s="1624" t="str">
        <f t="shared" si="295"/>
        <v/>
      </c>
      <c r="I1097" s="1624" t="str">
        <f t="shared" si="296"/>
        <v/>
      </c>
      <c r="J1097" s="1624" t="str">
        <f t="shared" si="297"/>
        <v/>
      </c>
      <c r="K1097" s="1624" t="str">
        <f t="shared" si="298"/>
        <v/>
      </c>
      <c r="L1097" s="1593"/>
      <c r="M1097" s="1444" t="str">
        <f t="shared" si="299"/>
        <v/>
      </c>
      <c r="N1097" s="1593"/>
      <c r="O1097" s="1593"/>
      <c r="P1097" s="1593"/>
      <c r="Q1097" s="1602"/>
      <c r="R1097" s="1593" t="str">
        <f t="shared" si="282"/>
        <v/>
      </c>
      <c r="S1097" s="1357"/>
      <c r="T1097" s="1357"/>
      <c r="U1097" s="1394">
        <v>1097</v>
      </c>
      <c r="V1097" s="1357"/>
    </row>
    <row r="1098" spans="1:22" ht="15.75" customHeight="1">
      <c r="A1098" s="1622" t="str">
        <f t="shared" si="291"/>
        <v/>
      </c>
      <c r="B1098" s="1595">
        <v>27</v>
      </c>
      <c r="C1098" s="1456" t="str">
        <f t="shared" si="274"/>
        <v/>
      </c>
      <c r="D1098" s="1456" t="str">
        <f t="shared" si="292"/>
        <v/>
      </c>
      <c r="E1098" s="1456" t="str">
        <f t="shared" si="293"/>
        <v/>
      </c>
      <c r="F1098" s="1456" t="str">
        <f t="shared" si="294"/>
        <v/>
      </c>
      <c r="G1098" s="1593"/>
      <c r="H1098" s="1624" t="str">
        <f t="shared" si="295"/>
        <v/>
      </c>
      <c r="I1098" s="1624" t="str">
        <f t="shared" si="296"/>
        <v/>
      </c>
      <c r="J1098" s="1624" t="str">
        <f t="shared" si="297"/>
        <v/>
      </c>
      <c r="K1098" s="1624" t="str">
        <f t="shared" si="298"/>
        <v/>
      </c>
      <c r="L1098" s="1593"/>
      <c r="M1098" s="1444" t="str">
        <f t="shared" si="299"/>
        <v/>
      </c>
      <c r="N1098" s="1593"/>
      <c r="O1098" s="1593"/>
      <c r="P1098" s="1593"/>
      <c r="Q1098" s="1602"/>
      <c r="R1098" s="1593" t="str">
        <f t="shared" si="282"/>
        <v/>
      </c>
      <c r="S1098" s="1357"/>
      <c r="T1098" s="1357"/>
      <c r="U1098" s="1394">
        <v>1098</v>
      </c>
      <c r="V1098" s="1357"/>
    </row>
    <row r="1099" spans="1:22" ht="15.75" customHeight="1">
      <c r="A1099" s="1622" t="str">
        <f t="shared" si="291"/>
        <v/>
      </c>
      <c r="B1099" s="1595">
        <v>28</v>
      </c>
      <c r="C1099" s="1456" t="str">
        <f t="shared" si="274"/>
        <v/>
      </c>
      <c r="D1099" s="1456" t="str">
        <f t="shared" si="292"/>
        <v/>
      </c>
      <c r="E1099" s="1456" t="str">
        <f t="shared" si="293"/>
        <v/>
      </c>
      <c r="F1099" s="1456" t="str">
        <f t="shared" si="294"/>
        <v/>
      </c>
      <c r="G1099" s="1593"/>
      <c r="H1099" s="1624" t="str">
        <f t="shared" si="295"/>
        <v/>
      </c>
      <c r="I1099" s="1624" t="str">
        <f t="shared" si="296"/>
        <v/>
      </c>
      <c r="J1099" s="1624" t="str">
        <f t="shared" si="297"/>
        <v/>
      </c>
      <c r="K1099" s="1624" t="str">
        <f t="shared" si="298"/>
        <v/>
      </c>
      <c r="L1099" s="1593"/>
      <c r="M1099" s="1444" t="str">
        <f t="shared" si="299"/>
        <v/>
      </c>
      <c r="N1099" s="1593"/>
      <c r="O1099" s="1593"/>
      <c r="P1099" s="1593"/>
      <c r="Q1099" s="1602"/>
      <c r="R1099" s="1593" t="str">
        <f t="shared" si="282"/>
        <v/>
      </c>
      <c r="S1099" s="1357"/>
      <c r="T1099" s="1357"/>
      <c r="U1099" s="1394">
        <v>1099</v>
      </c>
      <c r="V1099" s="1357"/>
    </row>
    <row r="1100" spans="1:22" ht="15.75" customHeight="1">
      <c r="A1100" s="1498" t="s">
        <v>74</v>
      </c>
      <c r="B1100" s="1595"/>
      <c r="C1100" s="1456">
        <f>SUM(C1072:C1099)</f>
        <v>22020</v>
      </c>
      <c r="D1100" s="1456">
        <f t="shared" ref="D1100:F1100" si="300">SUM(D1072:D1099)</f>
        <v>0</v>
      </c>
      <c r="E1100" s="1456">
        <f t="shared" si="300"/>
        <v>24465</v>
      </c>
      <c r="F1100" s="1456">
        <f t="shared" si="300"/>
        <v>-686</v>
      </c>
      <c r="G1100" s="1593"/>
      <c r="H1100" s="1456">
        <f t="shared" ref="H1100:K1100" si="301">SUM(H1072:H1099)</f>
        <v>34453</v>
      </c>
      <c r="I1100" s="1456">
        <f t="shared" si="301"/>
        <v>1027.3</v>
      </c>
      <c r="J1100" s="1456">
        <f t="shared" si="301"/>
        <v>57746</v>
      </c>
      <c r="K1100" s="1456">
        <f t="shared" si="301"/>
        <v>651</v>
      </c>
      <c r="L1100" s="1593"/>
      <c r="M1100" s="1593"/>
      <c r="N1100" s="1593"/>
      <c r="O1100" s="1593"/>
      <c r="P1100" s="1593"/>
      <c r="Q1100" s="1602"/>
      <c r="R1100" s="1602"/>
      <c r="S1100" s="1357"/>
      <c r="T1100" s="1357"/>
      <c r="U1100" s="1394">
        <v>1100</v>
      </c>
      <c r="V1100" s="1357"/>
    </row>
    <row r="1101" spans="1:22" ht="15.75" customHeight="1">
      <c r="A1101" s="1375"/>
      <c r="B1101" s="1595"/>
      <c r="C1101" s="1593"/>
      <c r="D1101" s="1593"/>
      <c r="E1101" s="1593"/>
      <c r="F1101" s="1593"/>
      <c r="G1101" s="1593"/>
      <c r="H1101" s="1594"/>
      <c r="I1101" s="1594"/>
      <c r="J1101" s="1594"/>
      <c r="K1101" s="1594"/>
      <c r="L1101" s="1593"/>
      <c r="M1101" s="1594"/>
      <c r="N1101" s="1594"/>
      <c r="O1101" s="1594"/>
      <c r="P1101" s="1594"/>
      <c r="Q1101" s="1629"/>
      <c r="R1101" s="1602"/>
      <c r="S1101" s="1357"/>
      <c r="T1101" s="1357"/>
      <c r="U1101" s="1394">
        <v>1101</v>
      </c>
      <c r="V1101" s="1357"/>
    </row>
    <row r="1102" spans="1:22" ht="15.75" customHeight="1">
      <c r="A1102" s="1496" t="s">
        <v>414</v>
      </c>
      <c r="B1102" s="1595"/>
      <c r="C1102" s="1593"/>
      <c r="D1102" s="1593"/>
      <c r="E1102" s="1593"/>
      <c r="F1102" s="1593"/>
      <c r="G1102" s="1593"/>
      <c r="H1102" s="1594"/>
      <c r="I1102" s="1594"/>
      <c r="J1102" s="1594"/>
      <c r="K1102" s="1594"/>
      <c r="L1102" s="1593"/>
      <c r="M1102" s="1593"/>
      <c r="N1102" s="1593"/>
      <c r="O1102" s="1593"/>
      <c r="P1102" s="1593"/>
      <c r="Q1102" s="1629"/>
      <c r="R1102" s="1602"/>
      <c r="S1102" s="1357"/>
      <c r="T1102" s="1357"/>
      <c r="U1102" s="1394">
        <v>1102</v>
      </c>
      <c r="V1102" s="1357"/>
    </row>
    <row r="1103" spans="1:22" ht="15.75" customHeight="1">
      <c r="A1103" s="1375" t="s">
        <v>539</v>
      </c>
      <c r="B1103" s="1595"/>
      <c r="C1103" s="1630">
        <f>C900</f>
        <v>1.2467760686117535</v>
      </c>
      <c r="D1103" s="1630">
        <f>M900</f>
        <v>0.11337738113125789</v>
      </c>
      <c r="E1103" s="1630">
        <f>D900</f>
        <v>1.3797356171017909</v>
      </c>
      <c r="F1103" s="1630">
        <f>N900</f>
        <v>0.13320008847870496</v>
      </c>
      <c r="G1103" s="1593"/>
      <c r="H1103" s="1631">
        <f>E900</f>
        <v>1.5151107997761371</v>
      </c>
      <c r="I1103" s="1631">
        <f>O900</f>
        <v>0.18461214911070983</v>
      </c>
      <c r="J1103" s="1631">
        <f>F900</f>
        <v>1.6819659355281453</v>
      </c>
      <c r="K1103" s="1631">
        <f>P900</f>
        <v>0.13944819570853756</v>
      </c>
      <c r="L1103" s="1593"/>
      <c r="M1103" s="1593"/>
      <c r="N1103" s="1593"/>
      <c r="O1103" s="1593"/>
      <c r="P1103" s="1593"/>
      <c r="Q1103" s="1629"/>
      <c r="R1103" s="1602"/>
      <c r="S1103" s="1357"/>
      <c r="T1103" s="1357"/>
      <c r="U1103" s="1394">
        <v>1103</v>
      </c>
      <c r="V1103" s="1357"/>
    </row>
    <row r="1104" spans="1:22" ht="15.75" customHeight="1">
      <c r="A1104" s="1375" t="s">
        <v>540</v>
      </c>
      <c r="B1104" s="1595"/>
      <c r="C1104" s="1627" t="str">
        <f>IF(SUM(C1043:C1068)=C1103,"OK",SUM(C1043:C1068))</f>
        <v>OK</v>
      </c>
      <c r="D1104" s="1627">
        <f>IF(SUM(D1043:D1068)=D1103,"OK",SUM(D1043:D1068))</f>
        <v>2.2661475062794104E-2</v>
      </c>
      <c r="E1104" s="1627" t="str">
        <f>IF(SUM(E1043:E1068)=E1103,"OK",SUM(E1043:E1068))</f>
        <v>OK</v>
      </c>
      <c r="F1104" s="1627">
        <f>IF(SUM(F1043:F1068)=F1103,"OK",SUM(F1043:F1068))</f>
        <v>4.370620140152387E-2</v>
      </c>
      <c r="G1104" s="1593"/>
      <c r="H1104" s="1627" t="str">
        <f>IF(SUM(H1043:H1068)=H1103,"OK",SUM(H1043:H1068))</f>
        <v>OK</v>
      </c>
      <c r="I1104" s="1627">
        <f>IF(SUM(I1043:I1068)=I1103,"OK",SUM(I1043:I1068))</f>
        <v>9.5118262033528814E-2</v>
      </c>
      <c r="J1104" s="1627">
        <f>IF(SUM(J1043:J1068)=J1103,"OK",SUM(J1043:J1068))</f>
        <v>1.6819659355281447</v>
      </c>
      <c r="K1104" s="1627">
        <f>IF(SUM(K1043:K1068)=K1103,"OK",SUM(K1043:K1068))</f>
        <v>0.12636905707469395</v>
      </c>
      <c r="L1104" s="1593"/>
      <c r="M1104" s="1593"/>
      <c r="N1104" s="1593"/>
      <c r="O1104" s="1593"/>
      <c r="P1104" s="1593"/>
      <c r="Q1104" s="1629"/>
      <c r="R1104" s="1602"/>
      <c r="S1104" s="1357"/>
      <c r="T1104" s="1357"/>
      <c r="U1104" s="1394">
        <v>1104</v>
      </c>
      <c r="V1104" s="1357"/>
    </row>
    <row r="1105" spans="1:22" ht="15.75" customHeight="1">
      <c r="A1105" s="1375" t="s">
        <v>541</v>
      </c>
      <c r="B1105" s="1595"/>
      <c r="C1105" s="1596">
        <f>C985</f>
        <v>22020</v>
      </c>
      <c r="D1105" s="1596">
        <f>M985</f>
        <v>0</v>
      </c>
      <c r="E1105" s="1596">
        <f>D985</f>
        <v>24465</v>
      </c>
      <c r="F1105" s="1596">
        <f>N985</f>
        <v>-686</v>
      </c>
      <c r="G1105" s="1593"/>
      <c r="H1105" s="1632">
        <f>E985</f>
        <v>34453</v>
      </c>
      <c r="I1105" s="1632">
        <f>O985</f>
        <v>1027.3</v>
      </c>
      <c r="J1105" s="1632">
        <f>F985</f>
        <v>57746</v>
      </c>
      <c r="K1105" s="1632">
        <f>P985</f>
        <v>651</v>
      </c>
      <c r="L1105" s="1593"/>
      <c r="M1105" s="1593"/>
      <c r="N1105" s="1593"/>
      <c r="O1105" s="1593"/>
      <c r="P1105" s="1593"/>
      <c r="Q1105" s="1629"/>
      <c r="R1105" s="1602"/>
      <c r="S1105" s="1357"/>
      <c r="T1105" s="1357"/>
      <c r="U1105" s="1394">
        <v>1105</v>
      </c>
      <c r="V1105" s="1357"/>
    </row>
    <row r="1106" spans="1:22" ht="15.75" customHeight="1">
      <c r="A1106" s="1375" t="s">
        <v>540</v>
      </c>
      <c r="B1106" s="1595"/>
      <c r="C1106" s="1596" t="str">
        <f>IF(SUM(C1071:C1094)=C1105,"OK",SUM(C1071:C1094))</f>
        <v>OK</v>
      </c>
      <c r="D1106" s="1596" t="str">
        <f>IF(SUM(D1071:D1094)=D1105,"OK",SUM(D1071:D1094))</f>
        <v>OK</v>
      </c>
      <c r="E1106" s="1596" t="str">
        <f>IF(SUM(E1071:E1094)=E1105,"OK",SUM(E1071:E1094))</f>
        <v>OK</v>
      </c>
      <c r="F1106" s="1596" t="str">
        <f>IF(SUM(F1071:F1094)=F1105,"OK",SUM(F1071:F1094))</f>
        <v>OK</v>
      </c>
      <c r="G1106" s="1593"/>
      <c r="H1106" s="1596" t="str">
        <f>IF(SUM(H1071:H1094)=H1105,"OK",SUM(H1071:H1094))</f>
        <v>OK</v>
      </c>
      <c r="I1106" s="1596" t="str">
        <f>IF(SUM(I1071:I1094)=I1105,"OK",SUM(I1071:I1094))</f>
        <v>OK</v>
      </c>
      <c r="J1106" s="1596" t="str">
        <f>IF(SUM(J1071:J1094)=J1105,"OK",SUM(J1071:J1094))</f>
        <v>OK</v>
      </c>
      <c r="K1106" s="1596" t="str">
        <f>IF(SUM(K1071:K1094)=K1105,"OK",SUM(K1071:K1094))</f>
        <v>OK</v>
      </c>
      <c r="L1106" s="1593"/>
      <c r="M1106" s="1593"/>
      <c r="N1106" s="1593"/>
      <c r="O1106" s="1593"/>
      <c r="P1106" s="1593"/>
      <c r="Q1106" s="1629"/>
      <c r="R1106" s="1602"/>
      <c r="S1106" s="1357"/>
      <c r="T1106" s="1357"/>
      <c r="U1106" s="1394">
        <v>1106</v>
      </c>
      <c r="V1106" s="1357"/>
    </row>
    <row r="1107" spans="1:22" ht="15.75" customHeight="1">
      <c r="A1107" s="1375"/>
      <c r="B1107" s="1595"/>
      <c r="C1107" s="1593"/>
      <c r="D1107" s="1593"/>
      <c r="E1107" s="1593"/>
      <c r="F1107" s="1593"/>
      <c r="G1107" s="1593"/>
      <c r="H1107" s="1594"/>
      <c r="I1107" s="1594"/>
      <c r="J1107" s="1594"/>
      <c r="K1107" s="1594"/>
      <c r="L1107" s="1593"/>
      <c r="M1107" s="1593"/>
      <c r="N1107" s="1593"/>
      <c r="O1107" s="1593"/>
      <c r="P1107" s="1593"/>
      <c r="Q1107" s="1629"/>
      <c r="R1107" s="1602"/>
      <c r="S1107" s="1357"/>
      <c r="T1107" s="1357"/>
      <c r="U1107" s="1394">
        <v>1107</v>
      </c>
      <c r="V1107" s="1357"/>
    </row>
    <row r="1108" spans="1:22" ht="15.75" customHeight="1">
      <c r="A1108" s="1496" t="s">
        <v>542</v>
      </c>
      <c r="B1108" s="1595"/>
      <c r="C1108" s="1593"/>
      <c r="D1108" s="1593"/>
      <c r="E1108" s="1593"/>
      <c r="F1108" s="1593"/>
      <c r="G1108" s="1593"/>
      <c r="H1108" s="1594"/>
      <c r="I1108" s="1594"/>
      <c r="J1108" s="1594"/>
      <c r="K1108" s="1594"/>
      <c r="L1108" s="1593"/>
      <c r="M1108" s="1593"/>
      <c r="N1108" s="1593"/>
      <c r="O1108" s="1593"/>
      <c r="P1108" s="1593"/>
      <c r="Q1108" s="1629"/>
      <c r="R1108" s="1602"/>
      <c r="S1108" s="1357"/>
      <c r="T1108" s="1357"/>
      <c r="U1108" s="1394">
        <v>1108</v>
      </c>
      <c r="V1108" s="1357"/>
    </row>
    <row r="1109" spans="1:22" ht="15.75" customHeight="1">
      <c r="A1109" s="1496" t="s">
        <v>543</v>
      </c>
      <c r="B1109" s="1595"/>
      <c r="C1109" s="1633">
        <v>0.05</v>
      </c>
      <c r="D1109" s="1593"/>
      <c r="E1109" s="1593"/>
      <c r="F1109" s="1593"/>
      <c r="G1109" s="1593"/>
      <c r="H1109" s="1594"/>
      <c r="I1109" s="1594"/>
      <c r="J1109" s="1594"/>
      <c r="K1109" s="1594"/>
      <c r="L1109" s="1593"/>
      <c r="M1109" s="1593"/>
      <c r="N1109" s="1593"/>
      <c r="O1109" s="1593"/>
      <c r="P1109" s="1593"/>
      <c r="Q1109" s="1629"/>
      <c r="R1109" s="1602"/>
      <c r="S1109" s="1357"/>
      <c r="T1109" s="1357"/>
      <c r="U1109" s="1394">
        <v>1109</v>
      </c>
      <c r="V1109" s="1357"/>
    </row>
    <row r="1110" spans="1:22" ht="15.75" customHeight="1">
      <c r="A1110" s="1375"/>
      <c r="B1110" s="1595"/>
      <c r="C1110" s="1604" t="str">
        <f>WB!B9</f>
        <v>VP</v>
      </c>
      <c r="D1110" s="1604" t="str">
        <f>WB!B10</f>
        <v>P</v>
      </c>
      <c r="E1110" s="1604" t="str">
        <f>WB!B11</f>
        <v>M</v>
      </c>
      <c r="F1110" s="1604" t="str">
        <f>WB!B12</f>
        <v>BO</v>
      </c>
      <c r="G1110" s="1593"/>
      <c r="H1110" s="1605" t="str">
        <f>C1110</f>
        <v>VP</v>
      </c>
      <c r="I1110" s="1605" t="str">
        <f>D1110</f>
        <v>P</v>
      </c>
      <c r="J1110" s="1605" t="str">
        <f>E1110</f>
        <v>M</v>
      </c>
      <c r="K1110" s="1605" t="str">
        <f>F1110</f>
        <v>BO</v>
      </c>
      <c r="L1110" s="1593"/>
      <c r="M1110" s="1593"/>
      <c r="N1110" s="1593"/>
      <c r="O1110" s="1593"/>
      <c r="P1110" s="1593"/>
      <c r="Q1110" s="1629"/>
      <c r="R1110" s="1602"/>
      <c r="S1110" s="1357"/>
      <c r="T1110" s="1357"/>
      <c r="U1110" s="1394">
        <v>1110</v>
      </c>
      <c r="V1110" s="1357"/>
    </row>
    <row r="1111" spans="1:22" ht="15.75" customHeight="1">
      <c r="A1111" s="1375" t="s">
        <v>426</v>
      </c>
      <c r="B1111" s="1595"/>
      <c r="C1111" s="1596">
        <f>C1038*365*C1039*C1040</f>
        <v>8457.6810244041226</v>
      </c>
      <c r="D1111" s="1596">
        <f>E1038*365*E1039*E1040</f>
        <v>8457.6810244041226</v>
      </c>
      <c r="E1111" s="1596">
        <f>H1038*365*H1039*H1040</f>
        <v>8457.6810244041226</v>
      </c>
      <c r="F1111" s="1596">
        <f>J1038*365*J1039*J1040</f>
        <v>9514.8911524546384</v>
      </c>
      <c r="G1111" s="1593"/>
      <c r="H1111" s="1357"/>
      <c r="I1111" s="1357"/>
      <c r="J1111" s="1357"/>
      <c r="K1111" s="1594"/>
      <c r="L1111" s="1593"/>
      <c r="M1111" s="1593"/>
      <c r="N1111" s="1593"/>
      <c r="O1111" s="1593"/>
      <c r="P1111" s="1593"/>
      <c r="Q1111" s="1629"/>
      <c r="R1111" s="1602"/>
      <c r="S1111" s="1357"/>
      <c r="T1111" s="1357"/>
      <c r="U1111" s="1394">
        <v>1111</v>
      </c>
      <c r="V1111" s="1357"/>
    </row>
    <row r="1112" spans="1:22" ht="15.75" customHeight="1">
      <c r="A1112" s="1375"/>
      <c r="B1112" s="1595"/>
      <c r="C1112" s="1596"/>
      <c r="D1112" s="1596"/>
      <c r="E1112" s="1596"/>
      <c r="F1112" s="1596"/>
      <c r="G1112" s="1593"/>
      <c r="H1112" s="1357"/>
      <c r="I1112" s="1357"/>
      <c r="J1112" s="1357"/>
      <c r="K1112" s="1594"/>
      <c r="L1112" s="1593"/>
      <c r="M1112" s="1634" t="s">
        <v>544</v>
      </c>
      <c r="N1112" s="1593"/>
      <c r="O1112" s="1593"/>
      <c r="P1112" s="1593"/>
      <c r="Q1112" s="1629"/>
      <c r="R1112" s="1602"/>
      <c r="S1112" s="1357"/>
      <c r="T1112" s="1357"/>
      <c r="U1112" s="1394">
        <v>1112</v>
      </c>
      <c r="V1112" s="1357"/>
    </row>
    <row r="1113" spans="1:22" ht="15.75" customHeight="1">
      <c r="A1113" s="1496" t="s">
        <v>545</v>
      </c>
      <c r="B1113" s="1595"/>
      <c r="C1113" s="1593"/>
      <c r="D1113" s="1596"/>
      <c r="E1113" s="1596"/>
      <c r="F1113" s="1596"/>
      <c r="G1113" s="1593"/>
      <c r="H1113" s="1594"/>
      <c r="I1113" s="1357"/>
      <c r="J1113" s="1357"/>
      <c r="K1113" s="1594"/>
      <c r="L1113" s="1593"/>
      <c r="M1113" s="1635" t="s">
        <v>546</v>
      </c>
      <c r="N1113" s="1636" t="s">
        <v>352</v>
      </c>
      <c r="O1113" s="1593"/>
      <c r="P1113" s="1593"/>
      <c r="Q1113" s="1629"/>
      <c r="R1113" s="1602"/>
      <c r="S1113" s="1357"/>
      <c r="T1113" s="1357"/>
      <c r="U1113" s="1394">
        <v>1113</v>
      </c>
      <c r="V1113" s="1357"/>
    </row>
    <row r="1114" spans="1:22" ht="15.75" customHeight="1">
      <c r="A1114" s="1630" t="str">
        <f t="shared" ref="A1114:A1133" si="302">A830</f>
        <v>Green cons - Season 1: no of months</v>
      </c>
      <c r="B1114" s="1593"/>
      <c r="C1114" s="1627">
        <f t="shared" ref="C1114:F1115" si="303">MAX(SUM(C830,M830),SUM(C830))</f>
        <v>4.2500000000000003E-2</v>
      </c>
      <c r="D1114" s="1627">
        <f t="shared" si="303"/>
        <v>4.2500000000000003E-2</v>
      </c>
      <c r="E1114" s="1627">
        <f t="shared" si="303"/>
        <v>4.2500000000000003E-2</v>
      </c>
      <c r="F1114" s="1627">
        <f t="shared" si="303"/>
        <v>0.05</v>
      </c>
      <c r="G1114" s="1593"/>
      <c r="H1114" s="1357"/>
      <c r="I1114" s="1357"/>
      <c r="J1114" s="1357"/>
      <c r="K1114" s="1357"/>
      <c r="L1114" s="1375"/>
      <c r="M1114" s="1619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37"/>
      <c r="O1114" s="1593"/>
      <c r="P1114" s="1593"/>
      <c r="Q1114" s="1629"/>
      <c r="R1114" s="1602"/>
      <c r="S1114" s="1357"/>
      <c r="T1114" s="1357"/>
      <c r="U1114" s="1394">
        <v>1114</v>
      </c>
      <c r="V1114" s="1357"/>
    </row>
    <row r="1115" spans="1:22" ht="15.75" customHeight="1">
      <c r="A1115" s="1630" t="str">
        <f t="shared" si="302"/>
        <v xml:space="preserve">Green beans </v>
      </c>
      <c r="B1115" s="1593"/>
      <c r="C1115" s="1627">
        <f t="shared" si="303"/>
        <v>0</v>
      </c>
      <c r="D1115" s="1627">
        <f t="shared" si="303"/>
        <v>0</v>
      </c>
      <c r="E1115" s="1627">
        <f t="shared" si="303"/>
        <v>0</v>
      </c>
      <c r="F1115" s="1627">
        <f t="shared" si="303"/>
        <v>0</v>
      </c>
      <c r="G1115" s="1593"/>
      <c r="H1115" s="1357"/>
      <c r="I1115" s="1357"/>
      <c r="J1115" s="1357"/>
      <c r="K1115" s="1357"/>
      <c r="L1115" s="1375"/>
      <c r="M1115" s="1619" t="str">
        <f t="shared" si="304"/>
        <v/>
      </c>
      <c r="N1115" s="1637"/>
      <c r="O1115" s="1593"/>
      <c r="P1115" s="1593"/>
      <c r="Q1115" s="1629"/>
      <c r="R1115" s="1602"/>
      <c r="S1115" s="1357"/>
      <c r="T1115" s="1357"/>
      <c r="U1115" s="1394">
        <v>1115</v>
      </c>
      <c r="V1115" s="1357"/>
    </row>
    <row r="1116" spans="1:22" ht="15.75" customHeight="1">
      <c r="A1116" s="1585" t="str">
        <f t="shared" si="302"/>
        <v>Maize: kg produced</v>
      </c>
      <c r="B1116" s="1593"/>
      <c r="C1116" s="1627">
        <f t="shared" ref="C1116:C1133" si="305">IF(C$1111=0,0,MAX((SUM(C832,M832)+SUM(C932,M932)/C$1111),(SUM(C832)+SUM(C932)/C$1111)))</f>
        <v>8.8718578767123274E-2</v>
      </c>
      <c r="D1116" s="1627">
        <f t="shared" ref="D1116:D1133" si="306">IF(D$1111=0,0,MAX((SUM(D832,N832)+SUM(D932,N932)/D$1111),(SUM(D832)+SUM(D932)/D$1111)))</f>
        <v>8.8718578767123274E-2</v>
      </c>
      <c r="E1116" s="1627">
        <f t="shared" ref="E1116:E1133" si="307">IF(E$1111=0,0,MAX((SUM(E832,O832)+SUM(E932,O932)/E$1111),(SUM(E832)+SUM(E932)/E$1111)))</f>
        <v>0.20701001712328765</v>
      </c>
      <c r="F1116" s="1627">
        <f t="shared" ref="F1116:F1133" si="308">IF(F$1111=0,0,MAX((SUM(F832,P832)+SUM(F932,P932)/F$1111),(SUM(F832)+SUM(F932)/F$1111)))</f>
        <v>0.23132547945205478</v>
      </c>
      <c r="G1116" s="1593"/>
      <c r="H1116" s="1628">
        <f t="shared" ref="H1116:H1133" si="309">IF(C$1111=0,0,MAX(SUM(C932,M932)/C$1111,SUM(C932)/C$1111))</f>
        <v>0</v>
      </c>
      <c r="I1116" s="1628">
        <f t="shared" ref="I1116:I1133" si="310">IF(D$1111=0,0,MAX(SUM(D932,N932)/D$1111,SUM(D932)/D$1111))</f>
        <v>0</v>
      </c>
      <c r="J1116" s="1628">
        <f t="shared" ref="J1116:J1133" si="311">IF(E$1111=0,0,MAX(SUM(E932,O932)/E$1111,SUM(E932)/E$1111))</f>
        <v>5.9117859677762792E-2</v>
      </c>
      <c r="K1116" s="1628">
        <f t="shared" ref="K1116:K1133" si="312">IF(F$1111=0,0,MAX(SUM(F932,P932)/F$1111,SUM(F932)/F$1111))</f>
        <v>6.883946326921711E-2</v>
      </c>
      <c r="L1116" s="1375"/>
      <c r="M1116" s="1619" t="str">
        <f t="shared" si="304"/>
        <v>yes</v>
      </c>
      <c r="N1116" s="1634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593"/>
      <c r="P1116" s="1593"/>
      <c r="Q1116" s="1629"/>
      <c r="R1116" s="1602"/>
      <c r="S1116" s="1357"/>
      <c r="T1116" s="1357"/>
      <c r="U1116" s="1394">
        <v>1116</v>
      </c>
      <c r="V1116" s="1357"/>
    </row>
    <row r="1117" spans="1:22" ht="15.75" customHeight="1">
      <c r="A1117" s="1585" t="str">
        <f t="shared" si="302"/>
        <v>Sorghum: kg produced</v>
      </c>
      <c r="B1117" s="1593"/>
      <c r="C1117" s="1627">
        <f t="shared" si="305"/>
        <v>0</v>
      </c>
      <c r="D1117" s="1627">
        <f t="shared" si="306"/>
        <v>0</v>
      </c>
      <c r="E1117" s="1627">
        <f t="shared" si="307"/>
        <v>0</v>
      </c>
      <c r="F1117" s="1627">
        <f t="shared" si="308"/>
        <v>3.8561488169364881E-2</v>
      </c>
      <c r="G1117" s="1593"/>
      <c r="H1117" s="1628">
        <f t="shared" si="309"/>
        <v>0</v>
      </c>
      <c r="I1117" s="1628">
        <f t="shared" si="310"/>
        <v>0</v>
      </c>
      <c r="J1117" s="1628">
        <f t="shared" si="311"/>
        <v>0</v>
      </c>
      <c r="K1117" s="1628">
        <f t="shared" si="312"/>
        <v>0</v>
      </c>
      <c r="L1117" s="1375"/>
      <c r="M1117" s="1619" t="str">
        <f t="shared" si="304"/>
        <v/>
      </c>
      <c r="N1117" s="1634" t="str">
        <f t="shared" si="313"/>
        <v/>
      </c>
      <c r="O1117" s="1593"/>
      <c r="P1117" s="1593"/>
      <c r="Q1117" s="1629"/>
      <c r="R1117" s="1602"/>
      <c r="S1117" s="1357"/>
      <c r="T1117" s="1357"/>
      <c r="U1117" s="1394">
        <v>1117</v>
      </c>
      <c r="V1117" s="1357"/>
    </row>
    <row r="1118" spans="1:22" ht="15.75" customHeight="1">
      <c r="A1118" s="1585" t="str">
        <f t="shared" si="302"/>
        <v>High value cereal: kg produced</v>
      </c>
      <c r="B1118" s="1593"/>
      <c r="C1118" s="1627">
        <f t="shared" si="305"/>
        <v>0</v>
      </c>
      <c r="D1118" s="1627">
        <f t="shared" si="306"/>
        <v>0</v>
      </c>
      <c r="E1118" s="1627">
        <f t="shared" si="307"/>
        <v>0</v>
      </c>
      <c r="F1118" s="1627">
        <f t="shared" si="308"/>
        <v>0</v>
      </c>
      <c r="G1118" s="1593"/>
      <c r="H1118" s="1628">
        <f t="shared" si="309"/>
        <v>0</v>
      </c>
      <c r="I1118" s="1628">
        <f t="shared" si="310"/>
        <v>0</v>
      </c>
      <c r="J1118" s="1628">
        <f t="shared" si="311"/>
        <v>0</v>
      </c>
      <c r="K1118" s="1628">
        <f t="shared" si="312"/>
        <v>0</v>
      </c>
      <c r="L1118" s="1375"/>
      <c r="M1118" s="1619" t="str">
        <f t="shared" si="304"/>
        <v/>
      </c>
      <c r="N1118" s="1634" t="str">
        <f t="shared" si="313"/>
        <v/>
      </c>
      <c r="O1118" s="1593"/>
      <c r="P1118" s="1593"/>
      <c r="Q1118" s="1629"/>
      <c r="R1118" s="1602"/>
      <c r="S1118" s="1357"/>
      <c r="T1118" s="1357"/>
      <c r="U1118" s="1394">
        <v>1118</v>
      </c>
      <c r="V1118" s="1357"/>
    </row>
    <row r="1119" spans="1:22" ht="15.75" customHeight="1">
      <c r="A1119" s="1585" t="str">
        <f t="shared" si="302"/>
        <v>High value cereal: kg produced</v>
      </c>
      <c r="B1119" s="1593"/>
      <c r="C1119" s="1627">
        <f t="shared" si="305"/>
        <v>0</v>
      </c>
      <c r="D1119" s="1627">
        <f t="shared" si="306"/>
        <v>0</v>
      </c>
      <c r="E1119" s="1627">
        <f t="shared" si="307"/>
        <v>0</v>
      </c>
      <c r="F1119" s="1627">
        <f t="shared" si="308"/>
        <v>0</v>
      </c>
      <c r="G1119" s="1593"/>
      <c r="H1119" s="1628">
        <f t="shared" si="309"/>
        <v>0</v>
      </c>
      <c r="I1119" s="1628">
        <f t="shared" si="310"/>
        <v>0</v>
      </c>
      <c r="J1119" s="1628">
        <f t="shared" si="311"/>
        <v>0</v>
      </c>
      <c r="K1119" s="1628">
        <f t="shared" si="312"/>
        <v>0</v>
      </c>
      <c r="L1119" s="1375"/>
      <c r="M1119" s="1619" t="str">
        <f t="shared" si="304"/>
        <v/>
      </c>
      <c r="N1119" s="1634" t="str">
        <f t="shared" si="313"/>
        <v/>
      </c>
      <c r="O1119" s="1593"/>
      <c r="P1119" s="1593"/>
      <c r="Q1119" s="1629"/>
      <c r="R1119" s="1602"/>
      <c r="S1119" s="1357"/>
      <c r="T1119" s="1357"/>
      <c r="U1119" s="1394">
        <v>1119</v>
      </c>
      <c r="V1119" s="1357"/>
    </row>
    <row r="1120" spans="1:22" ht="15.75" customHeight="1">
      <c r="A1120" s="1585" t="str">
        <f t="shared" si="302"/>
        <v>Cowpeas: kg produced (Mbumba)</v>
      </c>
      <c r="B1120" s="1593"/>
      <c r="C1120" s="1627">
        <f t="shared" si="305"/>
        <v>0</v>
      </c>
      <c r="D1120" s="1627">
        <f t="shared" si="306"/>
        <v>0</v>
      </c>
      <c r="E1120" s="1627">
        <f t="shared" si="307"/>
        <v>0</v>
      </c>
      <c r="F1120" s="1627">
        <f t="shared" si="308"/>
        <v>0</v>
      </c>
      <c r="G1120" s="1593"/>
      <c r="H1120" s="1628">
        <f t="shared" si="309"/>
        <v>0</v>
      </c>
      <c r="I1120" s="1628">
        <f t="shared" si="310"/>
        <v>0</v>
      </c>
      <c r="J1120" s="1628">
        <f t="shared" si="311"/>
        <v>0</v>
      </c>
      <c r="K1120" s="1628">
        <f t="shared" si="312"/>
        <v>0</v>
      </c>
      <c r="L1120" s="1375"/>
      <c r="M1120" s="1619" t="str">
        <f t="shared" si="304"/>
        <v/>
      </c>
      <c r="N1120" s="1634" t="str">
        <f t="shared" si="313"/>
        <v/>
      </c>
      <c r="O1120" s="1593"/>
      <c r="P1120" s="1593"/>
      <c r="Q1120" s="1629"/>
      <c r="R1120" s="1602"/>
      <c r="S1120" s="1357"/>
      <c r="T1120" s="1357"/>
      <c r="U1120" s="1394">
        <v>1120</v>
      </c>
      <c r="V1120" s="1357"/>
    </row>
    <row r="1121" spans="1:22" ht="15.75" customHeight="1">
      <c r="A1121" s="1585" t="str">
        <f t="shared" si="302"/>
        <v>Beans: kg produced</v>
      </c>
      <c r="B1121" s="1593"/>
      <c r="C1121" s="1627">
        <f t="shared" si="305"/>
        <v>4.4188206724782075E-2</v>
      </c>
      <c r="D1121" s="1627">
        <f t="shared" si="306"/>
        <v>8.2852887608966391E-2</v>
      </c>
      <c r="E1121" s="1627">
        <f t="shared" si="307"/>
        <v>0.42976008207361965</v>
      </c>
      <c r="F1121" s="1627">
        <f t="shared" si="308"/>
        <v>0.290014966950361</v>
      </c>
      <c r="G1121" s="1593"/>
      <c r="H1121" s="1628">
        <f t="shared" si="309"/>
        <v>0</v>
      </c>
      <c r="I1121" s="1628">
        <f t="shared" si="310"/>
        <v>0</v>
      </c>
      <c r="J1121" s="1628">
        <f t="shared" si="311"/>
        <v>0.36209689052629712</v>
      </c>
      <c r="K1121" s="1628">
        <f t="shared" si="312"/>
        <v>0.24435382000141953</v>
      </c>
      <c r="L1121" s="1375"/>
      <c r="M1121" s="1619" t="str">
        <f t="shared" si="304"/>
        <v>yes</v>
      </c>
      <c r="N1121" s="1634" t="str">
        <f t="shared" si="313"/>
        <v>yes</v>
      </c>
      <c r="O1121" s="1593"/>
      <c r="P1121" s="1593"/>
      <c r="Q1121" s="1629"/>
      <c r="R1121" s="1602"/>
      <c r="S1121" s="1357"/>
      <c r="T1121" s="1357"/>
      <c r="U1121" s="1394">
        <v>1121</v>
      </c>
      <c r="V1121" s="1357"/>
    </row>
    <row r="1122" spans="1:22" ht="15.75" customHeight="1">
      <c r="A1122" s="1585" t="str">
        <f t="shared" si="302"/>
        <v>Millet: kg produced</v>
      </c>
      <c r="B1122" s="1593"/>
      <c r="C1122" s="1627">
        <f t="shared" si="305"/>
        <v>0</v>
      </c>
      <c r="D1122" s="1627">
        <f t="shared" si="306"/>
        <v>0</v>
      </c>
      <c r="E1122" s="1627">
        <f t="shared" si="307"/>
        <v>0</v>
      </c>
      <c r="F1122" s="1627">
        <f t="shared" si="308"/>
        <v>0</v>
      </c>
      <c r="G1122" s="1593"/>
      <c r="H1122" s="1628">
        <f t="shared" si="309"/>
        <v>0</v>
      </c>
      <c r="I1122" s="1628">
        <f t="shared" si="310"/>
        <v>0</v>
      </c>
      <c r="J1122" s="1628">
        <f t="shared" si="311"/>
        <v>0</v>
      </c>
      <c r="K1122" s="1628">
        <f t="shared" si="312"/>
        <v>0</v>
      </c>
      <c r="L1122" s="1375"/>
      <c r="M1122" s="1619" t="str">
        <f t="shared" si="304"/>
        <v/>
      </c>
      <c r="N1122" s="1634" t="str">
        <f t="shared" si="313"/>
        <v/>
      </c>
      <c r="O1122" s="1593"/>
      <c r="P1122" s="1593"/>
      <c r="Q1122" s="1629"/>
      <c r="R1122" s="1602"/>
      <c r="S1122" s="1357"/>
      <c r="T1122" s="1357"/>
      <c r="U1122" s="1394">
        <v>1122</v>
      </c>
      <c r="V1122" s="1357"/>
    </row>
    <row r="1123" spans="1:22" ht="15.75" customHeight="1">
      <c r="A1123" s="1585" t="str">
        <f t="shared" si="302"/>
        <v>Finger millet: kg produced</v>
      </c>
      <c r="B1123" s="1593"/>
      <c r="C1123" s="1627">
        <f t="shared" si="305"/>
        <v>0</v>
      </c>
      <c r="D1123" s="1627">
        <f t="shared" si="306"/>
        <v>0</v>
      </c>
      <c r="E1123" s="1627">
        <f t="shared" si="307"/>
        <v>0</v>
      </c>
      <c r="F1123" s="1627">
        <f t="shared" si="308"/>
        <v>0</v>
      </c>
      <c r="G1123" s="1593"/>
      <c r="H1123" s="1628">
        <f t="shared" si="309"/>
        <v>0</v>
      </c>
      <c r="I1123" s="1628">
        <f t="shared" si="310"/>
        <v>0</v>
      </c>
      <c r="J1123" s="1628">
        <f t="shared" si="311"/>
        <v>0</v>
      </c>
      <c r="K1123" s="1628">
        <f t="shared" si="312"/>
        <v>0</v>
      </c>
      <c r="L1123" s="1375"/>
      <c r="M1123" s="1619" t="str">
        <f t="shared" si="304"/>
        <v/>
      </c>
      <c r="N1123" s="1634" t="str">
        <f t="shared" si="313"/>
        <v/>
      </c>
      <c r="O1123" s="1593"/>
      <c r="P1123" s="1593"/>
      <c r="Q1123" s="1629"/>
      <c r="R1123" s="1602"/>
      <c r="S1123" s="1357"/>
      <c r="T1123" s="1357"/>
      <c r="U1123" s="1394">
        <v>1123</v>
      </c>
      <c r="V1123" s="1357"/>
    </row>
    <row r="1124" spans="1:22" ht="15.75" customHeight="1">
      <c r="A1124" s="1585" t="str">
        <f t="shared" si="302"/>
        <v>Wheat: kg produced</v>
      </c>
      <c r="B1124" s="1593"/>
      <c r="C1124" s="1627">
        <f t="shared" si="305"/>
        <v>0</v>
      </c>
      <c r="D1124" s="1627">
        <f t="shared" si="306"/>
        <v>0</v>
      </c>
      <c r="E1124" s="1627">
        <f t="shared" si="307"/>
        <v>0</v>
      </c>
      <c r="F1124" s="1627">
        <f t="shared" si="308"/>
        <v>0</v>
      </c>
      <c r="G1124" s="1593"/>
      <c r="H1124" s="1628">
        <f t="shared" si="309"/>
        <v>0</v>
      </c>
      <c r="I1124" s="1628">
        <f t="shared" si="310"/>
        <v>0</v>
      </c>
      <c r="J1124" s="1628">
        <f t="shared" si="311"/>
        <v>0</v>
      </c>
      <c r="K1124" s="1628">
        <f t="shared" si="312"/>
        <v>0</v>
      </c>
      <c r="L1124" s="1375"/>
      <c r="M1124" s="1619" t="str">
        <f t="shared" si="304"/>
        <v/>
      </c>
      <c r="N1124" s="1634" t="str">
        <f t="shared" si="313"/>
        <v/>
      </c>
      <c r="O1124" s="1593"/>
      <c r="P1124" s="1593"/>
      <c r="Q1124" s="1629"/>
      <c r="R1124" s="1602"/>
      <c r="S1124" s="1357"/>
      <c r="T1124" s="1357"/>
      <c r="U1124" s="1394">
        <v>1124</v>
      </c>
      <c r="V1124" s="1357"/>
    </row>
    <row r="1125" spans="1:22" ht="15.75" customHeight="1">
      <c r="A1125" s="1585" t="str">
        <f t="shared" si="302"/>
        <v>Cassava: no. local meas.</v>
      </c>
      <c r="B1125" s="1593"/>
      <c r="C1125" s="1627">
        <f t="shared" si="305"/>
        <v>6.2322968555417191E-2</v>
      </c>
      <c r="D1125" s="1627">
        <f t="shared" si="306"/>
        <v>0</v>
      </c>
      <c r="E1125" s="1627">
        <f t="shared" si="307"/>
        <v>0</v>
      </c>
      <c r="F1125" s="1627">
        <f t="shared" si="308"/>
        <v>0</v>
      </c>
      <c r="G1125" s="1593"/>
      <c r="H1125" s="1628">
        <f t="shared" si="309"/>
        <v>0</v>
      </c>
      <c r="I1125" s="1628">
        <f t="shared" si="310"/>
        <v>0</v>
      </c>
      <c r="J1125" s="1628">
        <f t="shared" si="311"/>
        <v>0</v>
      </c>
      <c r="K1125" s="1628">
        <f t="shared" si="312"/>
        <v>0</v>
      </c>
      <c r="L1125" s="1375"/>
      <c r="M1125" s="1619" t="str">
        <f t="shared" si="304"/>
        <v/>
      </c>
      <c r="N1125" s="1634" t="str">
        <f t="shared" si="313"/>
        <v/>
      </c>
      <c r="O1125" s="1593"/>
      <c r="P1125" s="1593"/>
      <c r="Q1125" s="1629"/>
      <c r="R1125" s="1602"/>
      <c r="S1125" s="1357"/>
      <c r="T1125" s="1357"/>
      <c r="U1125" s="1394">
        <v>1125</v>
      </c>
      <c r="V1125" s="1357"/>
    </row>
    <row r="1126" spans="1:22" ht="15.75" customHeight="1">
      <c r="A1126" s="1585" t="str">
        <f t="shared" si="302"/>
        <v>Water melon: no. local meas (Bhece)</v>
      </c>
      <c r="B1126" s="1593"/>
      <c r="C1126" s="1627">
        <f t="shared" si="305"/>
        <v>0</v>
      </c>
      <c r="D1126" s="1627">
        <f t="shared" si="306"/>
        <v>0</v>
      </c>
      <c r="E1126" s="1627">
        <f t="shared" si="307"/>
        <v>1.3953851160157182E-2</v>
      </c>
      <c r="F1126" s="1627">
        <f t="shared" si="308"/>
        <v>1.240342325347305E-2</v>
      </c>
      <c r="G1126" s="1593"/>
      <c r="H1126" s="1628">
        <f t="shared" si="309"/>
        <v>0</v>
      </c>
      <c r="I1126" s="1628">
        <f t="shared" si="310"/>
        <v>0</v>
      </c>
      <c r="J1126" s="1628">
        <f t="shared" si="311"/>
        <v>1.1705336216197033E-2</v>
      </c>
      <c r="K1126" s="1628">
        <f t="shared" si="312"/>
        <v>1.0404743303286251E-2</v>
      </c>
      <c r="L1126" s="1375"/>
      <c r="M1126" s="1619" t="str">
        <f t="shared" si="304"/>
        <v/>
      </c>
      <c r="N1126" s="1634" t="str">
        <f t="shared" si="313"/>
        <v/>
      </c>
      <c r="O1126" s="1593"/>
      <c r="P1126" s="1593"/>
      <c r="Q1126" s="1629"/>
      <c r="R1126" s="1602"/>
      <c r="S1126" s="1357"/>
      <c r="T1126" s="1357"/>
      <c r="U1126" s="1394">
        <v>1126</v>
      </c>
      <c r="V1126" s="1357"/>
    </row>
    <row r="1127" spans="1:22" ht="15.75" customHeight="1">
      <c r="A1127" s="1585" t="str">
        <f t="shared" si="302"/>
        <v>Pumpkin: no. local meas</v>
      </c>
      <c r="B1127" s="1593"/>
      <c r="C1127" s="1627">
        <f t="shared" si="305"/>
        <v>0</v>
      </c>
      <c r="D1127" s="1627">
        <f t="shared" si="306"/>
        <v>2.1996341843088418E-2</v>
      </c>
      <c r="E1127" s="1627">
        <f t="shared" si="307"/>
        <v>0</v>
      </c>
      <c r="F1127" s="1627">
        <f t="shared" si="308"/>
        <v>0</v>
      </c>
      <c r="G1127" s="1593"/>
      <c r="H1127" s="1628">
        <f t="shared" si="309"/>
        <v>0</v>
      </c>
      <c r="I1127" s="1628">
        <f t="shared" si="310"/>
        <v>0</v>
      </c>
      <c r="J1127" s="1628">
        <f t="shared" si="311"/>
        <v>0</v>
      </c>
      <c r="K1127" s="1628">
        <f t="shared" si="312"/>
        <v>0</v>
      </c>
      <c r="L1127" s="1375"/>
      <c r="M1127" s="1619" t="str">
        <f t="shared" si="304"/>
        <v/>
      </c>
      <c r="N1127" s="1634" t="str">
        <f t="shared" si="313"/>
        <v/>
      </c>
      <c r="O1127" s="1593"/>
      <c r="P1127" s="1593"/>
      <c r="Q1127" s="1629"/>
      <c r="R1127" s="1602"/>
      <c r="S1127" s="1357"/>
      <c r="T1127" s="1357"/>
      <c r="U1127" s="1394">
        <v>1127</v>
      </c>
      <c r="V1127" s="1357"/>
    </row>
    <row r="1128" spans="1:22" ht="15.75" customHeight="1">
      <c r="A1128" s="1585" t="str">
        <f t="shared" si="302"/>
        <v>Sweet poatato: no. local meas</v>
      </c>
      <c r="B1128" s="1593"/>
      <c r="C1128" s="1627">
        <f t="shared" si="305"/>
        <v>2.5988480697384807E-2</v>
      </c>
      <c r="D1128" s="1627">
        <f t="shared" si="306"/>
        <v>2.5988480697384807E-2</v>
      </c>
      <c r="E1128" s="1627">
        <f t="shared" si="307"/>
        <v>9.0817491482717019E-2</v>
      </c>
      <c r="F1128" s="1627">
        <f t="shared" si="308"/>
        <v>0.11677524503319804</v>
      </c>
      <c r="G1128" s="1593"/>
      <c r="H1128" s="1628">
        <f t="shared" si="309"/>
        <v>0</v>
      </c>
      <c r="I1128" s="1628">
        <f t="shared" si="310"/>
        <v>0</v>
      </c>
      <c r="J1128" s="1628">
        <f t="shared" si="311"/>
        <v>2.9558929838881396E-2</v>
      </c>
      <c r="K1128" s="1628">
        <f t="shared" si="312"/>
        <v>7.8823812903683718E-2</v>
      </c>
      <c r="L1128" s="1375"/>
      <c r="M1128" s="1619" t="str">
        <f t="shared" si="304"/>
        <v>yes</v>
      </c>
      <c r="N1128" s="1634" t="str">
        <f t="shared" si="313"/>
        <v/>
      </c>
      <c r="O1128" s="1593"/>
      <c r="P1128" s="1593"/>
      <c r="Q1128" s="1629"/>
      <c r="R1128" s="1602"/>
      <c r="S1128" s="1357"/>
      <c r="T1128" s="1357"/>
      <c r="U1128" s="1394">
        <v>1128</v>
      </c>
      <c r="V1128" s="1357"/>
    </row>
    <row r="1129" spans="1:22" ht="15.75" customHeight="1">
      <c r="A1129" s="1585" t="str">
        <f t="shared" si="302"/>
        <v>Groundnuts (dry): no. local meas</v>
      </c>
      <c r="B1129" s="1593"/>
      <c r="C1129" s="1627">
        <f t="shared" si="305"/>
        <v>3.3018953144458282E-2</v>
      </c>
      <c r="D1129" s="1627">
        <f t="shared" si="306"/>
        <v>0.13534393457984628</v>
      </c>
      <c r="E1129" s="1627">
        <f t="shared" si="307"/>
        <v>0.1415097991905355</v>
      </c>
      <c r="F1129" s="1627">
        <f t="shared" si="308"/>
        <v>0.22463426908806999</v>
      </c>
      <c r="G1129" s="1593"/>
      <c r="H1129" s="1628">
        <f t="shared" si="309"/>
        <v>0</v>
      </c>
      <c r="I1129" s="1628">
        <f t="shared" si="310"/>
        <v>7.6853217581091635E-2</v>
      </c>
      <c r="J1129" s="1628">
        <f t="shared" si="311"/>
        <v>2.9558929838881396E-2</v>
      </c>
      <c r="K1129" s="1628">
        <f t="shared" si="312"/>
        <v>0.11981219561359925</v>
      </c>
      <c r="L1129" s="1375"/>
      <c r="M1129" s="1619" t="str">
        <f t="shared" si="304"/>
        <v>yes</v>
      </c>
      <c r="N1129" s="1634" t="str">
        <f t="shared" si="313"/>
        <v>yes</v>
      </c>
      <c r="O1129" s="1593"/>
      <c r="P1129" s="1593"/>
      <c r="Q1129" s="1629"/>
      <c r="R1129" s="1602"/>
      <c r="S1129" s="1357"/>
      <c r="T1129" s="1357"/>
      <c r="U1129" s="1394">
        <v>1129</v>
      </c>
      <c r="V1129" s="1357"/>
    </row>
    <row r="1130" spans="1:22" ht="15.75" customHeight="1">
      <c r="A1130" s="1585" t="str">
        <f t="shared" si="302"/>
        <v>Roundnuts (bambara): no. local meas</v>
      </c>
      <c r="B1130" s="1593"/>
      <c r="C1130" s="1627">
        <f t="shared" si="305"/>
        <v>0</v>
      </c>
      <c r="D1130" s="1627">
        <f t="shared" si="306"/>
        <v>0</v>
      </c>
      <c r="E1130" s="1627">
        <f t="shared" si="307"/>
        <v>0</v>
      </c>
      <c r="F1130" s="1627">
        <f t="shared" si="308"/>
        <v>0</v>
      </c>
      <c r="G1130" s="1593"/>
      <c r="H1130" s="1628">
        <f t="shared" si="309"/>
        <v>0</v>
      </c>
      <c r="I1130" s="1628">
        <f t="shared" si="310"/>
        <v>0</v>
      </c>
      <c r="J1130" s="1628">
        <f t="shared" si="311"/>
        <v>0</v>
      </c>
      <c r="K1130" s="1628">
        <f t="shared" si="312"/>
        <v>0</v>
      </c>
      <c r="L1130" s="1375"/>
      <c r="M1130" s="1619" t="str">
        <f t="shared" si="304"/>
        <v/>
      </c>
      <c r="N1130" s="1634" t="str">
        <f t="shared" si="313"/>
        <v/>
      </c>
      <c r="O1130" s="1593"/>
      <c r="P1130" s="1593"/>
      <c r="Q1130" s="1629"/>
      <c r="R1130" s="1602"/>
      <c r="S1130" s="1357"/>
      <c r="T1130" s="1357"/>
      <c r="U1130" s="1394">
        <v>1130</v>
      </c>
      <c r="V1130" s="1357"/>
    </row>
    <row r="1131" spans="1:22" ht="15.75" customHeight="1">
      <c r="A1131" s="1585" t="str">
        <f t="shared" si="302"/>
        <v>Irish potato: type</v>
      </c>
      <c r="B1131" s="1593"/>
      <c r="C1131" s="1627">
        <f t="shared" si="305"/>
        <v>6.1099003735990039E-3</v>
      </c>
      <c r="D1131" s="1627">
        <f t="shared" si="306"/>
        <v>1.2565950404893566E-2</v>
      </c>
      <c r="E1131" s="1627">
        <f t="shared" si="307"/>
        <v>0.11583977484433375</v>
      </c>
      <c r="F1131" s="1627">
        <f t="shared" si="308"/>
        <v>3.6487886137978549E-2</v>
      </c>
      <c r="G1131" s="1593"/>
      <c r="H1131" s="1628">
        <f t="shared" si="309"/>
        <v>0</v>
      </c>
      <c r="I1131" s="1628">
        <f t="shared" si="310"/>
        <v>4.2564858967989215E-3</v>
      </c>
      <c r="J1131" s="1628">
        <f t="shared" si="311"/>
        <v>9.1277975342465748E-2</v>
      </c>
      <c r="K1131" s="1628">
        <f t="shared" si="312"/>
        <v>2.9427556817375255E-2</v>
      </c>
      <c r="L1131" s="1375"/>
      <c r="M1131" s="1619" t="str">
        <f t="shared" si="304"/>
        <v>yes</v>
      </c>
      <c r="N1131" s="1634" t="str">
        <f t="shared" si="313"/>
        <v/>
      </c>
      <c r="O1131" s="1593"/>
      <c r="P1131" s="1593"/>
      <c r="Q1131" s="1629"/>
      <c r="R1131" s="1602"/>
      <c r="S1131" s="1357"/>
      <c r="T1131" s="1357"/>
      <c r="U1131" s="1394">
        <v>1131</v>
      </c>
      <c r="V1131" s="1357"/>
    </row>
    <row r="1132" spans="1:22" ht="15.75" customHeight="1">
      <c r="A1132" s="1585" t="str">
        <f t="shared" si="302"/>
        <v>Jugo beans:</v>
      </c>
      <c r="B1132" s="1593"/>
      <c r="C1132" s="1627">
        <f t="shared" si="305"/>
        <v>0</v>
      </c>
      <c r="D1132" s="1627">
        <f t="shared" si="306"/>
        <v>0</v>
      </c>
      <c r="E1132" s="1627">
        <f t="shared" si="307"/>
        <v>0</v>
      </c>
      <c r="F1132" s="1627">
        <f t="shared" si="308"/>
        <v>0</v>
      </c>
      <c r="G1132" s="1593"/>
      <c r="H1132" s="1628">
        <f t="shared" si="309"/>
        <v>0</v>
      </c>
      <c r="I1132" s="1628">
        <f t="shared" si="310"/>
        <v>0</v>
      </c>
      <c r="J1132" s="1628">
        <f t="shared" si="311"/>
        <v>0</v>
      </c>
      <c r="K1132" s="1628">
        <f t="shared" si="312"/>
        <v>0</v>
      </c>
      <c r="L1132" s="1375"/>
      <c r="M1132" s="1619" t="str">
        <f t="shared" si="304"/>
        <v/>
      </c>
      <c r="N1132" s="1634" t="str">
        <f t="shared" si="313"/>
        <v/>
      </c>
      <c r="O1132" s="1593"/>
      <c r="P1132" s="1593"/>
      <c r="Q1132" s="1629"/>
      <c r="R1132" s="1602"/>
      <c r="S1132" s="1357"/>
      <c r="T1132" s="1357"/>
      <c r="U1132" s="1394">
        <v>1132</v>
      </c>
      <c r="V1132" s="1357"/>
    </row>
    <row r="1133" spans="1:22" ht="15.75" customHeight="1">
      <c r="A1133" s="1585" t="str">
        <f t="shared" si="302"/>
        <v>Yam: type</v>
      </c>
      <c r="B1133" s="1593"/>
      <c r="C1133" s="1627">
        <f t="shared" si="305"/>
        <v>2.5393057285180574E-2</v>
      </c>
      <c r="D1133" s="1627">
        <f t="shared" si="306"/>
        <v>2.082230697384807E-2</v>
      </c>
      <c r="E1133" s="1627">
        <f t="shared" si="307"/>
        <v>6.8285881764626175E-2</v>
      </c>
      <c r="F1133" s="1627">
        <f t="shared" si="308"/>
        <v>7.5120815078171879E-2</v>
      </c>
      <c r="G1133" s="1593"/>
      <c r="H1133" s="1628">
        <f t="shared" si="309"/>
        <v>0</v>
      </c>
      <c r="I1133" s="1628">
        <f t="shared" si="310"/>
        <v>0</v>
      </c>
      <c r="J1133" s="1628">
        <f t="shared" si="311"/>
        <v>4.7294287742210235E-2</v>
      </c>
      <c r="K1133" s="1628">
        <f t="shared" si="312"/>
        <v>5.2549208602455814E-2</v>
      </c>
      <c r="L1133" s="1375"/>
      <c r="M1133" s="1619" t="str">
        <f t="shared" si="304"/>
        <v>yes</v>
      </c>
      <c r="N1133" s="1634" t="str">
        <f t="shared" si="313"/>
        <v/>
      </c>
      <c r="O1133" s="1593"/>
      <c r="P1133" s="1593"/>
      <c r="Q1133" s="1629"/>
      <c r="R1133" s="1602"/>
      <c r="S1133" s="1357"/>
      <c r="T1133" s="1357"/>
      <c r="U1133" s="1394">
        <v>1133</v>
      </c>
      <c r="V1133" s="1357"/>
    </row>
    <row r="1134" spans="1:22" ht="15.75" customHeight="1">
      <c r="A1134" s="1585" t="str">
        <f>A851</f>
        <v>FISHING -- see worksheet Data 3</v>
      </c>
      <c r="B1134" s="1593"/>
      <c r="C1134" s="1627">
        <f t="shared" ref="C1134:F1135" si="314">IF(C$1111=0,0,MAX((SUM(C851,M851)+SUM(C962,M962)/C$1111),(SUM(C851)+SUM(C962)/C$1111)))</f>
        <v>0</v>
      </c>
      <c r="D1134" s="1627">
        <f t="shared" si="314"/>
        <v>0</v>
      </c>
      <c r="E1134" s="1627">
        <f t="shared" si="314"/>
        <v>0</v>
      </c>
      <c r="F1134" s="1627">
        <f t="shared" si="314"/>
        <v>1.4632627646326278E-2</v>
      </c>
      <c r="G1134" s="1593"/>
      <c r="H1134" s="1628">
        <f t="shared" ref="H1134:K1135" si="315">IF(C$1111=0,0,MAX(SUM(C962,M962)/C$1111,SUM(C962)/C$1111))</f>
        <v>0</v>
      </c>
      <c r="I1134" s="1628">
        <f t="shared" si="315"/>
        <v>0</v>
      </c>
      <c r="J1134" s="1628">
        <f t="shared" si="315"/>
        <v>0</v>
      </c>
      <c r="K1134" s="1628">
        <f t="shared" si="315"/>
        <v>0</v>
      </c>
      <c r="L1134" s="1375"/>
      <c r="M1134" s="1619" t="str">
        <f t="shared" si="304"/>
        <v/>
      </c>
      <c r="N1134" s="1634" t="str">
        <f t="shared" si="313"/>
        <v/>
      </c>
      <c r="O1134" s="1593"/>
      <c r="P1134" s="1593"/>
      <c r="Q1134" s="1629"/>
      <c r="R1134" s="1602"/>
      <c r="S1134" s="1357"/>
      <c r="T1134" s="1357"/>
      <c r="U1134" s="1394">
        <v>1134</v>
      </c>
      <c r="V1134" s="1357"/>
    </row>
    <row r="1135" spans="1:22" ht="15.75" customHeight="1">
      <c r="A1135" s="1585" t="str">
        <f>A852</f>
        <v>WILD FOODS -- see worksheet Data 3</v>
      </c>
      <c r="B1135" s="1593"/>
      <c r="C1135" s="1627">
        <f t="shared" si="314"/>
        <v>0</v>
      </c>
      <c r="D1135" s="1627">
        <f t="shared" si="314"/>
        <v>0</v>
      </c>
      <c r="E1135" s="1627">
        <f t="shared" si="314"/>
        <v>0</v>
      </c>
      <c r="F1135" s="1627">
        <f t="shared" si="314"/>
        <v>0</v>
      </c>
      <c r="G1135" s="1593"/>
      <c r="H1135" s="1628">
        <f t="shared" si="315"/>
        <v>0</v>
      </c>
      <c r="I1135" s="1628">
        <f t="shared" si="315"/>
        <v>0</v>
      </c>
      <c r="J1135" s="1628">
        <f t="shared" si="315"/>
        <v>0</v>
      </c>
      <c r="K1135" s="1628">
        <f t="shared" si="315"/>
        <v>0</v>
      </c>
      <c r="L1135" s="1375"/>
      <c r="M1135" s="1619" t="str">
        <f t="shared" si="304"/>
        <v/>
      </c>
      <c r="N1135" s="1634" t="str">
        <f t="shared" si="313"/>
        <v/>
      </c>
      <c r="O1135" s="1593"/>
      <c r="P1135" s="1593"/>
      <c r="Q1135" s="1629"/>
      <c r="R1135" s="1602"/>
      <c r="S1135" s="1357"/>
      <c r="T1135" s="1357"/>
      <c r="U1135" s="1394">
        <v>1135</v>
      </c>
      <c r="V1135" s="1357"/>
    </row>
    <row r="1136" spans="1:22" ht="15.75" customHeight="1">
      <c r="A1136" s="1375" t="str">
        <f>A931</f>
        <v>Green maize sold: quantity</v>
      </c>
      <c r="B1136" s="1593"/>
      <c r="C1136" s="1627">
        <f>IF(C$1111=0,0,MAX(SUM(C931,M931)/C$1111,SUM(C931)/C$1111))</f>
        <v>0</v>
      </c>
      <c r="D1136" s="1627">
        <f>IF(D$1111=0,0,MAX(SUM(D931,N931)/D$1111,SUM(D931)/D$1111))</f>
        <v>0</v>
      </c>
      <c r="E1136" s="1627">
        <f>IF(E$1111=0,0,MAX(SUM(E931,O931)/E$1111,SUM(E931)/E$1111))</f>
        <v>0</v>
      </c>
      <c r="F1136" s="1627">
        <f>IF(F$1111=0,0,MAX(SUM(F931,P931)/F$1111,SUM(F931)/F$1111))</f>
        <v>0</v>
      </c>
      <c r="G1136" s="1593"/>
      <c r="H1136" s="1357"/>
      <c r="I1136" s="1357"/>
      <c r="J1136" s="1357"/>
      <c r="K1136" s="1594"/>
      <c r="L1136" s="1593"/>
      <c r="M1136" s="1619" t="str">
        <f t="shared" si="304"/>
        <v/>
      </c>
      <c r="N1136" s="1619" t="str">
        <f t="shared" ref="N1136:N1147" si="316">M1136</f>
        <v/>
      </c>
      <c r="O1136" s="1593"/>
      <c r="P1136" s="1593"/>
      <c r="Q1136" s="1629"/>
      <c r="R1136" s="1602"/>
      <c r="S1136" s="1357"/>
      <c r="T1136" s="1357"/>
      <c r="U1136" s="1394">
        <v>1136</v>
      </c>
      <c r="V1136" s="1357"/>
    </row>
    <row r="1137" spans="1:22" ht="15.75" customHeight="1">
      <c r="A1137" s="1375" t="str">
        <f t="shared" ref="A1137:A1147" si="317">A950</f>
        <v>Main cashcrop kg sold</v>
      </c>
      <c r="B1137" s="1593"/>
      <c r="C1137" s="1627">
        <f t="shared" ref="C1137:C1147" si="318">IF(C$1111=0,0,MAX(SUM(C950,M950)/C$1111,SUM(C950)/C$1111))</f>
        <v>0</v>
      </c>
      <c r="D1137" s="1627">
        <f t="shared" ref="D1137:D1147" si="319">IF(D$1111=0,0,MAX(SUM(D950,N950)/D$1111,SUM(D950)/D$1111))</f>
        <v>0</v>
      </c>
      <c r="E1137" s="1627">
        <f t="shared" ref="E1137:E1147" si="320">IF(E$1111=0,0,MAX(SUM(E950,O950)/E$1111,SUM(E950)/E$1111))</f>
        <v>0</v>
      </c>
      <c r="F1137" s="1627">
        <f t="shared" ref="F1137:F1147" si="321">IF(F$1111=0,0,MAX(SUM(F950,P950)/F$1111,SUM(F950)/F$1111))</f>
        <v>0</v>
      </c>
      <c r="G1137" s="1593"/>
      <c r="H1137" s="1357"/>
      <c r="I1137" s="1357"/>
      <c r="J1137" s="1357"/>
      <c r="K1137" s="1594"/>
      <c r="L1137" s="1593"/>
      <c r="M1137" s="1619" t="str">
        <f t="shared" si="304"/>
        <v/>
      </c>
      <c r="N1137" s="1619" t="str">
        <f t="shared" si="316"/>
        <v/>
      </c>
      <c r="O1137" s="1593"/>
      <c r="P1137" s="1593"/>
      <c r="Q1137" s="1629"/>
      <c r="R1137" s="1602"/>
      <c r="S1137" s="1357"/>
      <c r="T1137" s="1357"/>
      <c r="U1137" s="1394">
        <v>1137</v>
      </c>
      <c r="V1137" s="1357"/>
    </row>
    <row r="1138" spans="1:22" ht="15.75" customHeight="1">
      <c r="A1138" s="1375" t="str">
        <f t="shared" si="317"/>
        <v>Spinach (cash): kg produced</v>
      </c>
      <c r="B1138" s="1593"/>
      <c r="C1138" s="1627">
        <f t="shared" si="318"/>
        <v>0</v>
      </c>
      <c r="D1138" s="1627">
        <f t="shared" si="319"/>
        <v>1.7735357903328839E-2</v>
      </c>
      <c r="E1138" s="1627">
        <f t="shared" si="320"/>
        <v>1.1823571935552559E-2</v>
      </c>
      <c r="F1138" s="1627">
        <f t="shared" si="321"/>
        <v>3.152952516147349E-2</v>
      </c>
      <c r="G1138" s="1593"/>
      <c r="H1138" s="1357"/>
      <c r="I1138" s="1357"/>
      <c r="J1138" s="1357"/>
      <c r="K1138" s="1594"/>
      <c r="L1138" s="1593"/>
      <c r="M1138" s="1619" t="str">
        <f t="shared" si="304"/>
        <v/>
      </c>
      <c r="N1138" s="1619" t="str">
        <f t="shared" si="316"/>
        <v/>
      </c>
      <c r="O1138" s="1593"/>
      <c r="P1138" s="1593"/>
      <c r="Q1138" s="1629"/>
      <c r="R1138" s="1602"/>
      <c r="S1138" s="1357"/>
      <c r="T1138" s="1357"/>
      <c r="U1138" s="1394">
        <v>1138</v>
      </c>
      <c r="V1138" s="1357"/>
    </row>
    <row r="1139" spans="1:22" ht="15.75" customHeight="1">
      <c r="A1139" s="1375" t="str">
        <f t="shared" si="317"/>
        <v>Lettuce (cash): kg produced (Lettuce)</v>
      </c>
      <c r="B1139" s="1593"/>
      <c r="C1139" s="1627">
        <f t="shared" si="318"/>
        <v>0</v>
      </c>
      <c r="D1139" s="1627">
        <f t="shared" si="319"/>
        <v>0</v>
      </c>
      <c r="E1139" s="1627">
        <f t="shared" si="320"/>
        <v>0</v>
      </c>
      <c r="F1139" s="1627">
        <f t="shared" si="321"/>
        <v>0</v>
      </c>
      <c r="G1139" s="1593"/>
      <c r="H1139" s="1357"/>
      <c r="I1139" s="1357"/>
      <c r="J1139" s="1357"/>
      <c r="K1139" s="1594"/>
      <c r="L1139" s="1593"/>
      <c r="M1139" s="1619" t="str">
        <f t="shared" si="304"/>
        <v/>
      </c>
      <c r="N1139" s="1619" t="str">
        <f t="shared" si="316"/>
        <v/>
      </c>
      <c r="O1139" s="1593"/>
      <c r="P1139" s="1593"/>
      <c r="Q1139" s="1629"/>
      <c r="R1139" s="1602"/>
      <c r="S1139" s="1357"/>
      <c r="T1139" s="1357"/>
      <c r="U1139" s="1394">
        <v>1139</v>
      </c>
      <c r="V1139" s="1357"/>
    </row>
    <row r="1140" spans="1:22" ht="15.75" customHeight="1">
      <c r="A1140" s="1375" t="str">
        <f t="shared" si="317"/>
        <v>Other cashcrop: kg produced</v>
      </c>
      <c r="B1140" s="1593"/>
      <c r="C1140" s="1627">
        <f t="shared" si="318"/>
        <v>0</v>
      </c>
      <c r="D1140" s="1627">
        <f t="shared" si="319"/>
        <v>0</v>
      </c>
      <c r="E1140" s="1627">
        <f t="shared" si="320"/>
        <v>0</v>
      </c>
      <c r="F1140" s="1627">
        <f t="shared" si="321"/>
        <v>0</v>
      </c>
      <c r="G1140" s="1593"/>
      <c r="H1140" s="1357"/>
      <c r="I1140" s="1357"/>
      <c r="J1140" s="1357"/>
      <c r="K1140" s="1594"/>
      <c r="L1140" s="1593"/>
      <c r="M1140" s="1619" t="str">
        <f t="shared" si="304"/>
        <v/>
      </c>
      <c r="N1140" s="1619" t="str">
        <f t="shared" si="316"/>
        <v/>
      </c>
      <c r="O1140" s="1593"/>
      <c r="P1140" s="1593"/>
      <c r="Q1140" s="1629"/>
      <c r="R1140" s="1602"/>
      <c r="S1140" s="1357"/>
      <c r="T1140" s="1357"/>
      <c r="U1140" s="1394">
        <v>1140</v>
      </c>
      <c r="V1140" s="1357"/>
    </row>
    <row r="1141" spans="1:22" ht="15.75" customHeight="1">
      <c r="A1141" s="1375" t="str">
        <f t="shared" si="317"/>
        <v>Tomatoes (cash): kg produced</v>
      </c>
      <c r="B1141" s="1593"/>
      <c r="C1141" s="1627">
        <f t="shared" si="318"/>
        <v>0</v>
      </c>
      <c r="D1141" s="1627">
        <f t="shared" si="319"/>
        <v>0</v>
      </c>
      <c r="E1141" s="1627">
        <f t="shared" si="320"/>
        <v>0</v>
      </c>
      <c r="F1141" s="1627">
        <f t="shared" si="321"/>
        <v>5.2549208602455814E-2</v>
      </c>
      <c r="G1141" s="1593"/>
      <c r="H1141" s="1357"/>
      <c r="I1141" s="1357"/>
      <c r="J1141" s="1357"/>
      <c r="K1141" s="1594"/>
      <c r="L1141" s="1593"/>
      <c r="M1141" s="1619" t="str">
        <f t="shared" si="304"/>
        <v/>
      </c>
      <c r="N1141" s="1619" t="str">
        <f t="shared" si="316"/>
        <v/>
      </c>
      <c r="O1141" s="1593"/>
      <c r="P1141" s="1593"/>
      <c r="Q1141" s="1629"/>
      <c r="R1141" s="1602"/>
      <c r="S1141" s="1357"/>
      <c r="T1141" s="1357"/>
      <c r="U1141" s="1394">
        <v>1141</v>
      </c>
      <c r="V1141" s="1357"/>
    </row>
    <row r="1142" spans="1:22" ht="15.75" customHeight="1">
      <c r="A1142" s="1375" t="str">
        <f t="shared" si="317"/>
        <v>Cabbage (cash): kg produced</v>
      </c>
      <c r="B1142" s="1593"/>
      <c r="C1142" s="1627">
        <f t="shared" si="318"/>
        <v>0</v>
      </c>
      <c r="D1142" s="1627">
        <f t="shared" si="319"/>
        <v>0</v>
      </c>
      <c r="E1142" s="1627">
        <f t="shared" si="320"/>
        <v>0</v>
      </c>
      <c r="F1142" s="1627">
        <f t="shared" si="321"/>
        <v>3.152952516147349E-2</v>
      </c>
      <c r="G1142" s="1593"/>
      <c r="H1142" s="1357"/>
      <c r="I1142" s="1357"/>
      <c r="J1142" s="1357"/>
      <c r="K1142" s="1594"/>
      <c r="L1142" s="1593"/>
      <c r="M1142" s="1619" t="str">
        <f t="shared" si="304"/>
        <v/>
      </c>
      <c r="N1142" s="1619" t="str">
        <f t="shared" si="316"/>
        <v/>
      </c>
      <c r="O1142" s="1593"/>
      <c r="P1142" s="1593"/>
      <c r="Q1142" s="1629"/>
      <c r="R1142" s="1602"/>
      <c r="S1142" s="1357"/>
      <c r="T1142" s="1357"/>
      <c r="U1142" s="1394">
        <v>1142</v>
      </c>
      <c r="V1142" s="1357"/>
    </row>
    <row r="1143" spans="1:22" ht="15.75" customHeight="1">
      <c r="A1143" s="1375" t="str">
        <f t="shared" si="317"/>
        <v>Carrots (cash): kg produced</v>
      </c>
      <c r="B1143" s="1593"/>
      <c r="C1143" s="1627">
        <f t="shared" si="318"/>
        <v>0</v>
      </c>
      <c r="D1143" s="1627">
        <f t="shared" si="319"/>
        <v>0</v>
      </c>
      <c r="E1143" s="1627">
        <f t="shared" si="320"/>
        <v>0</v>
      </c>
      <c r="F1143" s="1627">
        <f t="shared" si="321"/>
        <v>0</v>
      </c>
      <c r="G1143" s="1593"/>
      <c r="H1143" s="1357"/>
      <c r="I1143" s="1357"/>
      <c r="J1143" s="1357"/>
      <c r="K1143" s="1594"/>
      <c r="L1143" s="1593"/>
      <c r="M1143" s="1619" t="str">
        <f t="shared" si="304"/>
        <v/>
      </c>
      <c r="N1143" s="1619" t="str">
        <f t="shared" si="316"/>
        <v/>
      </c>
      <c r="O1143" s="1593"/>
      <c r="P1143" s="1593"/>
      <c r="Q1143" s="1629"/>
      <c r="R1143" s="1602"/>
      <c r="S1143" s="1357"/>
      <c r="T1143" s="1357"/>
      <c r="U1143" s="1394">
        <v>1143</v>
      </c>
      <c r="V1143" s="1357"/>
    </row>
    <row r="1144" spans="1:22" ht="15.75" customHeight="1">
      <c r="A1144" s="1375" t="str">
        <f t="shared" si="317"/>
        <v>Straw: quantity sold</v>
      </c>
      <c r="B1144" s="1593"/>
      <c r="C1144" s="1627">
        <f t="shared" si="318"/>
        <v>0</v>
      </c>
      <c r="D1144" s="1627">
        <f t="shared" si="319"/>
        <v>0</v>
      </c>
      <c r="E1144" s="1627">
        <f t="shared" si="320"/>
        <v>0</v>
      </c>
      <c r="F1144" s="1627">
        <f t="shared" si="321"/>
        <v>0</v>
      </c>
      <c r="G1144" s="1593"/>
      <c r="H1144" s="1357"/>
      <c r="I1144" s="1357"/>
      <c r="J1144" s="1357"/>
      <c r="K1144" s="1594"/>
      <c r="L1144" s="1593"/>
      <c r="M1144" s="1619" t="str">
        <f t="shared" si="304"/>
        <v/>
      </c>
      <c r="N1144" s="1619" t="str">
        <f t="shared" si="316"/>
        <v/>
      </c>
      <c r="O1144" s="1593"/>
      <c r="P1144" s="1593"/>
      <c r="Q1144" s="1629"/>
      <c r="R1144" s="1602"/>
      <c r="S1144" s="1357"/>
      <c r="T1144" s="1357"/>
      <c r="U1144" s="1394">
        <v>1144</v>
      </c>
      <c r="V1144" s="1357"/>
    </row>
    <row r="1145" spans="1:22" ht="15.75" customHeight="1">
      <c r="A1145" s="1375" t="str">
        <f t="shared" si="317"/>
        <v>Trees: quantity sold</v>
      </c>
      <c r="B1145" s="1593"/>
      <c r="C1145" s="1627">
        <f t="shared" si="318"/>
        <v>0</v>
      </c>
      <c r="D1145" s="1627">
        <f t="shared" si="319"/>
        <v>0</v>
      </c>
      <c r="E1145" s="1627">
        <f t="shared" si="320"/>
        <v>0</v>
      </c>
      <c r="F1145" s="1627">
        <f t="shared" si="321"/>
        <v>0</v>
      </c>
      <c r="G1145" s="1593"/>
      <c r="H1145" s="1357"/>
      <c r="I1145" s="1357"/>
      <c r="J1145" s="1357"/>
      <c r="K1145" s="1594"/>
      <c r="L1145" s="1593"/>
      <c r="M1145" s="1619" t="str">
        <f t="shared" si="304"/>
        <v/>
      </c>
      <c r="N1145" s="1619" t="str">
        <f t="shared" si="316"/>
        <v/>
      </c>
      <c r="O1145" s="1593"/>
      <c r="P1145" s="1593"/>
      <c r="Q1145" s="1629"/>
      <c r="R1145" s="1602"/>
      <c r="S1145" s="1357"/>
      <c r="T1145" s="1357"/>
      <c r="U1145" s="1394">
        <v>1145</v>
      </c>
      <c r="V1145" s="1357"/>
    </row>
    <row r="1146" spans="1:22" ht="15.75" customHeight="1">
      <c r="A1146" s="1375" t="str">
        <f t="shared" si="317"/>
        <v>Beetroot (cash): type</v>
      </c>
      <c r="B1146" s="1593"/>
      <c r="C1146" s="1627">
        <f t="shared" si="318"/>
        <v>0</v>
      </c>
      <c r="D1146" s="1627">
        <f t="shared" si="319"/>
        <v>0</v>
      </c>
      <c r="E1146" s="1627">
        <f t="shared" si="320"/>
        <v>0</v>
      </c>
      <c r="F1146" s="1627">
        <f t="shared" si="321"/>
        <v>0</v>
      </c>
      <c r="G1146" s="1593"/>
      <c r="H1146" s="1357"/>
      <c r="I1146" s="1357"/>
      <c r="J1146" s="1357"/>
      <c r="K1146" s="1594"/>
      <c r="L1146" s="1593"/>
      <c r="M1146" s="1619" t="str">
        <f t="shared" si="304"/>
        <v/>
      </c>
      <c r="N1146" s="1619" t="str">
        <f t="shared" si="316"/>
        <v/>
      </c>
      <c r="O1146" s="1593"/>
      <c r="P1146" s="1593"/>
      <c r="Q1146" s="1629"/>
      <c r="R1146" s="1602"/>
      <c r="S1146" s="1357"/>
      <c r="T1146" s="1357"/>
      <c r="U1146" s="1394">
        <v>1146</v>
      </c>
      <c r="V1146" s="1357"/>
    </row>
    <row r="1147" spans="1:22" ht="15.75" customHeight="1">
      <c r="A1147" s="1375" t="str">
        <f t="shared" si="317"/>
        <v>Other cash crop: type</v>
      </c>
      <c r="B1147" s="1593"/>
      <c r="C1147" s="1627">
        <f t="shared" si="318"/>
        <v>0</v>
      </c>
      <c r="D1147" s="1627">
        <f t="shared" si="319"/>
        <v>0</v>
      </c>
      <c r="E1147" s="1627">
        <f t="shared" si="320"/>
        <v>0</v>
      </c>
      <c r="F1147" s="1627">
        <f t="shared" si="321"/>
        <v>0</v>
      </c>
      <c r="G1147" s="1593"/>
      <c r="H1147" s="1357"/>
      <c r="I1147" s="1357"/>
      <c r="J1147" s="1357"/>
      <c r="K1147" s="1594"/>
      <c r="L1147" s="1593"/>
      <c r="M1147" s="1619" t="str">
        <f t="shared" si="304"/>
        <v/>
      </c>
      <c r="N1147" s="1619" t="str">
        <f t="shared" si="316"/>
        <v/>
      </c>
      <c r="O1147" s="1593"/>
      <c r="P1147" s="1593"/>
      <c r="Q1147" s="1629"/>
      <c r="R1147" s="1602"/>
      <c r="S1147" s="1357"/>
      <c r="T1147" s="1357"/>
      <c r="U1147" s="1394">
        <v>1147</v>
      </c>
      <c r="V1147" s="1357"/>
    </row>
    <row r="1148" spans="1:22" ht="15.75" customHeight="1">
      <c r="A1148" s="1496" t="s">
        <v>547</v>
      </c>
      <c r="B1148" s="1595"/>
      <c r="C1148" s="1627"/>
      <c r="D1148" s="1627"/>
      <c r="E1148" s="1627"/>
      <c r="F1148" s="1627"/>
      <c r="G1148" s="1593"/>
      <c r="H1148" s="1594"/>
      <c r="I1148" s="1357"/>
      <c r="J1148" s="1357"/>
      <c r="K1148" s="1594"/>
      <c r="L1148" s="1593"/>
      <c r="M1148" s="1638" t="s">
        <v>548</v>
      </c>
      <c r="N1148" s="1636" t="s">
        <v>352</v>
      </c>
      <c r="O1148" s="1593"/>
      <c r="P1148" s="1593"/>
      <c r="Q1148" s="1629"/>
      <c r="R1148" s="1602"/>
      <c r="S1148" s="1357"/>
      <c r="T1148" s="1357"/>
      <c r="U1148" s="1394">
        <v>1148</v>
      </c>
      <c r="V1148" s="1357"/>
    </row>
    <row r="1149" spans="1:22" ht="15.75" customHeight="1">
      <c r="A1149" s="1375" t="str">
        <f>A820</f>
        <v>Camels' milk - season 1</v>
      </c>
      <c r="B1149" s="1595"/>
      <c r="C1149" s="1627">
        <f>IF(C$1111=0,0,MAX((SUM(C820,M820)+SUM(C904,M904,C906,M906)/C$1111),(SUM(C820)+SUM(C904,C906)/C$1111)))</f>
        <v>0</v>
      </c>
      <c r="D1149" s="1627">
        <f>IF(D$1111=0,0,MAX((SUM(D820,N820)+SUM(D904,N904,D906,N906)/D$1111),(SUM(D820)+SUM(D904,D906)/D$1111)))</f>
        <v>0</v>
      </c>
      <c r="E1149" s="1627">
        <f>IF(E$1111=0,0,MAX((SUM(E820,O820)+SUM(E904,O904,E906,O906)/E$1111),(SUM(E820)+SUM(E904,E906)/E$1111)))</f>
        <v>0</v>
      </c>
      <c r="F1149" s="1627">
        <f>IF(F$1111=0,0,MAX((SUM(F820,P820)+SUM(F904,P904,F906,P906)/F$1111),(SUM(F820)+SUM(F904,F906)/F$1111)))</f>
        <v>0</v>
      </c>
      <c r="G1149" s="1593"/>
      <c r="H1149" s="1628"/>
      <c r="I1149" s="1628"/>
      <c r="J1149" s="1628"/>
      <c r="K1149" s="1628"/>
      <c r="L1149" s="1375"/>
      <c r="M1149" s="1619" t="str">
        <f>IF(OR(SUM((C1149&gt;C$1109),(E1149&gt;C$1109),(D1149&gt;C$1109),(F1149&gt;C$1109))&gt;1,C1149&gt;C$1109*2,E1149&gt;C$1109*2,D1149&gt;C$1109*2,F1149&gt;C$1109*2),"yes","")</f>
        <v/>
      </c>
      <c r="N1149" s="1634"/>
      <c r="O1149" s="1593"/>
      <c r="P1149" s="1593"/>
      <c r="Q1149" s="1629"/>
      <c r="R1149" s="1602"/>
      <c r="S1149" s="1357"/>
      <c r="T1149" s="1357"/>
      <c r="U1149" s="1394">
        <v>1149</v>
      </c>
      <c r="V1149" s="1357"/>
    </row>
    <row r="1150" spans="1:22" ht="15.75" customHeight="1">
      <c r="A1150" s="1639" t="str">
        <f>A904</f>
        <v>Camels' milk sales - season 1</v>
      </c>
      <c r="B1150" s="1595"/>
      <c r="C1150" s="1627"/>
      <c r="D1150" s="1627"/>
      <c r="E1150" s="1627"/>
      <c r="F1150" s="1627"/>
      <c r="G1150" s="1593"/>
      <c r="H1150" s="1628">
        <f>IF(C$1111=0,0,MAX(SUM(C904,M904)/C$1111,SUM(C904)/C$1111))</f>
        <v>0</v>
      </c>
      <c r="I1150" s="1628">
        <f>IF(D$1111=0,0,MAX(SUM(D904,N904)/D$1111,SUM(D904)/D$1111))</f>
        <v>0</v>
      </c>
      <c r="J1150" s="1628">
        <f>IF(E$1111=0,0,MAX(SUM(E904,O904)/E$1111,SUM(E904)/E$1111))</f>
        <v>0</v>
      </c>
      <c r="K1150" s="1628">
        <f>IF(F$1111=0,0,MAX(SUM(F904,P904)/F$1111,SUM(F904)/F$1111))</f>
        <v>0</v>
      </c>
      <c r="L1150" s="1375"/>
      <c r="M1150" s="1375"/>
      <c r="N1150" s="1634" t="str">
        <f>IF(OR(SUM((H1150&gt;C$1109),(J1150&gt;C$1109),(I1150&gt;C$1109),(K1150&gt;C$1109))&gt;1,H1150&gt;C$1109*2,J1150&gt;C$1109*2,I1150&gt;C$1109*2,K1150&gt;C$1109*2),"yes","")</f>
        <v/>
      </c>
      <c r="O1150" s="1593"/>
      <c r="P1150" s="1593"/>
      <c r="Q1150" s="1629"/>
      <c r="R1150" s="1602"/>
      <c r="S1150" s="1357"/>
      <c r="T1150" s="1357"/>
      <c r="U1150" s="1394">
        <v>1150</v>
      </c>
      <c r="V1150" s="1357"/>
    </row>
    <row r="1151" spans="1:22" ht="15.75" customHeight="1">
      <c r="A1151" s="1639" t="str">
        <f>A906</f>
        <v>Camels' ghee/butter sales</v>
      </c>
      <c r="B1151" s="1595"/>
      <c r="C1151" s="1627"/>
      <c r="D1151" s="1627"/>
      <c r="E1151" s="1627"/>
      <c r="F1151" s="1627"/>
      <c r="G1151" s="1593"/>
      <c r="H1151" s="1628">
        <f>IF(C$1111=0,0,MAX(SUM(C906,M906)/C$1111,SUM(C906)/C$1111))</f>
        <v>0</v>
      </c>
      <c r="I1151" s="1628">
        <f>IF(D$1111=0,0,MAX(SUM(D906,N906)/D$1111,SUM(D906)/D$1111))</f>
        <v>0</v>
      </c>
      <c r="J1151" s="1628">
        <f>IF(E$1111=0,0,MAX(SUM(E906,O906)/E$1111,SUM(E906)/E$1111))</f>
        <v>0</v>
      </c>
      <c r="K1151" s="1628">
        <f>IF(F$1111=0,0,MAX(SUM(F906,P906)/F$1111,SUM(F906)/F$1111))</f>
        <v>0</v>
      </c>
      <c r="L1151" s="1375"/>
      <c r="M1151" s="1619"/>
      <c r="N1151" s="1634" t="str">
        <f>IF(OR(SUM((H1151&gt;C$1109),(J1151&gt;C$1109),(I1151&gt;C$1109),(K1151&gt;C$1109))&gt;1,H1151&gt;C$1109*2,J1151&gt;C$1109*2,I1151&gt;C$1109*2,K1151&gt;C$1109*2),"yes","")</f>
        <v/>
      </c>
      <c r="O1151" s="1593"/>
      <c r="P1151" s="1593"/>
      <c r="Q1151" s="1629"/>
      <c r="R1151" s="1602"/>
      <c r="S1151" s="1357"/>
      <c r="T1151" s="1357"/>
      <c r="U1151" s="1394">
        <v>1151</v>
      </c>
      <c r="V1151" s="1357"/>
    </row>
    <row r="1152" spans="1:22" ht="15.75" customHeight="1">
      <c r="A1152" s="1375" t="str">
        <f>A821</f>
        <v>Camels' milk - season 2</v>
      </c>
      <c r="B1152" s="1595"/>
      <c r="C1152" s="1627">
        <f>IF(C$1111=0,0,MAX((SUM(C821,M821)+SUM(C905,M905)/C$1111),(SUM(C821)+SUM(C905)/C$1111)))</f>
        <v>0</v>
      </c>
      <c r="D1152" s="1627">
        <f>IF(D$1111=0,0,MAX((SUM(D821,N821)+SUM(D905,N905)/D$1111),(SUM(D821)+SUM(D905)/D$1111)))</f>
        <v>0</v>
      </c>
      <c r="E1152" s="1627">
        <f>IF(E$1111=0,0,MAX((SUM(E821,O821)+SUM(E905,O905)/E$1111),(SUM(E821)+SUM(E905)/E$1111)))</f>
        <v>0</v>
      </c>
      <c r="F1152" s="1627">
        <f>IF(F$1111=0,0,MAX((SUM(F821,P821)+SUM(F905,P905)/F$1111),(SUM(F821)+SUM(F905)/F$1111)))</f>
        <v>0</v>
      </c>
      <c r="G1152" s="1593"/>
      <c r="H1152" s="1628"/>
      <c r="I1152" s="1628"/>
      <c r="J1152" s="1628"/>
      <c r="K1152" s="1628"/>
      <c r="L1152" s="1375"/>
      <c r="M1152" s="1619" t="str">
        <f>IF(OR(SUM((C1152&gt;C$1109),(E1152&gt;C$1109),(D1152&gt;C$1109),(F1152&gt;C$1109))&gt;1,C1152&gt;C$1109*2,E1152&gt;C$1109*2,D1152&gt;C$1109*2,F1152&gt;C$1109*2),"yes","")</f>
        <v/>
      </c>
      <c r="N1152" s="1634"/>
      <c r="O1152" s="1593"/>
      <c r="P1152" s="1593"/>
      <c r="Q1152" s="1629"/>
      <c r="R1152" s="1602"/>
      <c r="S1152" s="1357"/>
      <c r="T1152" s="1357"/>
      <c r="U1152" s="1394">
        <v>1152</v>
      </c>
      <c r="V1152" s="1357"/>
    </row>
    <row r="1153" spans="1:22" ht="15.75" customHeight="1">
      <c r="A1153" s="1639" t="str">
        <f>A905</f>
        <v>Camels' milk sales - season 2</v>
      </c>
      <c r="B1153" s="1595"/>
      <c r="C1153" s="1627"/>
      <c r="D1153" s="1627"/>
      <c r="E1153" s="1627"/>
      <c r="F1153" s="1627"/>
      <c r="G1153" s="1593"/>
      <c r="H1153" s="1628">
        <f>IF(C$1111=0,0,MAX(SUM(C905,M905)/C$1111,SUM(C905)/C$1111))</f>
        <v>0</v>
      </c>
      <c r="I1153" s="1628">
        <f>IF(D$1111=0,0,MAX(SUM(D905,N905)/D$1111,SUM(D905)/D$1111))</f>
        <v>0</v>
      </c>
      <c r="J1153" s="1628">
        <f>IF(E$1111=0,0,MAX(SUM(E905,O905)/E$1111,SUM(E905)/E$1111))</f>
        <v>0</v>
      </c>
      <c r="K1153" s="1628">
        <f>IF(F$1111=0,0,MAX(SUM(F905,P905)/F$1111,SUM(F905)/F$1111))</f>
        <v>0</v>
      </c>
      <c r="L1153" s="1375"/>
      <c r="M1153" s="1375"/>
      <c r="N1153" s="1634" t="str">
        <f>IF(OR(SUM((H1153&gt;C$1109),(J1153&gt;C$1109),(I1153&gt;C$1109),(K1153&gt;C$1109))&gt;1,H1153&gt;C$1109*2,J1153&gt;C$1109*2,I1153&gt;C$1109*2,K1153&gt;C$1109*2),"yes","")</f>
        <v/>
      </c>
      <c r="O1153" s="1593"/>
      <c r="P1153" s="1593"/>
      <c r="Q1153" s="1629"/>
      <c r="R1153" s="1602"/>
      <c r="S1153" s="1357"/>
      <c r="T1153" s="1357"/>
      <c r="U1153" s="1394">
        <v>1153</v>
      </c>
      <c r="V1153" s="1357"/>
    </row>
    <row r="1154" spans="1:22" ht="15.75" customHeight="1">
      <c r="A1154" s="1375" t="str">
        <f>A822</f>
        <v>Cows' milk - season 1</v>
      </c>
      <c r="B1154" s="1595"/>
      <c r="C1154" s="1627">
        <f>IF(C$1111=0,0,MAX((SUM(C822,M822)+SUM(C907,M907,C909,M909)/C$1111),(SUM(C822)+SUM(C907,C909)/C$1111)))</f>
        <v>1.4080012453300126E-2</v>
      </c>
      <c r="D1154" s="1627">
        <f>IF(D$1111=0,0,MAX((SUM(D822,N822)+SUM(D907,N907,D909,N909)/D$1111),(SUM(D822)+SUM(D907,D909)/D$1111)))</f>
        <v>8.3437110834371116E-3</v>
      </c>
      <c r="E1154" s="1627">
        <f>IF(E$1111=0,0,MAX((SUM(E822,O822)+SUM(E907,O907,E909,O909)/E$1111),(SUM(E822)+SUM(E907,E909)/E$1111)))</f>
        <v>1.3037048567870486E-2</v>
      </c>
      <c r="F1154" s="1627">
        <f>IF(F$1111=0,0,MAX((SUM(F822,P822)+SUM(F907,P907,F909,P909)/F$1111),(SUM(F822)+SUM(F907,F909)/F$1111)))</f>
        <v>8.5476684654766849E-2</v>
      </c>
      <c r="G1154" s="1593"/>
      <c r="H1154" s="1628"/>
      <c r="I1154" s="1628"/>
      <c r="J1154" s="1628"/>
      <c r="K1154" s="1628"/>
      <c r="L1154" s="1375"/>
      <c r="M1154" s="1619" t="str">
        <f>IF(OR(SUM((C1154&gt;C$1109),(E1154&gt;C$1109),(D1154&gt;C$1109),(F1154&gt;C$1109))&gt;1,C1154&gt;C$1109*2,E1154&gt;C$1109*2,D1154&gt;C$1109*2,F1154&gt;C$1109*2),"yes","")</f>
        <v/>
      </c>
      <c r="N1154" s="1634"/>
      <c r="O1154" s="1593"/>
      <c r="P1154" s="1593"/>
      <c r="Q1154" s="1629"/>
      <c r="R1154" s="1602"/>
      <c r="S1154" s="1357"/>
      <c r="T1154" s="1357"/>
      <c r="U1154" s="1394">
        <v>1154</v>
      </c>
      <c r="V1154" s="1357"/>
    </row>
    <row r="1155" spans="1:22" ht="15.75" customHeight="1">
      <c r="A1155" s="1593" t="str">
        <f>A907</f>
        <v>Cows' milk sales - season 1</v>
      </c>
      <c r="B1155" s="1595"/>
      <c r="C1155" s="1627"/>
      <c r="D1155" s="1627"/>
      <c r="E1155" s="1627"/>
      <c r="F1155" s="1627"/>
      <c r="G1155" s="1593"/>
      <c r="H1155" s="1628">
        <f>IF(C$1111=0,0,MAX(SUM(C907,M907)/C$1111,SUM(C907)/C$1111))</f>
        <v>0</v>
      </c>
      <c r="I1155" s="1628">
        <f>IF(D$1111=0,0,MAX(SUM(D907,N907)/D$1111,SUM(D907)/D$1111))</f>
        <v>0</v>
      </c>
      <c r="J1155" s="1628">
        <f>IF(E$1111=0,0,MAX(SUM(E907,O907)/E$1111,SUM(E907)/E$1111))</f>
        <v>0</v>
      </c>
      <c r="K1155" s="1628">
        <f>IF(F$1111=0,0,MAX(SUM(F907,P907)/F$1111,SUM(F907)/F$1111))</f>
        <v>0</v>
      </c>
      <c r="L1155" s="1375"/>
      <c r="M1155" s="1375"/>
      <c r="N1155" s="1634" t="str">
        <f>IF(OR(SUM((H1155&gt;C$1109),(J1155&gt;C$1109),(I1155&gt;C$1109),(K1155&gt;C$1109))&gt;1,H1155&gt;C$1109*2,J1155&gt;C$1109*2,I1155&gt;C$1109*2,K1155&gt;C$1109*2),"yes","")</f>
        <v/>
      </c>
      <c r="O1155" s="1593"/>
      <c r="P1155" s="1593"/>
      <c r="Q1155" s="1629"/>
      <c r="R1155" s="1602"/>
      <c r="S1155" s="1357"/>
      <c r="T1155" s="1357"/>
      <c r="U1155" s="1394">
        <v>1155</v>
      </c>
      <c r="V1155" s="1357"/>
    </row>
    <row r="1156" spans="1:22" ht="15.75" customHeight="1">
      <c r="A1156" s="1593" t="str">
        <f>A909</f>
        <v>Cows' ghee/butter sales</v>
      </c>
      <c r="B1156" s="1595"/>
      <c r="C1156" s="1627"/>
      <c r="D1156" s="1627"/>
      <c r="E1156" s="1627"/>
      <c r="F1156" s="1627"/>
      <c r="G1156" s="1593"/>
      <c r="H1156" s="1628">
        <f>IF(C$1111=0,0,MAX(SUM(C909,M909)/C$1111,SUM(C909)/C$1111))</f>
        <v>0</v>
      </c>
      <c r="I1156" s="1628">
        <f>IF(D$1111=0,0,MAX(SUM(D909,N909)/D$1111,SUM(D909)/D$1111))</f>
        <v>0</v>
      </c>
      <c r="J1156" s="1628">
        <f>IF(E$1111=0,0,MAX(SUM(E909,O909)/E$1111,SUM(E909)/E$1111))</f>
        <v>0</v>
      </c>
      <c r="K1156" s="1628">
        <f>IF(F$1111=0,0,MAX(SUM(F909,P909)/F$1111,SUM(F909)/F$1111))</f>
        <v>0</v>
      </c>
      <c r="L1156" s="1375"/>
      <c r="M1156" s="1619"/>
      <c r="N1156" s="1634" t="str">
        <f>IF(OR(SUM((H1156&gt;C$1109),(J1156&gt;C$1109),(I1156&gt;C$1109),(K1156&gt;C$1109))&gt;1,H1156&gt;C$1109*2,J1156&gt;C$1109*2,I1156&gt;C$1109*2,K1156&gt;C$1109*2),"yes","")</f>
        <v/>
      </c>
      <c r="O1156" s="1593"/>
      <c r="P1156" s="1593"/>
      <c r="Q1156" s="1629"/>
      <c r="R1156" s="1602"/>
      <c r="S1156" s="1357"/>
      <c r="T1156" s="1357"/>
      <c r="U1156" s="1394">
        <v>1156</v>
      </c>
      <c r="V1156" s="1357"/>
    </row>
    <row r="1157" spans="1:22" ht="15.75" customHeight="1">
      <c r="A1157" s="1375" t="str">
        <f>A823</f>
        <v>Cows' milk - season 2</v>
      </c>
      <c r="B1157" s="1595"/>
      <c r="C1157" s="1627">
        <f>IF(C$1111=0,0,MAX((SUM(C823,M823)+SUM(C908,M908)/C$1111),(SUM(C823)+SUM(C908)/C$1111)))</f>
        <v>2.3466687422166875E-3</v>
      </c>
      <c r="D1157" s="1627">
        <f>IF(D$1111=0,0,MAX((SUM(D823,N823)+SUM(D908,N908)/D$1111),(SUM(D823)+SUM(D908)/D$1111)))</f>
        <v>0</v>
      </c>
      <c r="E1157" s="1627">
        <f>IF(E$1111=0,0,MAX((SUM(E823,O823)+SUM(E908,O908)/E$1111),(SUM(E823)+SUM(E908)/E$1111)))</f>
        <v>0</v>
      </c>
      <c r="F1157" s="1627">
        <f>IF(F$1111=0,0,MAX((SUM(F823,P823)+SUM(F908,P908)/F$1111),(SUM(F823)+SUM(F908)/F$1111)))</f>
        <v>0</v>
      </c>
      <c r="G1157" s="1593"/>
      <c r="H1157" s="1628"/>
      <c r="I1157" s="1628"/>
      <c r="J1157" s="1628"/>
      <c r="K1157" s="1628"/>
      <c r="L1157" s="1375"/>
      <c r="M1157" s="1619" t="str">
        <f>IF(OR(SUM((C1157&gt;C$1109),(E1157&gt;C$1109),(D1157&gt;C$1109),(F1157&gt;C$1109))&gt;1,C1157&gt;C$1109*2,E1157&gt;C$1109*2,D1157&gt;C$1109*2,F1157&gt;C$1109*2),"yes","")</f>
        <v/>
      </c>
      <c r="N1157" s="1634"/>
      <c r="O1157" s="1593"/>
      <c r="P1157" s="1593"/>
      <c r="Q1157" s="1629"/>
      <c r="R1157" s="1602"/>
      <c r="S1157" s="1357"/>
      <c r="T1157" s="1357"/>
      <c r="U1157" s="1394">
        <v>1157</v>
      </c>
      <c r="V1157" s="1357"/>
    </row>
    <row r="1158" spans="1:22" ht="15.75" customHeight="1">
      <c r="A1158" s="1593" t="str">
        <f>A908</f>
        <v>Cows' milk sales - season 2</v>
      </c>
      <c r="B1158" s="1595"/>
      <c r="C1158" s="1627"/>
      <c r="D1158" s="1627"/>
      <c r="E1158" s="1627"/>
      <c r="F1158" s="1627"/>
      <c r="G1158" s="1593"/>
      <c r="H1158" s="1628">
        <f>IF(C$1111=0,0,MAX(SUM(C908,M908)/C$1111,SUM(C908)/C$1111))</f>
        <v>0</v>
      </c>
      <c r="I1158" s="1628">
        <f>IF(D$1111=0,0,MAX(SUM(D908,N908)/D$1111,SUM(D908)/D$1111))</f>
        <v>0</v>
      </c>
      <c r="J1158" s="1628">
        <f>IF(E$1111=0,0,MAX(SUM(E908,O908)/E$1111,SUM(E908)/E$1111))</f>
        <v>0</v>
      </c>
      <c r="K1158" s="1628">
        <f>IF(F$1111=0,0,MAX(SUM(F908,P908)/F$1111,SUM(F908)/F$1111))</f>
        <v>0</v>
      </c>
      <c r="L1158" s="1375"/>
      <c r="M1158" s="1375"/>
      <c r="N1158" s="1634" t="str">
        <f>IF(OR(SUM((H1158&gt;C$1109),(J1158&gt;C$1109),(I1158&gt;C$1109),(K1158&gt;C$1109))&gt;1,H1158&gt;C$1109*2,J1158&gt;C$1109*2,I1158&gt;C$1109*2,K1158&gt;C$1109*2),"yes","")</f>
        <v/>
      </c>
      <c r="O1158" s="1593"/>
      <c r="P1158" s="1593"/>
      <c r="Q1158" s="1629"/>
      <c r="R1158" s="1602"/>
      <c r="S1158" s="1357"/>
      <c r="T1158" s="1357"/>
      <c r="U1158" s="1394">
        <v>1158</v>
      </c>
      <c r="V1158" s="1357"/>
    </row>
    <row r="1159" spans="1:22" ht="15.75" customHeight="1">
      <c r="A1159" s="1375" t="str">
        <f>A824</f>
        <v>Sheep's milk - season 1</v>
      </c>
      <c r="B1159" s="1595"/>
      <c r="C1159" s="1627">
        <f>IF(C$1111=0,0,MAX((SUM(C824,M824)+SUM(C910,M910,C912,M912)/C$1111),(SUM(C824)+SUM(C910,C912)/C$1111)))</f>
        <v>0</v>
      </c>
      <c r="D1159" s="1627">
        <f>IF(D$1111=0,0,MAX((SUM(D824,N824)+SUM(D910,N910,D912,N912)/D$1111),(SUM(D824)+SUM(D910,D912)/D$1111)))</f>
        <v>0</v>
      </c>
      <c r="E1159" s="1627">
        <f>IF(E$1111=0,0,MAX((SUM(E824,O824)+SUM(E910,O910,E912,O912)/E$1111),(SUM(E824)+SUM(E910,E912)/E$1111)))</f>
        <v>0</v>
      </c>
      <c r="F1159" s="1627">
        <f>IF(F$1111=0,0,MAX((SUM(F824,P824)+SUM(F910,P910,F912,P912)/F$1111),(SUM(F824)+SUM(F910,F912)/F$1111)))</f>
        <v>0</v>
      </c>
      <c r="G1159" s="1593"/>
      <c r="H1159" s="1628"/>
      <c r="I1159" s="1628"/>
      <c r="J1159" s="1628"/>
      <c r="K1159" s="1628"/>
      <c r="L1159" s="1375"/>
      <c r="M1159" s="1619" t="str">
        <f>IF(OR(SUM((C1159&gt;C$1109),(E1159&gt;C$1109),(D1159&gt;C$1109),(F1159&gt;C$1109))&gt;1,C1159&gt;C$1109*2,E1159&gt;C$1109*2,D1159&gt;C$1109*2,F1159&gt;C$1109*2),"yes","")</f>
        <v/>
      </c>
      <c r="N1159" s="1634"/>
      <c r="O1159" s="1593"/>
      <c r="P1159" s="1593"/>
      <c r="Q1159" s="1629"/>
      <c r="R1159" s="1602"/>
      <c r="S1159" s="1357"/>
      <c r="T1159" s="1357"/>
      <c r="U1159" s="1394">
        <v>1159</v>
      </c>
      <c r="V1159" s="1357"/>
    </row>
    <row r="1160" spans="1:22" ht="15.75" customHeight="1">
      <c r="A1160" s="1593" t="str">
        <f>A910</f>
        <v>Sheep's milk sales - season 1</v>
      </c>
      <c r="B1160" s="1595"/>
      <c r="C1160" s="1627"/>
      <c r="D1160" s="1627"/>
      <c r="E1160" s="1627"/>
      <c r="F1160" s="1627"/>
      <c r="G1160" s="1593"/>
      <c r="H1160" s="1628">
        <f>IF(C$1111=0,0,MAX(SUM(C910,M910)/C$1111,SUM(C910)/C$1111))</f>
        <v>0</v>
      </c>
      <c r="I1160" s="1628">
        <f>IF(D$1111=0,0,MAX(SUM(D910,N910)/D$1111,SUM(D910)/D$1111))</f>
        <v>0</v>
      </c>
      <c r="J1160" s="1628">
        <f>IF(E$1111=0,0,MAX(SUM(E910,O910)/E$1111,SUM(E910)/E$1111))</f>
        <v>0</v>
      </c>
      <c r="K1160" s="1628">
        <f>IF(F$1111=0,0,MAX(SUM(F910,P910)/F$1111,SUM(F910)/F$1111))</f>
        <v>0</v>
      </c>
      <c r="L1160" s="1375"/>
      <c r="M1160" s="1375"/>
      <c r="N1160" s="1634" t="str">
        <f>IF(OR(SUM((H1160&gt;C$1109),(J1160&gt;C$1109),(I1160&gt;C$1109),(K1160&gt;C$1109))&gt;1,H1160&gt;C$1109*2,J1160&gt;C$1109*2,I1160&gt;C$1109*2,K1160&gt;C$1109*2),"yes","")</f>
        <v/>
      </c>
      <c r="O1160" s="1593"/>
      <c r="P1160" s="1593"/>
      <c r="Q1160" s="1629"/>
      <c r="R1160" s="1602"/>
      <c r="S1160" s="1357"/>
      <c r="T1160" s="1357"/>
      <c r="U1160" s="1394">
        <v>1160</v>
      </c>
      <c r="V1160" s="1357"/>
    </row>
    <row r="1161" spans="1:22" ht="15.75" customHeight="1">
      <c r="A1161" s="1593" t="str">
        <f>A912</f>
        <v>Sheep's ghee/butter sales</v>
      </c>
      <c r="B1161" s="1595"/>
      <c r="C1161" s="1627"/>
      <c r="D1161" s="1627"/>
      <c r="E1161" s="1627"/>
      <c r="F1161" s="1627"/>
      <c r="G1161" s="1593"/>
      <c r="H1161" s="1628">
        <f>IF(C$1111=0,0,MAX(SUM(C912,M912)/C$1111,SUM(C912)/C$1111))</f>
        <v>0</v>
      </c>
      <c r="I1161" s="1628">
        <f>IF(D$1111=0,0,MAX(SUM(D912,N912)/D$1111,SUM(D912)/D$1111))</f>
        <v>0</v>
      </c>
      <c r="J1161" s="1628">
        <f>IF(E$1111=0,0,MAX(SUM(E912,O912)/E$1111,SUM(E912)/E$1111))</f>
        <v>0</v>
      </c>
      <c r="K1161" s="1628">
        <f>IF(F$1111=0,0,MAX(SUM(F912,P912)/F$1111,SUM(F912)/F$1111))</f>
        <v>0</v>
      </c>
      <c r="L1161" s="1375"/>
      <c r="M1161" s="1619"/>
      <c r="N1161" s="1634" t="str">
        <f>IF(OR(SUM((H1161&gt;C$1109),(J1161&gt;C$1109),(I1161&gt;C$1109),(K1161&gt;C$1109))&gt;1,H1161&gt;C$1109*2,J1161&gt;C$1109*2,I1161&gt;C$1109*2,K1161&gt;C$1109*2),"yes","")</f>
        <v/>
      </c>
      <c r="O1161" s="1593"/>
      <c r="P1161" s="1593"/>
      <c r="Q1161" s="1629"/>
      <c r="R1161" s="1602"/>
      <c r="S1161" s="1357"/>
      <c r="T1161" s="1357"/>
      <c r="U1161" s="1394">
        <v>1161</v>
      </c>
      <c r="V1161" s="1357"/>
    </row>
    <row r="1162" spans="1:22" ht="15.75" customHeight="1">
      <c r="A1162" s="1375" t="str">
        <f>A825</f>
        <v>Sheep's milk - season 2</v>
      </c>
      <c r="B1162" s="1595"/>
      <c r="C1162" s="1627">
        <f>IF(C$1111=0,0,MAX((SUM(C825,M825)+SUM(C911,M911)/C$1111),(SUM(C825)+SUM(C911)/C$1111)))</f>
        <v>0</v>
      </c>
      <c r="D1162" s="1627">
        <f>IF(D$1111=0,0,MAX((SUM(D825,N825)+SUM(D911,N911)/D$1111),(SUM(D825)+SUM(D911)/D$1111)))</f>
        <v>0</v>
      </c>
      <c r="E1162" s="1627">
        <f>IF(E$1111=0,0,MAX((SUM(E825,O825)+SUM(E911,O911)/E$1111),(SUM(E825)+SUM(E911)/E$1111)))</f>
        <v>0</v>
      </c>
      <c r="F1162" s="1627">
        <f>IF(F$1111=0,0,MAX((SUM(F825,P825)+SUM(F911,P911)/F$1111),(SUM(F825)+SUM(F911)/F$1111)))</f>
        <v>0</v>
      </c>
      <c r="G1162" s="1593"/>
      <c r="H1162" s="1628"/>
      <c r="I1162" s="1628"/>
      <c r="J1162" s="1628"/>
      <c r="K1162" s="1628"/>
      <c r="L1162" s="1375"/>
      <c r="M1162" s="1619" t="str">
        <f>IF(OR(SUM((C1162&gt;C$1109),(E1162&gt;C$1109),(D1162&gt;C$1109),(F1162&gt;C$1109))&gt;1,C1162&gt;C$1109*2,E1162&gt;C$1109*2,D1162&gt;C$1109*2,F1162&gt;C$1109*2),"yes","")</f>
        <v/>
      </c>
      <c r="N1162" s="1634"/>
      <c r="O1162" s="1593"/>
      <c r="P1162" s="1593"/>
      <c r="Q1162" s="1629"/>
      <c r="R1162" s="1602"/>
      <c r="S1162" s="1357"/>
      <c r="T1162" s="1357"/>
      <c r="U1162" s="1394">
        <v>1162</v>
      </c>
      <c r="V1162" s="1357"/>
    </row>
    <row r="1163" spans="1:22" ht="15.75" customHeight="1">
      <c r="A1163" s="1593" t="str">
        <f>A911</f>
        <v>Sheep's milk sales - season 2</v>
      </c>
      <c r="B1163" s="1595"/>
      <c r="C1163" s="1627"/>
      <c r="D1163" s="1627"/>
      <c r="E1163" s="1627"/>
      <c r="F1163" s="1627"/>
      <c r="G1163" s="1593"/>
      <c r="H1163" s="1628">
        <f>IF(C$1111=0,0,MAX(SUM(C911,M911)/C$1111,SUM(C911)/C$1111))</f>
        <v>0</v>
      </c>
      <c r="I1163" s="1628">
        <f>IF(D$1111=0,0,MAX(SUM(D911,N911)/D$1111,SUM(D911)/D$1111))</f>
        <v>0</v>
      </c>
      <c r="J1163" s="1628">
        <f>IF(E$1111=0,0,MAX(SUM(E911,O911)/E$1111,SUM(E911)/E$1111))</f>
        <v>0</v>
      </c>
      <c r="K1163" s="1628">
        <f>IF(F$1111=0,0,MAX(SUM(F911,P911)/F$1111,SUM(F911)/F$1111))</f>
        <v>0</v>
      </c>
      <c r="L1163" s="1375"/>
      <c r="M1163" s="1375"/>
      <c r="N1163" s="1634" t="str">
        <f>IF(OR(SUM((H1163&gt;C$1109),(J1163&gt;C$1109),(I1163&gt;C$1109),(K1163&gt;C$1109))&gt;1,H1163&gt;C$1109*2,J1163&gt;C$1109*2,I1163&gt;C$1109*2,K1163&gt;C$1109*2),"yes","")</f>
        <v/>
      </c>
      <c r="O1163" s="1593"/>
      <c r="P1163" s="1593"/>
      <c r="Q1163" s="1629"/>
      <c r="R1163" s="1602"/>
      <c r="S1163" s="1357"/>
      <c r="T1163" s="1357"/>
      <c r="U1163" s="1394">
        <v>1163</v>
      </c>
      <c r="V1163" s="1357"/>
    </row>
    <row r="1164" spans="1:22" ht="15.75" customHeight="1">
      <c r="A1164" s="1375" t="str">
        <f>A826</f>
        <v>Goats' milk - season 1</v>
      </c>
      <c r="B1164" s="1595"/>
      <c r="C1164" s="1627">
        <f>IF(C$1111=0,0,MAX((SUM(C826,M826)+SUM(C913,M913,C915,M915)/C$1111),(SUM(C826)+SUM(C913,C915)/C$1111)))</f>
        <v>0</v>
      </c>
      <c r="D1164" s="1627">
        <f>IF(D$1111=0,0,MAX((SUM(D826,N826)+SUM(D913,N913,D915,N915)/D$1111),(SUM(D826)+SUM(D913,D915)/D$1111)))</f>
        <v>0</v>
      </c>
      <c r="E1164" s="1627">
        <f>IF(E$1111=0,0,MAX((SUM(E826,O826)+SUM(E913,O913,E915,O915)/E$1111),(SUM(E826)+SUM(E913,E915)/E$1111)))</f>
        <v>0</v>
      </c>
      <c r="F1164" s="1627">
        <f>IF(F$1111=0,0,MAX((SUM(F826,P826)+SUM(F913,P913,F915,P915)/F$1111),(SUM(F826)+SUM(F913,F915)/F$1111)))</f>
        <v>0</v>
      </c>
      <c r="G1164" s="1593"/>
      <c r="H1164" s="1628"/>
      <c r="I1164" s="1628"/>
      <c r="J1164" s="1628"/>
      <c r="K1164" s="1628"/>
      <c r="L1164" s="1375"/>
      <c r="M1164" s="1619" t="str">
        <f>IF(OR(SUM((C1164&gt;C$1109),(E1164&gt;C$1109),(D1164&gt;C$1109),(F1164&gt;C$1109))&gt;1,C1164&gt;C$1109*2,E1164&gt;C$1109*2,D1164&gt;C$1109*2,F1164&gt;C$1109*2),"yes","")</f>
        <v/>
      </c>
      <c r="N1164" s="1634"/>
      <c r="O1164" s="1593"/>
      <c r="P1164" s="1593"/>
      <c r="Q1164" s="1629"/>
      <c r="R1164" s="1602"/>
      <c r="S1164" s="1357"/>
      <c r="T1164" s="1357"/>
      <c r="U1164" s="1394">
        <v>1164</v>
      </c>
      <c r="V1164" s="1357"/>
    </row>
    <row r="1165" spans="1:22" ht="15.75" customHeight="1">
      <c r="A1165" s="1593" t="str">
        <f>A913</f>
        <v>Goats' milk sales - season 1</v>
      </c>
      <c r="B1165" s="1595"/>
      <c r="C1165" s="1627"/>
      <c r="D1165" s="1627"/>
      <c r="E1165" s="1627"/>
      <c r="F1165" s="1627"/>
      <c r="G1165" s="1593"/>
      <c r="H1165" s="1628">
        <f>IF(C$1111=0,0,MAX(SUM(C913,M913)/C$1111,SUM(C913)/C$1111))</f>
        <v>0</v>
      </c>
      <c r="I1165" s="1628">
        <f>IF(D$1111=0,0,MAX(SUM(D913,N913)/D$1111,SUM(D913)/D$1111))</f>
        <v>0</v>
      </c>
      <c r="J1165" s="1628">
        <f>IF(E$1111=0,0,MAX(SUM(E913,O913)/E$1111,SUM(E913)/E$1111))</f>
        <v>0</v>
      </c>
      <c r="K1165" s="1628">
        <f>IF(F$1111=0,0,MAX(SUM(F913,P913)/F$1111,SUM(F913)/F$1111))</f>
        <v>0</v>
      </c>
      <c r="L1165" s="1375"/>
      <c r="M1165" s="1375"/>
      <c r="N1165" s="1634" t="str">
        <f>IF(OR(SUM((H1165&gt;C$1109),(J1165&gt;C$1109),(I1165&gt;C$1109),(K1165&gt;C$1109))&gt;1,H1165&gt;C$1109*2,J1165&gt;C$1109*2,I1165&gt;C$1109*2,K1165&gt;C$1109*2),"yes","")</f>
        <v/>
      </c>
      <c r="O1165" s="1593"/>
      <c r="P1165" s="1593"/>
      <c r="Q1165" s="1629"/>
      <c r="R1165" s="1602"/>
      <c r="S1165" s="1357"/>
      <c r="T1165" s="1357"/>
      <c r="U1165" s="1394">
        <v>1165</v>
      </c>
      <c r="V1165" s="1357"/>
    </row>
    <row r="1166" spans="1:22" ht="15.75" customHeight="1">
      <c r="A1166" s="1593" t="str">
        <f>A915</f>
        <v>Goats' ghee/butter sales</v>
      </c>
      <c r="B1166" s="1595"/>
      <c r="C1166" s="1627"/>
      <c r="D1166" s="1627"/>
      <c r="E1166" s="1627"/>
      <c r="F1166" s="1627"/>
      <c r="G1166" s="1593"/>
      <c r="H1166" s="1628">
        <f>IF(C$1111=0,0,MAX(SUM(C915,M915)/C$1111,SUM(C915)/C$1111))</f>
        <v>0</v>
      </c>
      <c r="I1166" s="1628">
        <f>IF(D$1111=0,0,MAX(SUM(D915,N915)/D$1111,SUM(D915)/D$1111))</f>
        <v>0</v>
      </c>
      <c r="J1166" s="1628">
        <f>IF(E$1111=0,0,MAX(SUM(E915,O915)/E$1111,SUM(E915)/E$1111))</f>
        <v>0</v>
      </c>
      <c r="K1166" s="1628">
        <f>IF(F$1111=0,0,MAX(SUM(F915,P915)/F$1111,SUM(F915)/F$1111))</f>
        <v>0</v>
      </c>
      <c r="L1166" s="1375"/>
      <c r="M1166" s="1619"/>
      <c r="N1166" s="1634" t="str">
        <f>IF(OR(SUM((H1166&gt;C$1109),(J1166&gt;C$1109),(I1166&gt;C$1109),(K1166&gt;C$1109))&gt;1,H1166&gt;C$1109*2,J1166&gt;C$1109*2,I1166&gt;C$1109*2,K1166&gt;C$1109*2),"yes","")</f>
        <v/>
      </c>
      <c r="O1166" s="1593"/>
      <c r="P1166" s="1593"/>
      <c r="Q1166" s="1629"/>
      <c r="R1166" s="1602"/>
      <c r="S1166" s="1357"/>
      <c r="T1166" s="1357"/>
      <c r="U1166" s="1394">
        <v>1166</v>
      </c>
      <c r="V1166" s="1357"/>
    </row>
    <row r="1167" spans="1:22" ht="15.75" customHeight="1">
      <c r="A1167" s="1375" t="str">
        <f>A827</f>
        <v>Goats' milk - season 2</v>
      </c>
      <c r="B1167" s="1595"/>
      <c r="C1167" s="1627">
        <f>IF(C$1111=0,0,MAX((SUM(C827,M827)+SUM(C914,M914)/C$1111),(SUM(C827)+SUM(C914)/C$1111)))</f>
        <v>0</v>
      </c>
      <c r="D1167" s="1627">
        <f>IF(D$1111=0,0,MAX((SUM(D827,N827)+SUM(D914,N914)/D$1111),(SUM(D827)+SUM(D914)/D$1111)))</f>
        <v>0</v>
      </c>
      <c r="E1167" s="1627">
        <f>IF(E$1111=0,0,MAX((SUM(E827,O827)+SUM(E914,O914)/E$1111),(SUM(E827)+SUM(E914)/E$1111)))</f>
        <v>0</v>
      </c>
      <c r="F1167" s="1627">
        <f>IF(F$1111=0,0,MAX((SUM(F827,P827)+SUM(F914,P914)/F$1111),(SUM(F827)+SUM(F914)/F$1111)))</f>
        <v>0</v>
      </c>
      <c r="G1167" s="1593"/>
      <c r="H1167" s="1628"/>
      <c r="I1167" s="1628"/>
      <c r="J1167" s="1628"/>
      <c r="K1167" s="1628"/>
      <c r="L1167" s="1375"/>
      <c r="M1167" s="1619" t="str">
        <f>IF(OR(SUM((C1167&gt;C$1109),(E1167&gt;C$1109),(D1167&gt;C$1109),(F1167&gt;C$1109))&gt;1,C1167&gt;C$1109*2,E1167&gt;C$1109*2,D1167&gt;C$1109*2,F1167&gt;C$1109*2),"yes","")</f>
        <v/>
      </c>
      <c r="N1167" s="1634"/>
      <c r="O1167" s="1593"/>
      <c r="P1167" s="1593"/>
      <c r="Q1167" s="1629"/>
      <c r="R1167" s="1602"/>
      <c r="S1167" s="1357"/>
      <c r="T1167" s="1357"/>
      <c r="U1167" s="1394">
        <v>1167</v>
      </c>
      <c r="V1167" s="1357"/>
    </row>
    <row r="1168" spans="1:22" ht="15.75" customHeight="1">
      <c r="A1168" s="1593" t="str">
        <f>A914</f>
        <v>Goats' milk sales - season 2</v>
      </c>
      <c r="B1168" s="1595"/>
      <c r="C1168" s="1627"/>
      <c r="D1168" s="1627"/>
      <c r="E1168" s="1627"/>
      <c r="F1168" s="1627"/>
      <c r="G1168" s="1593"/>
      <c r="H1168" s="1628">
        <f>IF(C$1111=0,0,MAX(SUM(C914,M914)/C$1111,SUM(C914)/C$1111))</f>
        <v>0</v>
      </c>
      <c r="I1168" s="1628">
        <f>IF(D$1111=0,0,MAX(SUM(D914,N914)/D$1111,SUM(D914)/D$1111))</f>
        <v>0</v>
      </c>
      <c r="J1168" s="1628">
        <f>IF(E$1111=0,0,MAX(SUM(E914,O914)/E$1111,SUM(E914)/E$1111))</f>
        <v>0</v>
      </c>
      <c r="K1168" s="1628">
        <f>IF(F$1111=0,0,MAX(SUM(F914,P914)/F$1111,SUM(F914)/F$1111))</f>
        <v>0</v>
      </c>
      <c r="L1168" s="1375"/>
      <c r="M1168" s="1375"/>
      <c r="N1168" s="1634" t="str">
        <f>IF(OR(SUM((H1168&gt;C$1109),(J1168&gt;C$1109),(I1168&gt;C$1109),(K1168&gt;C$1109))&gt;1,H1168&gt;C$1109*2,J1168&gt;C$1109*2,I1168&gt;C$1109*2,K1168&gt;C$1109*2),"yes","")</f>
        <v/>
      </c>
      <c r="O1168" s="1593"/>
      <c r="P1168" s="1593"/>
      <c r="Q1168" s="1629"/>
      <c r="R1168" s="1602"/>
      <c r="S1168" s="1357"/>
      <c r="T1168" s="1357"/>
      <c r="U1168" s="1394">
        <v>1168</v>
      </c>
      <c r="V1168" s="1357"/>
    </row>
    <row r="1169" spans="1:22" ht="15.75" customHeight="1">
      <c r="A1169" s="1630" t="str">
        <f>A828</f>
        <v>Own meat</v>
      </c>
      <c r="B1169" s="1593"/>
      <c r="C1169" s="1627">
        <f>MAX(SUM(C828,M828),SUM(C828))</f>
        <v>5.906425124533001E-3</v>
      </c>
      <c r="D1169" s="1627">
        <f>MAX(SUM(D828,N828),SUM(D828))</f>
        <v>2.6171573396637608E-2</v>
      </c>
      <c r="E1169" s="1627">
        <f>MAX(SUM(E828,O828),SUM(E828))</f>
        <v>4.6436721668742222E-2</v>
      </c>
      <c r="F1169" s="1627">
        <f>MAX(SUM(F828,P828),SUM(F828))</f>
        <v>6.942878268991283E-2</v>
      </c>
      <c r="G1169" s="1593"/>
      <c r="H1169" s="1357"/>
      <c r="I1169" s="1357"/>
      <c r="J1169" s="1357"/>
      <c r="K1169" s="1357"/>
      <c r="L1169" s="1375"/>
      <c r="M1169" s="1619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37"/>
      <c r="O1169" s="1593"/>
      <c r="P1169" s="1593"/>
      <c r="Q1169" s="1629"/>
      <c r="R1169" s="1602"/>
      <c r="S1169" s="1357"/>
      <c r="T1169" s="1357"/>
      <c r="U1169" s="1394">
        <v>1169</v>
      </c>
      <c r="V1169" s="1357"/>
    </row>
    <row r="1170" spans="1:22" ht="15.75" customHeight="1">
      <c r="A1170" s="1630" t="str">
        <f>A854</f>
        <v>Labour: Land clearing, construction, herding, slaughtering</v>
      </c>
      <c r="B1170" s="1593"/>
      <c r="C1170" s="1627">
        <f t="shared" ref="C1170:F1172" si="323">MAX(SUM(C854,M854),SUM(C854))</f>
        <v>0</v>
      </c>
      <c r="D1170" s="1627">
        <f t="shared" si="323"/>
        <v>5.6779890410958905E-2</v>
      </c>
      <c r="E1170" s="1627">
        <f t="shared" si="323"/>
        <v>0</v>
      </c>
      <c r="F1170" s="1627">
        <f t="shared" si="323"/>
        <v>0</v>
      </c>
      <c r="G1170" s="1593"/>
      <c r="H1170" s="1357"/>
      <c r="I1170" s="1357"/>
      <c r="J1170" s="1357"/>
      <c r="K1170" s="1357"/>
      <c r="L1170" s="1375"/>
      <c r="M1170" s="1619" t="str">
        <f t="shared" si="322"/>
        <v/>
      </c>
      <c r="N1170" s="1637"/>
      <c r="O1170" s="1593"/>
      <c r="P1170" s="1593"/>
      <c r="Q1170" s="1629"/>
      <c r="R1170" s="1602"/>
      <c r="S1170" s="1357"/>
      <c r="T1170" s="1357"/>
      <c r="U1170" s="1394">
        <v>1170</v>
      </c>
      <c r="V1170" s="1357"/>
    </row>
    <row r="1171" spans="1:22" ht="15.75" customHeight="1">
      <c r="A1171" s="1630" t="str">
        <f>A855</f>
        <v>Labour: Weeding</v>
      </c>
      <c r="B1171" s="1593"/>
      <c r="C1171" s="1627">
        <f t="shared" si="323"/>
        <v>0</v>
      </c>
      <c r="D1171" s="1627">
        <f t="shared" si="323"/>
        <v>1.8926630136986301E-2</v>
      </c>
      <c r="E1171" s="1627">
        <f t="shared" si="323"/>
        <v>0</v>
      </c>
      <c r="F1171" s="1627">
        <f t="shared" si="323"/>
        <v>0</v>
      </c>
      <c r="G1171" s="1593"/>
      <c r="H1171" s="1357"/>
      <c r="I1171" s="1357"/>
      <c r="J1171" s="1357"/>
      <c r="K1171" s="1357"/>
      <c r="L1171" s="1375"/>
      <c r="M1171" s="1619" t="str">
        <f t="shared" si="322"/>
        <v/>
      </c>
      <c r="N1171" s="1637"/>
      <c r="O1171" s="1593"/>
      <c r="P1171" s="1593"/>
      <c r="Q1171" s="1629"/>
      <c r="R1171" s="1602"/>
      <c r="S1171" s="1357"/>
      <c r="T1171" s="1357"/>
      <c r="U1171" s="1394">
        <v>1171</v>
      </c>
      <c r="V1171" s="1357"/>
    </row>
    <row r="1172" spans="1:22" ht="15.75" customHeight="1">
      <c r="A1172" s="1630" t="str">
        <f>A856</f>
        <v>Labour: Harvesting</v>
      </c>
      <c r="B1172" s="1593"/>
      <c r="C1172" s="1627">
        <f t="shared" si="323"/>
        <v>0</v>
      </c>
      <c r="D1172" s="1627">
        <f t="shared" si="323"/>
        <v>0</v>
      </c>
      <c r="E1172" s="1627">
        <f t="shared" si="323"/>
        <v>0</v>
      </c>
      <c r="F1172" s="1627">
        <f t="shared" si="323"/>
        <v>0</v>
      </c>
      <c r="G1172" s="1593"/>
      <c r="H1172" s="1357"/>
      <c r="I1172" s="1357"/>
      <c r="J1172" s="1357"/>
      <c r="K1172" s="1357"/>
      <c r="L1172" s="1375"/>
      <c r="M1172" s="1619" t="str">
        <f t="shared" si="322"/>
        <v/>
      </c>
      <c r="N1172" s="1637"/>
      <c r="O1172" s="1593"/>
      <c r="P1172" s="1593"/>
      <c r="Q1172" s="1629"/>
      <c r="R1172" s="1602"/>
      <c r="S1172" s="1357"/>
      <c r="T1172" s="1357"/>
      <c r="U1172" s="1394">
        <v>1172</v>
      </c>
      <c r="V1172" s="1357"/>
    </row>
    <row r="1173" spans="1:22" ht="15.75" customHeight="1">
      <c r="A1173" s="1630" t="str">
        <f>A896</f>
        <v>Gifts/remittances: cereal</v>
      </c>
      <c r="B1173" s="1593"/>
      <c r="C1173" s="1627">
        <f t="shared" ref="C1173:F1175" si="324">MAX(SUM(C896,M896),SUM(C896))</f>
        <v>0</v>
      </c>
      <c r="D1173" s="1627">
        <f t="shared" si="324"/>
        <v>0</v>
      </c>
      <c r="E1173" s="1627">
        <f t="shared" si="324"/>
        <v>1.7694834993773351E-2</v>
      </c>
      <c r="F1173" s="1627">
        <f t="shared" si="324"/>
        <v>5.3477723536737236E-2</v>
      </c>
      <c r="G1173" s="1593"/>
      <c r="H1173" s="1357"/>
      <c r="I1173" s="1357"/>
      <c r="J1173" s="1357"/>
      <c r="K1173" s="1357"/>
      <c r="L1173" s="1375"/>
      <c r="M1173" s="1619" t="str">
        <f t="shared" si="322"/>
        <v/>
      </c>
      <c r="N1173" s="1637"/>
      <c r="O1173" s="1593"/>
      <c r="P1173" s="1593"/>
      <c r="Q1173" s="1629"/>
      <c r="R1173" s="1602"/>
      <c r="S1173" s="1357"/>
      <c r="T1173" s="1357"/>
      <c r="U1173" s="1394">
        <v>1173</v>
      </c>
      <c r="V1173" s="1357"/>
    </row>
    <row r="1174" spans="1:22" ht="15.75" customHeight="1">
      <c r="A1174" s="1630" t="str">
        <f>A897</f>
        <v>Gifts/remittances: oil</v>
      </c>
      <c r="B1174" s="1593"/>
      <c r="C1174" s="1627">
        <f t="shared" si="324"/>
        <v>0</v>
      </c>
      <c r="D1174" s="1627">
        <f t="shared" si="324"/>
        <v>0</v>
      </c>
      <c r="E1174" s="1627">
        <f t="shared" si="324"/>
        <v>0</v>
      </c>
      <c r="F1174" s="1627">
        <f t="shared" si="324"/>
        <v>0</v>
      </c>
      <c r="G1174" s="1593"/>
      <c r="H1174" s="1357"/>
      <c r="I1174" s="1357"/>
      <c r="J1174" s="1357"/>
      <c r="K1174" s="1357"/>
      <c r="L1174" s="1375"/>
      <c r="M1174" s="1619" t="str">
        <f t="shared" si="322"/>
        <v/>
      </c>
      <c r="N1174" s="1637"/>
      <c r="O1174" s="1593"/>
      <c r="P1174" s="1593"/>
      <c r="Q1174" s="1629"/>
      <c r="R1174" s="1602"/>
      <c r="S1174" s="1357"/>
      <c r="T1174" s="1357"/>
      <c r="U1174" s="1394">
        <v>1174</v>
      </c>
      <c r="V1174" s="1357"/>
    </row>
    <row r="1175" spans="1:22" ht="15.75" customHeight="1">
      <c r="A1175" s="1630" t="str">
        <f>A898</f>
        <v>Gifts/remittances: Other</v>
      </c>
      <c r="B1175" s="1593"/>
      <c r="C1175" s="1627">
        <f t="shared" si="324"/>
        <v>0</v>
      </c>
      <c r="D1175" s="1627">
        <f t="shared" si="324"/>
        <v>0</v>
      </c>
      <c r="E1175" s="1627">
        <f t="shared" si="324"/>
        <v>2.3069738480697384E-2</v>
      </c>
      <c r="F1175" s="1627">
        <f t="shared" si="324"/>
        <v>2.5633042756330427E-2</v>
      </c>
      <c r="G1175" s="1593"/>
      <c r="H1175" s="1357"/>
      <c r="I1175" s="1357"/>
      <c r="J1175" s="1357"/>
      <c r="K1175" s="1357"/>
      <c r="L1175" s="1375"/>
      <c r="M1175" s="1619" t="str">
        <f t="shared" si="322"/>
        <v/>
      </c>
      <c r="N1175" s="1637"/>
      <c r="O1175" s="1593"/>
      <c r="P1175" s="1593"/>
      <c r="Q1175" s="1629"/>
      <c r="R1175" s="1602"/>
      <c r="S1175" s="1357"/>
      <c r="T1175" s="1357"/>
      <c r="U1175" s="1394">
        <v>1175</v>
      </c>
      <c r="V1175" s="1357"/>
    </row>
    <row r="1176" spans="1:22" ht="15.75" customHeight="1">
      <c r="A1176" s="1496" t="s">
        <v>312</v>
      </c>
      <c r="B1176" s="1593"/>
      <c r="C1176" s="1627"/>
      <c r="D1176" s="1627"/>
      <c r="E1176" s="1627"/>
      <c r="F1176" s="1627"/>
      <c r="G1176" s="1593"/>
      <c r="H1176" s="1594"/>
      <c r="I1176" s="1357"/>
      <c r="J1176" s="1357"/>
      <c r="K1176" s="1594"/>
      <c r="L1176" s="1593"/>
      <c r="M1176" s="1638" t="s">
        <v>548</v>
      </c>
      <c r="N1176" s="1636" t="s">
        <v>352</v>
      </c>
      <c r="O1176" s="1593"/>
      <c r="P1176" s="1593"/>
      <c r="Q1176" s="1629"/>
      <c r="R1176" s="1602"/>
      <c r="S1176" s="1357"/>
      <c r="T1176" s="1357"/>
      <c r="U1176" s="1394">
        <v>1176</v>
      </c>
      <c r="V1176" s="1357"/>
    </row>
    <row r="1177" spans="1:22" ht="15.75" customHeight="1">
      <c r="A1177" s="1375" t="str">
        <f>A916</f>
        <v>Egg sales: no. sold</v>
      </c>
      <c r="B1177" s="1593"/>
      <c r="C1177" s="1627">
        <f t="shared" ref="C1177:F1179" si="325">IF(C$1111=0,0,MAX(SUM(C916,M916)/C$1111,SUM(C916)/C$1111))</f>
        <v>0</v>
      </c>
      <c r="D1177" s="1627">
        <f t="shared" si="325"/>
        <v>0</v>
      </c>
      <c r="E1177" s="1627">
        <f t="shared" si="325"/>
        <v>0</v>
      </c>
      <c r="F1177" s="1627">
        <f t="shared" si="325"/>
        <v>0</v>
      </c>
      <c r="G1177" s="1593"/>
      <c r="H1177" s="1357"/>
      <c r="I1177" s="1357"/>
      <c r="J1177" s="1357"/>
      <c r="K1177" s="1594"/>
      <c r="L1177" s="1593"/>
      <c r="M1177" s="1619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19" t="str">
        <f t="shared" ref="N1177:N1201" si="327">M1177</f>
        <v/>
      </c>
      <c r="O1177" s="1593"/>
      <c r="P1177" s="1593"/>
      <c r="Q1177" s="1629"/>
      <c r="R1177" s="1602"/>
      <c r="S1177" s="1357"/>
      <c r="T1177" s="1357"/>
      <c r="U1177" s="1394">
        <v>1177</v>
      </c>
      <c r="V1177" s="1357"/>
    </row>
    <row r="1178" spans="1:22" ht="15.75" customHeight="1">
      <c r="A1178" s="1375" t="str">
        <f>A917</f>
        <v>Pig sales: no sold</v>
      </c>
      <c r="B1178" s="1593"/>
      <c r="C1178" s="1627">
        <f t="shared" si="325"/>
        <v>0</v>
      </c>
      <c r="D1178" s="1627">
        <f t="shared" si="325"/>
        <v>0</v>
      </c>
      <c r="E1178" s="1627">
        <f t="shared" si="325"/>
        <v>0</v>
      </c>
      <c r="F1178" s="1627">
        <f t="shared" si="325"/>
        <v>0</v>
      </c>
      <c r="G1178" s="1593"/>
      <c r="H1178" s="1357"/>
      <c r="I1178" s="1357"/>
      <c r="J1178" s="1357"/>
      <c r="K1178" s="1594"/>
      <c r="L1178" s="1593"/>
      <c r="M1178" s="1619" t="str">
        <f t="shared" si="326"/>
        <v/>
      </c>
      <c r="N1178" s="1619" t="str">
        <f t="shared" si="327"/>
        <v/>
      </c>
      <c r="O1178" s="1593"/>
      <c r="P1178" s="1593"/>
      <c r="Q1178" s="1629"/>
      <c r="R1178" s="1602"/>
      <c r="S1178" s="1357"/>
      <c r="T1178" s="1357"/>
      <c r="U1178" s="1394">
        <v>1178</v>
      </c>
      <c r="V1178" s="1357"/>
    </row>
    <row r="1179" spans="1:22" ht="15.75" customHeight="1">
      <c r="A1179" s="1375" t="str">
        <f>A918</f>
        <v>Other: quantity</v>
      </c>
      <c r="B1179" s="1593"/>
      <c r="C1179" s="1627">
        <f t="shared" si="325"/>
        <v>0</v>
      </c>
      <c r="D1179" s="1627">
        <f t="shared" si="325"/>
        <v>0</v>
      </c>
      <c r="E1179" s="1627">
        <f t="shared" si="325"/>
        <v>0</v>
      </c>
      <c r="F1179" s="1627">
        <f t="shared" si="325"/>
        <v>0</v>
      </c>
      <c r="G1179" s="1593"/>
      <c r="H1179" s="1357"/>
      <c r="I1179" s="1357"/>
      <c r="J1179" s="1357"/>
      <c r="K1179" s="1594"/>
      <c r="L1179" s="1593"/>
      <c r="M1179" s="1619" t="str">
        <f t="shared" si="326"/>
        <v/>
      </c>
      <c r="N1179" s="1619" t="str">
        <f t="shared" si="327"/>
        <v/>
      </c>
      <c r="O1179" s="1593"/>
      <c r="P1179" s="1593"/>
      <c r="Q1179" s="1629"/>
      <c r="R1179" s="1602"/>
      <c r="S1179" s="1357"/>
      <c r="T1179" s="1357"/>
      <c r="U1179" s="1394">
        <v>1179</v>
      </c>
      <c r="V1179" s="1357"/>
    </row>
    <row r="1180" spans="1:22" ht="15.75" customHeight="1">
      <c r="A1180" s="1375" t="str">
        <f t="shared" ref="A1180:A1189" si="328">A920</f>
        <v>Camel sales - export: no. sold</v>
      </c>
      <c r="B1180" s="1593"/>
      <c r="C1180" s="1627">
        <f t="shared" ref="C1180:C1189" si="329">IF(C$1111=0,0,MAX(SUM(C920,M920)/C$1111,SUM(C920)/C$1111))</f>
        <v>0</v>
      </c>
      <c r="D1180" s="1627">
        <f t="shared" ref="D1180:D1189" si="330">IF(D$1111=0,0,MAX(SUM(D920,N920)/D$1111,SUM(D920)/D$1111))</f>
        <v>0</v>
      </c>
      <c r="E1180" s="1627">
        <f t="shared" ref="E1180:E1189" si="331">IF(E$1111=0,0,MAX(SUM(E920,O920)/E$1111,SUM(E920)/E$1111))</f>
        <v>0</v>
      </c>
      <c r="F1180" s="1627">
        <f t="shared" ref="F1180:F1189" si="332">IF(F$1111=0,0,MAX(SUM(F920,P920)/F$1111,SUM(F920)/F$1111))</f>
        <v>0</v>
      </c>
      <c r="G1180" s="1593"/>
      <c r="H1180" s="1357"/>
      <c r="I1180" s="1357"/>
      <c r="J1180" s="1357"/>
      <c r="K1180" s="1594"/>
      <c r="L1180" s="1593"/>
      <c r="M1180" s="1619" t="str">
        <f t="shared" si="326"/>
        <v/>
      </c>
      <c r="N1180" s="1619" t="str">
        <f t="shared" si="327"/>
        <v/>
      </c>
      <c r="O1180" s="1593"/>
      <c r="P1180" s="1593"/>
      <c r="Q1180" s="1629"/>
      <c r="R1180" s="1602"/>
      <c r="S1180" s="1357"/>
      <c r="T1180" s="1357"/>
      <c r="U1180" s="1394">
        <v>1180</v>
      </c>
      <c r="V1180" s="1357"/>
    </row>
    <row r="1181" spans="1:22" ht="15.75" customHeight="1">
      <c r="A1181" s="1375" t="str">
        <f t="shared" si="328"/>
        <v>Camel sales - local: no. sold</v>
      </c>
      <c r="B1181" s="1593"/>
      <c r="C1181" s="1627">
        <f t="shared" si="329"/>
        <v>0</v>
      </c>
      <c r="D1181" s="1627">
        <f t="shared" si="330"/>
        <v>0</v>
      </c>
      <c r="E1181" s="1627">
        <f t="shared" si="331"/>
        <v>0</v>
      </c>
      <c r="F1181" s="1627">
        <f t="shared" si="332"/>
        <v>0</v>
      </c>
      <c r="G1181" s="1593"/>
      <c r="H1181" s="1357"/>
      <c r="I1181" s="1357"/>
      <c r="J1181" s="1357"/>
      <c r="K1181" s="1594"/>
      <c r="L1181" s="1593"/>
      <c r="M1181" s="1619" t="str">
        <f t="shared" si="326"/>
        <v/>
      </c>
      <c r="N1181" s="1619" t="str">
        <f t="shared" si="327"/>
        <v/>
      </c>
      <c r="O1181" s="1593"/>
      <c r="P1181" s="1593"/>
      <c r="Q1181" s="1629"/>
      <c r="R1181" s="1602"/>
      <c r="S1181" s="1357"/>
      <c r="T1181" s="1357"/>
      <c r="U1181" s="1394">
        <v>1181</v>
      </c>
      <c r="V1181" s="1357"/>
    </row>
    <row r="1182" spans="1:22" ht="15.75" customHeight="1">
      <c r="A1182" s="1375" t="str">
        <f t="shared" si="328"/>
        <v>Fattened Ox sales: no. sold</v>
      </c>
      <c r="B1182" s="1593"/>
      <c r="C1182" s="1627">
        <f t="shared" si="329"/>
        <v>0</v>
      </c>
      <c r="D1182" s="1627">
        <f t="shared" si="330"/>
        <v>0</v>
      </c>
      <c r="E1182" s="1627">
        <f t="shared" si="331"/>
        <v>0</v>
      </c>
      <c r="F1182" s="1627">
        <f t="shared" si="332"/>
        <v>0</v>
      </c>
      <c r="G1182" s="1593"/>
      <c r="H1182" s="1357"/>
      <c r="I1182" s="1357"/>
      <c r="J1182" s="1357"/>
      <c r="K1182" s="1594"/>
      <c r="L1182" s="1593"/>
      <c r="M1182" s="1619" t="str">
        <f t="shared" si="326"/>
        <v/>
      </c>
      <c r="N1182" s="1619" t="str">
        <f t="shared" si="327"/>
        <v/>
      </c>
      <c r="O1182" s="1593"/>
      <c r="P1182" s="1593"/>
      <c r="Q1182" s="1629"/>
      <c r="R1182" s="1602"/>
      <c r="S1182" s="1357"/>
      <c r="T1182" s="1357"/>
      <c r="U1182" s="1394">
        <v>1182</v>
      </c>
      <c r="V1182" s="1357"/>
    </row>
    <row r="1183" spans="1:22" ht="15.75" customHeight="1">
      <c r="A1183" s="1375" t="str">
        <f t="shared" si="328"/>
        <v>Cattle sales - export: no. sold</v>
      </c>
      <c r="B1183" s="1593"/>
      <c r="C1183" s="1627">
        <f t="shared" si="329"/>
        <v>0</v>
      </c>
      <c r="D1183" s="1627">
        <f t="shared" si="330"/>
        <v>0</v>
      </c>
      <c r="E1183" s="1627">
        <f t="shared" si="331"/>
        <v>0</v>
      </c>
      <c r="F1183" s="1627">
        <f t="shared" si="332"/>
        <v>0</v>
      </c>
      <c r="G1183" s="1593"/>
      <c r="H1183" s="1357"/>
      <c r="I1183" s="1357"/>
      <c r="J1183" s="1357"/>
      <c r="K1183" s="1594"/>
      <c r="L1183" s="1593"/>
      <c r="M1183" s="1619" t="str">
        <f t="shared" si="326"/>
        <v/>
      </c>
      <c r="N1183" s="1619" t="str">
        <f t="shared" si="327"/>
        <v/>
      </c>
      <c r="O1183" s="1593"/>
      <c r="P1183" s="1593"/>
      <c r="Q1183" s="1629"/>
      <c r="R1183" s="1602"/>
      <c r="S1183" s="1357"/>
      <c r="T1183" s="1357"/>
      <c r="U1183" s="1394">
        <v>1183</v>
      </c>
      <c r="V1183" s="1357"/>
    </row>
    <row r="1184" spans="1:22" ht="15.75" customHeight="1">
      <c r="A1184" s="1375" t="str">
        <f t="shared" si="328"/>
        <v>Cattle sales - local: no. sold</v>
      </c>
      <c r="B1184" s="1593"/>
      <c r="C1184" s="1627">
        <f t="shared" si="329"/>
        <v>0</v>
      </c>
      <c r="D1184" s="1627">
        <f t="shared" si="330"/>
        <v>0</v>
      </c>
      <c r="E1184" s="1627">
        <f t="shared" si="331"/>
        <v>0.23647143871105117</v>
      </c>
      <c r="F1184" s="1627">
        <f t="shared" si="332"/>
        <v>1.0509841720491162</v>
      </c>
      <c r="G1184" s="1593"/>
      <c r="H1184" s="1357"/>
      <c r="I1184" s="1357"/>
      <c r="J1184" s="1357"/>
      <c r="K1184" s="1594"/>
      <c r="L1184" s="1593"/>
      <c r="M1184" s="1619" t="str">
        <f t="shared" si="326"/>
        <v>yes</v>
      </c>
      <c r="N1184" s="1619" t="str">
        <f t="shared" si="327"/>
        <v>yes</v>
      </c>
      <c r="O1184" s="1593"/>
      <c r="P1184" s="1593"/>
      <c r="Q1184" s="1629"/>
      <c r="R1184" s="1602"/>
      <c r="S1184" s="1357"/>
      <c r="T1184" s="1357"/>
      <c r="U1184" s="1394">
        <v>1184</v>
      </c>
      <c r="V1184" s="1357"/>
    </row>
    <row r="1185" spans="1:22" ht="15.75" customHeight="1">
      <c r="A1185" s="1375" t="str">
        <f t="shared" si="328"/>
        <v>Goat sales - export: no. sold</v>
      </c>
      <c r="B1185" s="1593"/>
      <c r="C1185" s="1627">
        <f t="shared" si="329"/>
        <v>0</v>
      </c>
      <c r="D1185" s="1627">
        <f t="shared" si="330"/>
        <v>0</v>
      </c>
      <c r="E1185" s="1627">
        <f t="shared" si="331"/>
        <v>0</v>
      </c>
      <c r="F1185" s="1627">
        <f t="shared" si="332"/>
        <v>0</v>
      </c>
      <c r="G1185" s="1593"/>
      <c r="H1185" s="1357"/>
      <c r="I1185" s="1357"/>
      <c r="J1185" s="1357"/>
      <c r="K1185" s="1594"/>
      <c r="L1185" s="1593"/>
      <c r="M1185" s="1619" t="str">
        <f t="shared" si="326"/>
        <v/>
      </c>
      <c r="N1185" s="1619" t="str">
        <f t="shared" si="327"/>
        <v/>
      </c>
      <c r="O1185" s="1593"/>
      <c r="P1185" s="1593"/>
      <c r="Q1185" s="1629"/>
      <c r="R1185" s="1602"/>
      <c r="S1185" s="1357"/>
      <c r="T1185" s="1357"/>
      <c r="U1185" s="1394">
        <v>1185</v>
      </c>
      <c r="V1185" s="1357"/>
    </row>
    <row r="1186" spans="1:22" ht="15.75" customHeight="1">
      <c r="A1186" s="1375" t="str">
        <f t="shared" si="328"/>
        <v>Goat sales - local: no. sold</v>
      </c>
      <c r="B1186" s="1593"/>
      <c r="C1186" s="1627">
        <f t="shared" si="329"/>
        <v>0</v>
      </c>
      <c r="D1186" s="1627">
        <f t="shared" si="330"/>
        <v>5.9117859677762792E-2</v>
      </c>
      <c r="E1186" s="1627">
        <f t="shared" si="331"/>
        <v>0.29558929838881398</v>
      </c>
      <c r="F1186" s="1627">
        <f t="shared" si="332"/>
        <v>0.31529525161473487</v>
      </c>
      <c r="G1186" s="1593"/>
      <c r="H1186" s="1357"/>
      <c r="I1186" s="1357"/>
      <c r="J1186" s="1357"/>
      <c r="K1186" s="1594"/>
      <c r="L1186" s="1593"/>
      <c r="M1186" s="1619" t="str">
        <f t="shared" si="326"/>
        <v>yes</v>
      </c>
      <c r="N1186" s="1619" t="str">
        <f t="shared" si="327"/>
        <v>yes</v>
      </c>
      <c r="O1186" s="1593"/>
      <c r="P1186" s="1593"/>
      <c r="Q1186" s="1629"/>
      <c r="R1186" s="1602"/>
      <c r="S1186" s="1357"/>
      <c r="T1186" s="1357"/>
      <c r="U1186" s="1394">
        <v>1186</v>
      </c>
      <c r="V1186" s="1357"/>
    </row>
    <row r="1187" spans="1:22" ht="15.75" customHeight="1">
      <c r="A1187" s="1375" t="str">
        <f t="shared" si="328"/>
        <v>Sheep sales - export: no. sold</v>
      </c>
      <c r="B1187" s="1593"/>
      <c r="C1187" s="1627">
        <f t="shared" si="329"/>
        <v>0</v>
      </c>
      <c r="D1187" s="1627">
        <f t="shared" si="330"/>
        <v>0</v>
      </c>
      <c r="E1187" s="1627">
        <f t="shared" si="331"/>
        <v>0</v>
      </c>
      <c r="F1187" s="1627">
        <f t="shared" si="332"/>
        <v>0</v>
      </c>
      <c r="G1187" s="1593"/>
      <c r="H1187" s="1357"/>
      <c r="I1187" s="1357"/>
      <c r="J1187" s="1357"/>
      <c r="K1187" s="1594"/>
      <c r="L1187" s="1593"/>
      <c r="M1187" s="1619" t="str">
        <f t="shared" si="326"/>
        <v/>
      </c>
      <c r="N1187" s="1619" t="str">
        <f t="shared" si="327"/>
        <v/>
      </c>
      <c r="O1187" s="1593"/>
      <c r="P1187" s="1593"/>
      <c r="Q1187" s="1629"/>
      <c r="R1187" s="1602"/>
      <c r="S1187" s="1357"/>
      <c r="T1187" s="1357"/>
      <c r="U1187" s="1394">
        <v>1187</v>
      </c>
      <c r="V1187" s="1357"/>
    </row>
    <row r="1188" spans="1:22" ht="15.75" customHeight="1">
      <c r="A1188" s="1375" t="str">
        <f t="shared" si="328"/>
        <v>Sheep sales - local: no. sold</v>
      </c>
      <c r="B1188" s="1593"/>
      <c r="C1188" s="1627">
        <f t="shared" si="329"/>
        <v>0</v>
      </c>
      <c r="D1188" s="1627">
        <f t="shared" si="330"/>
        <v>0</v>
      </c>
      <c r="E1188" s="1627">
        <f t="shared" si="331"/>
        <v>0</v>
      </c>
      <c r="F1188" s="1627">
        <f t="shared" si="332"/>
        <v>0</v>
      </c>
      <c r="G1188" s="1593"/>
      <c r="H1188" s="1357"/>
      <c r="I1188" s="1357"/>
      <c r="J1188" s="1357"/>
      <c r="K1188" s="1594"/>
      <c r="L1188" s="1593"/>
      <c r="M1188" s="1619" t="str">
        <f t="shared" si="326"/>
        <v/>
      </c>
      <c r="N1188" s="1619" t="str">
        <f t="shared" si="327"/>
        <v/>
      </c>
      <c r="O1188" s="1593"/>
      <c r="P1188" s="1593"/>
      <c r="Q1188" s="1629"/>
      <c r="R1188" s="1602"/>
      <c r="S1188" s="1357"/>
      <c r="T1188" s="1357"/>
      <c r="U1188" s="1394">
        <v>1188</v>
      </c>
      <c r="V1188" s="1357"/>
    </row>
    <row r="1189" spans="1:22" ht="15.75" customHeight="1">
      <c r="A1189" s="1375" t="str">
        <f t="shared" si="328"/>
        <v>Chicken sales: no. sold</v>
      </c>
      <c r="B1189" s="1593"/>
      <c r="C1189" s="1627">
        <f t="shared" si="329"/>
        <v>0</v>
      </c>
      <c r="D1189" s="1627">
        <f t="shared" si="330"/>
        <v>0</v>
      </c>
      <c r="E1189" s="1627">
        <f t="shared" si="331"/>
        <v>0</v>
      </c>
      <c r="F1189" s="1627">
        <f t="shared" si="332"/>
        <v>5.7804129462701394E-2</v>
      </c>
      <c r="G1189" s="1593"/>
      <c r="H1189" s="1357"/>
      <c r="I1189" s="1357"/>
      <c r="J1189" s="1357"/>
      <c r="K1189" s="1594"/>
      <c r="L1189" s="1593"/>
      <c r="M1189" s="1619" t="str">
        <f t="shared" si="326"/>
        <v/>
      </c>
      <c r="N1189" s="1619" t="str">
        <f t="shared" si="327"/>
        <v/>
      </c>
      <c r="O1189" s="1593"/>
      <c r="P1189" s="1593"/>
      <c r="Q1189" s="1629"/>
      <c r="R1189" s="1602"/>
      <c r="S1189" s="1357"/>
      <c r="T1189" s="1357"/>
      <c r="U1189" s="1394">
        <v>1189</v>
      </c>
      <c r="V1189" s="1357"/>
    </row>
    <row r="1190" spans="1:22" ht="15.75" customHeight="1">
      <c r="A1190" s="1375" t="str">
        <f>A965</f>
        <v>Agricultural cash income -- see Data2</v>
      </c>
      <c r="B1190" s="1593"/>
      <c r="C1190" s="1627">
        <f t="shared" ref="C1190:F1192" si="333">IF(C$1111=0,0,MAX(SUM(C965,M965)/C$1111,SUM(C965)/C$1111))</f>
        <v>0</v>
      </c>
      <c r="D1190" s="1627">
        <f t="shared" si="333"/>
        <v>0.13112341276527786</v>
      </c>
      <c r="E1190" s="1627">
        <f t="shared" si="333"/>
        <v>8.8913260955355247E-2</v>
      </c>
      <c r="F1190" s="1627">
        <f t="shared" si="333"/>
        <v>0</v>
      </c>
      <c r="G1190" s="1593"/>
      <c r="H1190" s="1357"/>
      <c r="I1190" s="1357"/>
      <c r="J1190" s="1357"/>
      <c r="K1190" s="1594"/>
      <c r="L1190" s="1593"/>
      <c r="M1190" s="1619" t="str">
        <f t="shared" si="326"/>
        <v>yes</v>
      </c>
      <c r="N1190" s="1619" t="str">
        <f t="shared" si="327"/>
        <v>yes</v>
      </c>
      <c r="O1190" s="1593"/>
      <c r="P1190" s="1593"/>
      <c r="Q1190" s="1640"/>
      <c r="R1190" s="1602"/>
      <c r="S1190" s="1357"/>
      <c r="T1190" s="1357"/>
      <c r="U1190" s="1394">
        <v>1190</v>
      </c>
      <c r="V1190" s="1357"/>
    </row>
    <row r="1191" spans="1:22" ht="15.75" customHeight="1">
      <c r="A1191" s="1375" t="str">
        <f>A966</f>
        <v>Construction cash income -- see Data2</v>
      </c>
      <c r="B1191" s="1593"/>
      <c r="C1191" s="1627">
        <f t="shared" si="333"/>
        <v>0</v>
      </c>
      <c r="D1191" s="1627">
        <f t="shared" si="333"/>
        <v>0</v>
      </c>
      <c r="E1191" s="1627">
        <f t="shared" si="333"/>
        <v>0</v>
      </c>
      <c r="F1191" s="1627">
        <f t="shared" si="333"/>
        <v>0</v>
      </c>
      <c r="G1191" s="1593"/>
      <c r="H1191" s="1357"/>
      <c r="I1191" s="1357"/>
      <c r="J1191" s="1357"/>
      <c r="K1191" s="1594"/>
      <c r="L1191" s="1593"/>
      <c r="M1191" s="1619" t="str">
        <f t="shared" si="326"/>
        <v/>
      </c>
      <c r="N1191" s="1619" t="str">
        <f t="shared" si="327"/>
        <v/>
      </c>
      <c r="O1191" s="1593"/>
      <c r="P1191" s="1593"/>
      <c r="Q1191" s="1640"/>
      <c r="R1191" s="1602"/>
      <c r="S1191" s="1357"/>
      <c r="T1191" s="1357"/>
      <c r="U1191" s="1394">
        <v>1191</v>
      </c>
      <c r="V1191" s="1357"/>
    </row>
    <row r="1192" spans="1:22" ht="15.75" customHeight="1">
      <c r="A1192" s="1375" t="str">
        <f>A967</f>
        <v>Domestic work cash income -- see Data2</v>
      </c>
      <c r="B1192" s="1593"/>
      <c r="C1192" s="1627">
        <f t="shared" si="333"/>
        <v>0</v>
      </c>
      <c r="D1192" s="1627">
        <f t="shared" si="333"/>
        <v>0</v>
      </c>
      <c r="E1192" s="1627">
        <f t="shared" si="333"/>
        <v>0</v>
      </c>
      <c r="F1192" s="1627">
        <f t="shared" si="333"/>
        <v>0</v>
      </c>
      <c r="G1192" s="1593"/>
      <c r="H1192" s="1357"/>
      <c r="I1192" s="1357"/>
      <c r="J1192" s="1357"/>
      <c r="K1192" s="1594"/>
      <c r="L1192" s="1593"/>
      <c r="M1192" s="1619" t="str">
        <f t="shared" si="326"/>
        <v/>
      </c>
      <c r="N1192" s="1619" t="str">
        <f t="shared" si="327"/>
        <v/>
      </c>
      <c r="O1192" s="1593"/>
      <c r="P1192" s="1593"/>
      <c r="Q1192" s="1640"/>
      <c r="R1192" s="1602"/>
      <c r="S1192" s="1357"/>
      <c r="T1192" s="1357"/>
      <c r="U1192" s="1394">
        <v>1192</v>
      </c>
      <c r="V1192" s="1357"/>
    </row>
    <row r="1193" spans="1:22" ht="15.75" customHeight="1">
      <c r="A1193" s="1585" t="str">
        <f>A857</f>
        <v>Labour migration: no. people per HH</v>
      </c>
      <c r="B1193" s="1593"/>
      <c r="C1193" s="1627">
        <f>IF(C$1111=0,0,MAX((SUM(C857,M857)+SUM(C969,M969)/C$1111),(SUM(C857)+SUM(C969)/C$1111)))</f>
        <v>0</v>
      </c>
      <c r="D1193" s="1627">
        <f>IF(D$1111=0,0,MAX((SUM(D857,N857)+SUM(D969,N969)/D$1111),(SUM(D857)+SUM(D969)/D$1111)))</f>
        <v>0</v>
      </c>
      <c r="E1193" s="1627">
        <f>IF(E$1111=0,0,MAX((SUM(E857,O857)+SUM(E969,O969)/E$1111),(SUM(E857)+SUM(E969)/E$1111)))</f>
        <v>0</v>
      </c>
      <c r="F1193" s="1627">
        <f>IF(F$1111=0,0,MAX((SUM(F857,P857)+SUM(F969,P969)/F$1111),(SUM(F857)+SUM(F969)/F$1111)))</f>
        <v>1.1560825892540278</v>
      </c>
      <c r="G1193" s="1593"/>
      <c r="H1193" s="1628">
        <f>IF(C$1111=0,0,MAX(SUM(C969,M969)/C$1111,SUM(C969)/C$1111))</f>
        <v>0</v>
      </c>
      <c r="I1193" s="1628">
        <f>IF(D$1111=0,0,MAX(SUM(D969,N969)/D$1111,SUM(D969)/D$1111))</f>
        <v>0</v>
      </c>
      <c r="J1193" s="1628">
        <f>IF(E$1111=0,0,MAX(SUM(E969,O969)/E$1111,SUM(E969)/E$1111))</f>
        <v>0</v>
      </c>
      <c r="K1193" s="1628">
        <f>IF(F$1111=0,0,MAX(SUM(F969,P969)/F$1111,SUM(F969)/F$1111))</f>
        <v>1.1560825892540278</v>
      </c>
      <c r="L1193" s="1375"/>
      <c r="M1193" s="1619" t="str">
        <f t="shared" si="326"/>
        <v>yes</v>
      </c>
      <c r="N1193" s="1619" t="str">
        <f t="shared" si="327"/>
        <v>yes</v>
      </c>
      <c r="O1193" s="1593"/>
      <c r="P1193" s="1593"/>
      <c r="Q1193" s="1629"/>
      <c r="R1193" s="1602"/>
      <c r="S1193" s="1357"/>
      <c r="T1193" s="1357"/>
      <c r="U1193" s="1394">
        <v>1193</v>
      </c>
      <c r="V1193" s="1357"/>
    </row>
    <row r="1194" spans="1:22" ht="15.75" customHeight="1">
      <c r="A1194" s="1375" t="str">
        <f>A970</f>
        <v>Formal Employment (conservancies, etc.)</v>
      </c>
      <c r="B1194" s="1593"/>
      <c r="C1194" s="1627">
        <f>IF(C$1111=0,0,MAX(SUM(C970,M970)/C$1111,SUM(C970)/C$1111))</f>
        <v>0</v>
      </c>
      <c r="D1194" s="1627">
        <f>IF(D$1111=0,0,MAX(SUM(D970,N970)/D$1111,SUM(D970)/D$1111))</f>
        <v>0</v>
      </c>
      <c r="E1194" s="1627">
        <f>IF(E$1111=0,0,MAX(SUM(E970,O970)/E$1111,SUM(E970)/E$1111))</f>
        <v>0</v>
      </c>
      <c r="F1194" s="1627">
        <f>IF(F$1111=0,0,MAX(SUM(F970,P970)/F$1111,SUM(F970)/F$1111))</f>
        <v>2.4971383927887003</v>
      </c>
      <c r="G1194" s="1593"/>
      <c r="H1194" s="1357"/>
      <c r="I1194" s="1357"/>
      <c r="J1194" s="1357"/>
      <c r="K1194" s="1594"/>
      <c r="L1194" s="1593"/>
      <c r="M1194" s="1619" t="str">
        <f t="shared" si="326"/>
        <v>yes</v>
      </c>
      <c r="N1194" s="1619" t="str">
        <f t="shared" si="327"/>
        <v>yes</v>
      </c>
      <c r="O1194" s="1593"/>
      <c r="P1194" s="1593"/>
      <c r="Q1194" s="1629"/>
      <c r="R1194" s="1602"/>
      <c r="S1194" s="1357"/>
      <c r="T1194" s="1357"/>
      <c r="U1194" s="1394">
        <v>1194</v>
      </c>
      <c r="V1194" s="1357"/>
    </row>
    <row r="1195" spans="1:22" ht="15.75" customHeight="1">
      <c r="A1195" s="1375" t="str">
        <f>A972</f>
        <v>Firewood: no. people per HH</v>
      </c>
      <c r="B1195" s="1593"/>
      <c r="C1195" s="1627">
        <f t="shared" ref="C1195:F1196" si="334">IF(C$1111=0,0,MAX(SUM(C972,M972)/C$1111,SUM(C972)/C$1111))</f>
        <v>0</v>
      </c>
      <c r="D1195" s="1627">
        <f t="shared" si="334"/>
        <v>0</v>
      </c>
      <c r="E1195" s="1627">
        <f t="shared" si="334"/>
        <v>0</v>
      </c>
      <c r="F1195" s="1627">
        <f t="shared" si="334"/>
        <v>0</v>
      </c>
      <c r="G1195" s="1593"/>
      <c r="H1195" s="1357"/>
      <c r="I1195" s="1357"/>
      <c r="J1195" s="1357"/>
      <c r="K1195" s="1594"/>
      <c r="L1195" s="1593"/>
      <c r="M1195" s="1619" t="str">
        <f t="shared" si="326"/>
        <v/>
      </c>
      <c r="N1195" s="1619" t="str">
        <f t="shared" si="327"/>
        <v/>
      </c>
      <c r="O1195" s="1593"/>
      <c r="P1195" s="1593"/>
      <c r="Q1195" s="1629"/>
      <c r="R1195" s="1602"/>
      <c r="S1195" s="1357"/>
      <c r="T1195" s="1357"/>
      <c r="U1195" s="1394">
        <v>1195</v>
      </c>
      <c r="V1195" s="1357"/>
    </row>
    <row r="1196" spans="1:22" ht="15.75" customHeight="1">
      <c r="A1196" s="1375" t="str">
        <f>A973</f>
        <v>Self-employment -- see Data2</v>
      </c>
      <c r="B1196" s="1593"/>
      <c r="C1196" s="1627">
        <f t="shared" si="334"/>
        <v>0</v>
      </c>
      <c r="D1196" s="1627">
        <f t="shared" si="334"/>
        <v>0</v>
      </c>
      <c r="E1196" s="1627">
        <f t="shared" si="334"/>
        <v>6.086774832422457E-2</v>
      </c>
      <c r="F1196" s="1627">
        <f t="shared" si="334"/>
        <v>0</v>
      </c>
      <c r="G1196" s="1593"/>
      <c r="H1196" s="1357"/>
      <c r="I1196" s="1357"/>
      <c r="J1196" s="1357"/>
      <c r="K1196" s="1594"/>
      <c r="L1196" s="1593"/>
      <c r="M1196" s="1619" t="str">
        <f t="shared" si="326"/>
        <v/>
      </c>
      <c r="N1196" s="1619" t="str">
        <f t="shared" si="327"/>
        <v/>
      </c>
      <c r="O1196" s="1593"/>
      <c r="P1196" s="1593"/>
      <c r="Q1196" s="1629"/>
      <c r="R1196" s="1602"/>
      <c r="S1196" s="1357"/>
      <c r="T1196" s="1357"/>
      <c r="U1196" s="1394">
        <v>1196</v>
      </c>
      <c r="V1196" s="1357"/>
    </row>
    <row r="1197" spans="1:22" ht="15.75" customHeight="1">
      <c r="A1197" s="1375" t="str">
        <f>A975</f>
        <v>Small business -- see Data2</v>
      </c>
      <c r="B1197" s="1593"/>
      <c r="C1197" s="1627">
        <f>IF(C$1111=0,0,MAX(SUM(C975,M975)/C$1111,SUM(C975)/C$1111))</f>
        <v>0</v>
      </c>
      <c r="D1197" s="1627">
        <f>IF(D$1111=0,0,MAX(SUM(D975,N975)/D$1111,SUM(D975)/D$1111))</f>
        <v>0</v>
      </c>
      <c r="E1197" s="1627">
        <f>IF(E$1111=0,0,MAX(SUM(E975,O975)/E$1111,SUM(E975)/E$1111))</f>
        <v>0.25538915380793525</v>
      </c>
      <c r="F1197" s="1627">
        <f>IF(F$1111=0,0,MAX(SUM(F975,P975)/F$1111,SUM(F975)/F$1111))</f>
        <v>0</v>
      </c>
      <c r="G1197" s="1593"/>
      <c r="H1197" s="1357"/>
      <c r="I1197" s="1357"/>
      <c r="J1197" s="1357"/>
      <c r="K1197" s="1594"/>
      <c r="L1197" s="1593"/>
      <c r="M1197" s="1619" t="str">
        <f t="shared" si="326"/>
        <v>yes</v>
      </c>
      <c r="N1197" s="1619" t="str">
        <f t="shared" si="327"/>
        <v>yes</v>
      </c>
      <c r="O1197" s="1593"/>
      <c r="P1197" s="1593"/>
      <c r="Q1197" s="1629"/>
      <c r="R1197" s="1602"/>
      <c r="S1197" s="1357"/>
      <c r="T1197" s="1357"/>
      <c r="U1197" s="1394">
        <v>1197</v>
      </c>
      <c r="V1197" s="1357"/>
    </row>
    <row r="1198" spans="1:22" ht="15.75" customHeight="1">
      <c r="A1198" s="1375" t="str">
        <f>A977</f>
        <v>Social development -- see Data2</v>
      </c>
      <c r="B1198" s="1593"/>
      <c r="C1198" s="1627">
        <f>IF(C$1111=0,0,MAX(SUM(C977,M977)/C$1111,SUM(C977)/C$1111))</f>
        <v>2.6035505402086736</v>
      </c>
      <c r="D1198" s="1627">
        <f>IF(D$1111=0,0,MAX(SUM(D977,N977)/D$1111,SUM(D977)/D$1111))</f>
        <v>2.6035505402086736</v>
      </c>
      <c r="E1198" s="1627">
        <f>IF(E$1111=0,0,MAX(SUM(E977,O977)/E$1111,SUM(E977)/E$1111))</f>
        <v>2.6035505402086736</v>
      </c>
      <c r="F1198" s="1627">
        <f>IF(F$1111=0,0,MAX(SUM(F977,P977)/F$1111,SUM(F977)/F$1111))</f>
        <v>0.64761644681666541</v>
      </c>
      <c r="G1198" s="1593"/>
      <c r="H1198" s="1357"/>
      <c r="I1198" s="1357"/>
      <c r="J1198" s="1357"/>
      <c r="K1198" s="1594"/>
      <c r="L1198" s="1593"/>
      <c r="M1198" s="1619" t="str">
        <f t="shared" si="326"/>
        <v>yes</v>
      </c>
      <c r="N1198" s="1619" t="str">
        <f t="shared" si="327"/>
        <v>yes</v>
      </c>
      <c r="O1198" s="1593"/>
      <c r="P1198" s="1593"/>
      <c r="Q1198" s="1629"/>
      <c r="R1198" s="1602"/>
      <c r="S1198" s="1357"/>
      <c r="T1198" s="1357"/>
      <c r="U1198" s="1394">
        <v>1198</v>
      </c>
      <c r="V1198" s="1357"/>
    </row>
    <row r="1199" spans="1:22" ht="15.75" customHeight="1">
      <c r="A1199" s="1375" t="str">
        <f>A979</f>
        <v>Public works -- see Data2</v>
      </c>
      <c r="B1199" s="1593"/>
      <c r="C1199" s="1627">
        <f>IF(C$1111=0,0,MAX(SUM(C979,M979)/C$1111,SUM(C979)/C$1111))</f>
        <v>0</v>
      </c>
      <c r="D1199" s="1627">
        <f>IF(D$1111=0,0,MAX(SUM(D979,N979)/D$1111,SUM(D979)/D$1111))</f>
        <v>0</v>
      </c>
      <c r="E1199" s="1627">
        <f>IF(E$1111=0,0,MAX(SUM(E979,O979)/E$1111,SUM(E979)/E$1111))</f>
        <v>4.3865451880899992E-2</v>
      </c>
      <c r="F1199" s="1627">
        <f>IF(F$1111=0,0,MAX(SUM(F979,P979)/F$1111,SUM(F979)/F$1111))</f>
        <v>0</v>
      </c>
      <c r="G1199" s="1593"/>
      <c r="H1199" s="1357"/>
      <c r="I1199" s="1357"/>
      <c r="J1199" s="1357"/>
      <c r="K1199" s="1594"/>
      <c r="L1199" s="1593"/>
      <c r="M1199" s="1619" t="str">
        <f t="shared" si="326"/>
        <v/>
      </c>
      <c r="N1199" s="1619" t="str">
        <f t="shared" si="327"/>
        <v/>
      </c>
      <c r="O1199" s="1593"/>
      <c r="P1199" s="1593"/>
      <c r="Q1199" s="1629"/>
      <c r="R1199" s="1602"/>
      <c r="S1199" s="1357"/>
      <c r="T1199" s="1357"/>
      <c r="U1199" s="1394">
        <v>1199</v>
      </c>
      <c r="V1199" s="1357"/>
    </row>
    <row r="1200" spans="1:22" ht="15.75" customHeight="1">
      <c r="A1200" s="1375" t="str">
        <f>A981</f>
        <v>Gifts/social support: type</v>
      </c>
      <c r="B1200" s="1593"/>
      <c r="C1200" s="1627">
        <f>IF(C$1111=0,0,MAX(SUM(C981,M981)/C$1111,SUM(C981)/C$1111))</f>
        <v>0</v>
      </c>
      <c r="D1200" s="1627">
        <f>IF(D$1111=0,0,MAX(SUM(D981,N981)/D$1111,SUM(D981)/D$1111))</f>
        <v>0</v>
      </c>
      <c r="E1200" s="1627">
        <f>IF(E$1111=0,0,MAX(SUM(E981,O981)/E$1111,SUM(E981)/E$1111))</f>
        <v>0</v>
      </c>
      <c r="F1200" s="1627">
        <f>IF(F$1111=0,0,MAX(SUM(F981,P981)/F$1111,SUM(F981)/F$1111))</f>
        <v>0</v>
      </c>
      <c r="G1200" s="1593"/>
      <c r="H1200" s="1357"/>
      <c r="I1200" s="1357"/>
      <c r="J1200" s="1357"/>
      <c r="K1200" s="1594"/>
      <c r="L1200" s="1593"/>
      <c r="M1200" s="1619" t="str">
        <f t="shared" si="326"/>
        <v/>
      </c>
      <c r="N1200" s="1619" t="str">
        <f t="shared" si="327"/>
        <v/>
      </c>
      <c r="O1200" s="1593"/>
      <c r="P1200" s="1593"/>
      <c r="Q1200" s="1629"/>
      <c r="R1200" s="1602"/>
      <c r="S1200" s="1357"/>
      <c r="T1200" s="1357"/>
      <c r="U1200" s="1394">
        <v>1200</v>
      </c>
      <c r="V1200" s="1357"/>
    </row>
    <row r="1201" spans="1:22" ht="15.75" customHeight="1">
      <c r="A1201" s="1375" t="str">
        <f>A983</f>
        <v>Remittances: no. times per year</v>
      </c>
      <c r="B1201" s="1593"/>
      <c r="C1201" s="1627">
        <f>IF(C$1111=0,0,MAX(SUM(C983,M983)/C$1111,SUM(C983)/C$1111))</f>
        <v>0</v>
      </c>
      <c r="D1201" s="1627">
        <f>IF(D$1111=0,0,MAX(SUM(D983,N983)/D$1111,SUM(D983)/D$1111))</f>
        <v>0</v>
      </c>
      <c r="E1201" s="1627">
        <f>IF(E$1111=0,0,MAX(SUM(E983,O983)/E$1111,SUM(E983)/E$1111))</f>
        <v>0</v>
      </c>
      <c r="F1201" s="1627">
        <f>IF(F$1111=0,0,MAX(SUM(F983,P983)/F$1111,SUM(F983)/F$1111))</f>
        <v>0</v>
      </c>
      <c r="G1201" s="1593"/>
      <c r="H1201" s="1357"/>
      <c r="I1201" s="1357"/>
      <c r="J1201" s="1357"/>
      <c r="K1201" s="1594"/>
      <c r="L1201" s="1593"/>
      <c r="M1201" s="1619" t="str">
        <f t="shared" si="326"/>
        <v/>
      </c>
      <c r="N1201" s="1619" t="str">
        <f t="shared" si="327"/>
        <v/>
      </c>
      <c r="O1201" s="1593"/>
      <c r="P1201" s="1593"/>
      <c r="Q1201" s="1629"/>
      <c r="R1201" s="1602"/>
      <c r="S1201" s="1357"/>
      <c r="T1201" s="1357"/>
      <c r="U1201" s="1394">
        <v>1201</v>
      </c>
      <c r="V1201" s="1357"/>
    </row>
    <row r="1202" spans="1:22" ht="12.75" customHeight="1">
      <c r="A1202" s="1375"/>
      <c r="B1202" s="1593"/>
      <c r="C1202" s="1593"/>
      <c r="D1202" s="1593"/>
      <c r="E1202" s="1593"/>
      <c r="F1202" s="1593"/>
      <c r="G1202" s="1593"/>
      <c r="H1202" s="1594"/>
      <c r="I1202" s="1594"/>
      <c r="J1202" s="1594"/>
      <c r="K1202" s="1594"/>
      <c r="L1202" s="1593"/>
      <c r="M1202" s="1593"/>
      <c r="N1202" s="1593"/>
      <c r="O1202" s="1593"/>
      <c r="P1202" s="1593"/>
      <c r="Q1202" s="1375"/>
      <c r="R1202" s="1375"/>
      <c r="S1202" s="1357"/>
      <c r="T1202" s="1357"/>
      <c r="U1202" s="1357"/>
      <c r="V1202" s="1357"/>
    </row>
    <row r="1203" spans="1:22" ht="12.75" customHeight="1">
      <c r="A1203" s="1375"/>
      <c r="B1203" s="1593"/>
      <c r="C1203" s="1593"/>
      <c r="D1203" s="1593"/>
      <c r="E1203" s="1593"/>
      <c r="F1203" s="1593"/>
      <c r="G1203" s="1593"/>
      <c r="H1203" s="1594"/>
      <c r="I1203" s="1594"/>
      <c r="J1203" s="1594"/>
      <c r="K1203" s="1594"/>
      <c r="L1203" s="1593"/>
      <c r="M1203" s="1593"/>
      <c r="N1203" s="1593"/>
      <c r="O1203" s="1593"/>
      <c r="P1203" s="1593"/>
      <c r="Q1203" s="1375"/>
      <c r="R1203" s="1375"/>
      <c r="S1203" s="1357"/>
      <c r="T1203" s="1357"/>
      <c r="U1203" s="1357"/>
      <c r="V1203" s="1357"/>
    </row>
    <row r="1204" spans="1:22" ht="12.75" customHeight="1">
      <c r="A1204" s="1375"/>
      <c r="B1204" s="1593"/>
      <c r="C1204" s="1593"/>
      <c r="D1204" s="1593"/>
      <c r="E1204" s="1593"/>
      <c r="F1204" s="1593"/>
      <c r="G1204" s="1593"/>
      <c r="H1204" s="1594"/>
      <c r="I1204" s="1594"/>
      <c r="J1204" s="1594"/>
      <c r="K1204" s="1594"/>
      <c r="L1204" s="1593"/>
      <c r="M1204" s="1593"/>
      <c r="N1204" s="1593"/>
      <c r="O1204" s="1593"/>
      <c r="P1204" s="1593"/>
      <c r="Q1204" s="1375"/>
      <c r="R1204" s="1375"/>
      <c r="S1204" s="1357"/>
      <c r="T1204" s="1357"/>
      <c r="U1204" s="1357"/>
      <c r="V1204" s="1357"/>
    </row>
    <row r="1205" spans="1:22" ht="12.75" customHeight="1">
      <c r="A1205" s="1375"/>
      <c r="B1205" s="1593"/>
      <c r="C1205" s="1593"/>
      <c r="D1205" s="1593"/>
      <c r="E1205" s="1593"/>
      <c r="F1205" s="1593"/>
      <c r="G1205" s="1593"/>
      <c r="H1205" s="1594"/>
      <c r="I1205" s="1594"/>
      <c r="J1205" s="1594"/>
      <c r="K1205" s="1594"/>
      <c r="L1205" s="1593"/>
      <c r="M1205" s="1593"/>
      <c r="N1205" s="1593"/>
      <c r="O1205" s="1593"/>
      <c r="P1205" s="1593"/>
      <c r="Q1205" s="1375"/>
      <c r="R1205" s="1375"/>
      <c r="S1205" s="1357"/>
      <c r="T1205" s="1357"/>
      <c r="U1205" s="1357"/>
      <c r="V1205" s="1357"/>
    </row>
    <row r="1206" spans="1:22" ht="12.75" customHeight="1">
      <c r="A1206" s="1375"/>
      <c r="B1206" s="1593"/>
      <c r="C1206" s="1593"/>
      <c r="D1206" s="1593"/>
      <c r="E1206" s="1593"/>
      <c r="F1206" s="1593"/>
      <c r="G1206" s="1593"/>
      <c r="H1206" s="1594"/>
      <c r="I1206" s="1594"/>
      <c r="J1206" s="1594"/>
      <c r="K1206" s="1594"/>
      <c r="L1206" s="1593"/>
      <c r="M1206" s="1593"/>
      <c r="N1206" s="1593"/>
      <c r="O1206" s="1593"/>
      <c r="P1206" s="1593"/>
      <c r="Q1206" s="1375"/>
      <c r="R1206" s="1375"/>
      <c r="S1206" s="1357"/>
      <c r="T1206" s="1357"/>
      <c r="U1206" s="1357"/>
      <c r="V1206" s="1357"/>
    </row>
    <row r="1207" spans="1:22" ht="12.75" customHeight="1">
      <c r="A1207" s="1375"/>
      <c r="B1207" s="1593"/>
      <c r="C1207" s="1593"/>
      <c r="D1207" s="1593"/>
      <c r="E1207" s="1593"/>
      <c r="F1207" s="1593"/>
      <c r="G1207" s="1593"/>
      <c r="H1207" s="1594"/>
      <c r="I1207" s="1594"/>
      <c r="J1207" s="1594"/>
      <c r="K1207" s="1594"/>
      <c r="L1207" s="1593"/>
      <c r="M1207" s="1593"/>
      <c r="N1207" s="1593"/>
      <c r="O1207" s="1593"/>
      <c r="P1207" s="1593"/>
      <c r="Q1207" s="1375"/>
      <c r="R1207" s="1375"/>
      <c r="S1207" s="1357"/>
      <c r="T1207" s="1357"/>
      <c r="U1207" s="1357"/>
      <c r="V1207" s="1357"/>
    </row>
    <row r="1208" spans="1:22" ht="12.75" customHeight="1">
      <c r="A1208" s="1375"/>
      <c r="B1208" s="1593"/>
      <c r="C1208" s="1593"/>
      <c r="D1208" s="1593"/>
      <c r="E1208" s="1593"/>
      <c r="F1208" s="1593"/>
      <c r="G1208" s="1593"/>
      <c r="H1208" s="1594"/>
      <c r="I1208" s="1594"/>
      <c r="J1208" s="1594"/>
      <c r="K1208" s="1594"/>
      <c r="L1208" s="1593"/>
      <c r="M1208" s="1593"/>
      <c r="N1208" s="1593"/>
      <c r="O1208" s="1593"/>
      <c r="P1208" s="1593"/>
      <c r="Q1208" s="1375"/>
      <c r="R1208" s="1375"/>
      <c r="S1208" s="1357"/>
      <c r="T1208" s="1357"/>
      <c r="U1208" s="1357"/>
      <c r="V1208" s="1357"/>
    </row>
    <row r="1209" spans="1:22" ht="12.75" customHeight="1">
      <c r="A1209" s="1375"/>
      <c r="B1209" s="1593"/>
      <c r="C1209" s="1593"/>
      <c r="D1209" s="1593"/>
      <c r="E1209" s="1593"/>
      <c r="F1209" s="1593"/>
      <c r="G1209" s="1593"/>
      <c r="H1209" s="1594"/>
      <c r="I1209" s="1594"/>
      <c r="J1209" s="1594"/>
      <c r="K1209" s="1594"/>
      <c r="L1209" s="1593"/>
      <c r="M1209" s="1593"/>
      <c r="N1209" s="1593"/>
      <c r="O1209" s="1593"/>
      <c r="P1209" s="1593"/>
      <c r="Q1209" s="1375"/>
      <c r="R1209" s="1375"/>
      <c r="S1209" s="1357"/>
      <c r="T1209" s="1357"/>
      <c r="U1209" s="1357"/>
      <c r="V1209" s="1357"/>
    </row>
    <row r="1210" spans="1:22" ht="12.75" customHeight="1">
      <c r="A1210" s="1375"/>
      <c r="B1210" s="1593"/>
      <c r="C1210" s="1593"/>
      <c r="D1210" s="1593"/>
      <c r="E1210" s="1593"/>
      <c r="F1210" s="1593"/>
      <c r="G1210" s="1593"/>
      <c r="H1210" s="1594"/>
      <c r="I1210" s="1594"/>
      <c r="J1210" s="1594"/>
      <c r="K1210" s="1594"/>
      <c r="L1210" s="1593"/>
      <c r="M1210" s="1593"/>
      <c r="N1210" s="1593"/>
      <c r="O1210" s="1593"/>
      <c r="P1210" s="1593"/>
      <c r="Q1210" s="1375"/>
      <c r="R1210" s="1375"/>
      <c r="S1210" s="1357"/>
      <c r="T1210" s="1357"/>
      <c r="U1210" s="1357"/>
      <c r="V1210" s="1357"/>
    </row>
    <row r="1211" spans="1:22" ht="12.75" customHeight="1">
      <c r="A1211" s="1375"/>
      <c r="B1211" s="1593"/>
      <c r="C1211" s="1593"/>
      <c r="D1211" s="1593"/>
      <c r="E1211" s="1593"/>
      <c r="F1211" s="1593"/>
      <c r="G1211" s="1593"/>
      <c r="H1211" s="1594"/>
      <c r="I1211" s="1594"/>
      <c r="J1211" s="1594"/>
      <c r="K1211" s="1594"/>
      <c r="L1211" s="1593"/>
      <c r="M1211" s="1593"/>
      <c r="N1211" s="1593"/>
      <c r="O1211" s="1593"/>
      <c r="P1211" s="1593"/>
      <c r="Q1211" s="1375"/>
      <c r="R1211" s="1375"/>
      <c r="S1211" s="1357"/>
      <c r="T1211" s="1357"/>
      <c r="U1211" s="1357"/>
      <c r="V1211" s="135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810" t="s">
        <v>576</v>
      </c>
      <c r="D42" s="1810"/>
      <c r="E42" s="1810"/>
      <c r="F42" s="1810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810" t="s">
        <v>576</v>
      </c>
      <c r="D70" s="1810"/>
      <c r="E70" s="1810"/>
      <c r="F70" s="1810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810" t="s">
        <v>576</v>
      </c>
      <c r="D83" s="1810"/>
      <c r="E83" s="1810"/>
      <c r="F83" s="1810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810" t="s">
        <v>576</v>
      </c>
      <c r="D86" s="1810"/>
      <c r="E86" s="1810"/>
      <c r="F86" s="1810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810" t="s">
        <v>576</v>
      </c>
      <c r="D89" s="1810"/>
      <c r="E89" s="1810"/>
      <c r="F89" s="1810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810" t="s">
        <v>576</v>
      </c>
      <c r="D92" s="1810"/>
      <c r="E92" s="1810"/>
      <c r="F92" s="1810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810" t="s">
        <v>576</v>
      </c>
      <c r="D95" s="1810"/>
      <c r="E95" s="1810"/>
      <c r="F95" s="1810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K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811"/>
      <c r="C1" s="1811"/>
      <c r="D1" s="1811"/>
      <c r="E1" s="1811"/>
      <c r="F1" s="1811"/>
      <c r="G1" s="1811"/>
      <c r="H1" s="1811"/>
      <c r="I1" s="1811"/>
      <c r="J1" s="1811"/>
      <c r="K1" s="1811"/>
      <c r="L1" s="1811"/>
      <c r="M1" s="1811"/>
      <c r="N1" s="1811"/>
      <c r="O1" s="1811"/>
      <c r="P1" s="1811"/>
      <c r="Q1" s="1811"/>
      <c r="R1" s="1811"/>
      <c r="S1" s="1811"/>
      <c r="T1" s="1811"/>
      <c r="U1" s="1811"/>
      <c r="V1" s="1811"/>
      <c r="W1" s="1811"/>
      <c r="X1" s="1811"/>
      <c r="Y1" s="1811"/>
      <c r="Z1" s="1811"/>
      <c r="AA1" s="1811"/>
      <c r="AB1" s="1811"/>
      <c r="AC1" s="1811"/>
      <c r="AD1" s="1811"/>
      <c r="AE1" s="1811"/>
      <c r="AF1" s="1811"/>
      <c r="AG1" s="1811"/>
      <c r="AH1" s="1811"/>
      <c r="AI1" s="1811"/>
      <c r="AJ1" s="1811"/>
      <c r="AK1" s="1811"/>
      <c r="AL1" s="1811"/>
      <c r="AM1" s="1811"/>
      <c r="AN1" s="1811"/>
      <c r="AO1" s="1811"/>
      <c r="AP1" s="1811"/>
      <c r="AQ1" s="1811"/>
      <c r="AR1" s="1811"/>
      <c r="AS1" s="1811"/>
      <c r="AT1" s="1811"/>
      <c r="AU1" s="1811"/>
      <c r="AV1" s="1811"/>
      <c r="AW1" s="1811"/>
      <c r="AX1" s="1811"/>
      <c r="AY1" s="1811"/>
      <c r="AZ1" s="1811"/>
      <c r="BA1" s="1811"/>
      <c r="BB1" s="1811"/>
      <c r="BC1" s="1811"/>
      <c r="BD1" s="1811"/>
      <c r="BE1" s="1811"/>
      <c r="BF1" s="1811"/>
      <c r="BG1" s="1811"/>
      <c r="BH1" s="1811"/>
      <c r="BI1" s="1811"/>
      <c r="BJ1" s="1811"/>
      <c r="BK1" s="1811"/>
      <c r="BL1" s="1811"/>
      <c r="BM1" s="1811"/>
      <c r="BN1" s="1811"/>
      <c r="BO1" s="1811"/>
      <c r="BP1" s="1811"/>
      <c r="BQ1" s="1811"/>
      <c r="BR1" s="1811"/>
      <c r="BS1" s="1811"/>
      <c r="BT1" s="1811"/>
      <c r="BU1" s="1811"/>
      <c r="BV1" s="1811"/>
      <c r="BW1" s="1811"/>
      <c r="BX1" s="1811"/>
      <c r="BY1" s="1811"/>
      <c r="BZ1" s="1811"/>
      <c r="CA1" s="1811"/>
      <c r="CB1" s="1811"/>
      <c r="CC1" s="1811"/>
      <c r="CD1" s="1811"/>
      <c r="CE1" s="1811"/>
      <c r="CF1" s="1811"/>
      <c r="CG1" s="1811"/>
      <c r="CH1" s="1811"/>
      <c r="CI1" s="1811"/>
      <c r="CJ1" s="1811"/>
      <c r="CK1" s="1811"/>
      <c r="CL1" s="1811"/>
      <c r="CM1" s="1811"/>
      <c r="CN1" s="1811"/>
      <c r="CO1" s="1811"/>
      <c r="CP1" s="1811"/>
      <c r="CQ1" s="1811"/>
      <c r="CR1" s="1811"/>
      <c r="CS1" s="1811"/>
      <c r="CT1" s="1811"/>
      <c r="CU1" s="1811"/>
      <c r="CV1" s="1811"/>
      <c r="CW1" s="1811"/>
      <c r="CX1" s="1811"/>
      <c r="CY1" s="1811"/>
      <c r="CZ1" s="1811"/>
      <c r="DA1" s="1811"/>
      <c r="DB1" s="1811"/>
      <c r="DC1" s="1811"/>
      <c r="DD1" s="1811"/>
      <c r="DE1" s="1811"/>
      <c r="DF1" s="1811"/>
      <c r="DG1" s="1811"/>
      <c r="DH1" s="1811"/>
      <c r="DI1" s="1811"/>
      <c r="DJ1" s="1811"/>
      <c r="DK1" s="1811"/>
      <c r="DL1" s="1811"/>
      <c r="DM1" s="1811"/>
      <c r="DN1" s="1811"/>
      <c r="DO1" s="1811"/>
      <c r="DP1" s="1811"/>
      <c r="DQ1" s="1811"/>
    </row>
    <row r="2" spans="1:133" ht="13" thickBot="1">
      <c r="A2" t="s">
        <v>41</v>
      </c>
      <c r="B2" s="1811"/>
      <c r="C2" s="1811"/>
      <c r="D2" s="1811"/>
      <c r="E2" s="1811"/>
      <c r="F2" s="1811"/>
      <c r="G2" s="1811"/>
      <c r="H2" s="1811"/>
      <c r="I2" s="1811"/>
      <c r="J2" s="1811"/>
      <c r="K2" s="1811"/>
      <c r="L2" s="1811"/>
      <c r="M2" s="1811"/>
      <c r="N2" s="1811"/>
      <c r="O2" s="1811"/>
      <c r="P2" s="1811"/>
      <c r="Q2" s="1811"/>
      <c r="R2" s="1811"/>
      <c r="S2" s="1811"/>
      <c r="T2" s="1811"/>
      <c r="U2" s="1811"/>
      <c r="V2" s="1811"/>
      <c r="W2" s="1811"/>
      <c r="X2" s="1811"/>
      <c r="Y2" s="1811"/>
      <c r="Z2" s="1811"/>
      <c r="AA2" s="1811"/>
      <c r="AB2" s="1811"/>
      <c r="AC2" s="1811"/>
      <c r="AD2" s="1811"/>
      <c r="AE2" s="1811"/>
      <c r="AF2" s="1811"/>
      <c r="AG2" s="1811"/>
      <c r="AH2" s="1811"/>
      <c r="AI2" s="1811"/>
      <c r="AJ2" s="1811"/>
      <c r="AK2" s="1811"/>
      <c r="AL2" s="1811"/>
      <c r="AM2" s="1811"/>
      <c r="AN2" s="1811"/>
      <c r="AO2" s="1811"/>
      <c r="AP2" s="1811"/>
      <c r="AQ2" s="1811"/>
      <c r="AR2" s="1811"/>
      <c r="AS2" s="1811"/>
      <c r="AT2" s="1811"/>
      <c r="AU2" s="1811"/>
      <c r="AV2" s="1811"/>
      <c r="AW2" s="1811"/>
      <c r="AX2" s="1811"/>
      <c r="AY2" s="1811"/>
      <c r="AZ2" s="1811"/>
      <c r="BA2" s="1811"/>
      <c r="BB2" s="1811"/>
      <c r="BC2" s="1811"/>
      <c r="BD2" s="1811"/>
      <c r="BE2" s="1811"/>
      <c r="BF2" s="1811"/>
      <c r="BG2" s="1811"/>
      <c r="BH2" s="1811"/>
      <c r="BI2" s="1811"/>
      <c r="BJ2" s="1811"/>
      <c r="BK2" s="1811"/>
      <c r="BL2" s="1811"/>
      <c r="BM2" s="1811"/>
      <c r="BN2" s="1811"/>
      <c r="BO2" s="1811"/>
      <c r="BP2" s="1811"/>
      <c r="BQ2" s="1811"/>
      <c r="BR2" s="1811"/>
      <c r="BS2" s="1811"/>
      <c r="BT2" s="1811"/>
      <c r="BU2" s="1811"/>
      <c r="BV2" s="1811"/>
      <c r="BW2" s="1811"/>
      <c r="BX2" s="1811"/>
      <c r="BY2" s="1811"/>
      <c r="BZ2" s="1811"/>
      <c r="CA2" s="1811"/>
      <c r="CB2" s="1811"/>
      <c r="CC2" s="1811"/>
      <c r="CD2" s="1811"/>
      <c r="CE2" s="1811"/>
      <c r="CF2" s="1811"/>
      <c r="CG2" s="1811"/>
      <c r="CH2" s="1811"/>
      <c r="CI2" s="1811"/>
      <c r="CJ2" s="1811"/>
      <c r="CK2" s="1811"/>
      <c r="CL2" s="1811"/>
      <c r="CM2" s="1811"/>
      <c r="CN2" s="1811"/>
      <c r="CO2" s="1811"/>
      <c r="CP2" s="1811"/>
      <c r="CQ2" s="1811"/>
      <c r="CR2" s="1811"/>
      <c r="CS2" s="1811"/>
      <c r="CT2" s="1811"/>
      <c r="CU2" s="1811"/>
      <c r="CV2" s="1811"/>
      <c r="CW2" s="1811"/>
      <c r="CX2" s="1811"/>
      <c r="CY2" s="1811"/>
      <c r="CZ2" s="1811"/>
      <c r="DA2" s="1811"/>
      <c r="DB2" s="1811"/>
      <c r="DC2" s="1811"/>
      <c r="DD2" s="1811"/>
      <c r="DE2" s="1811"/>
      <c r="DF2" s="1811"/>
      <c r="DG2" s="1811"/>
      <c r="DH2" s="1811"/>
      <c r="DI2" s="1811"/>
      <c r="DJ2" s="1811"/>
      <c r="DK2" s="1811"/>
      <c r="DL2" s="1811"/>
      <c r="DM2" s="1811"/>
      <c r="DN2" s="1811"/>
      <c r="DO2" s="1811"/>
      <c r="DP2" s="1811"/>
      <c r="DQ2" s="1811"/>
    </row>
    <row r="3" spans="1:133" ht="13" thickBot="1">
      <c r="A3" s="1168" t="s">
        <v>740</v>
      </c>
      <c r="B3" s="1811"/>
      <c r="C3" s="1811"/>
      <c r="D3" s="1811"/>
      <c r="E3" s="1811"/>
      <c r="F3" s="1811"/>
      <c r="G3" s="1811"/>
      <c r="H3" s="1811"/>
      <c r="I3" s="1811"/>
      <c r="J3" s="1811"/>
      <c r="K3" s="1811"/>
      <c r="L3" s="1811"/>
      <c r="M3" s="1811"/>
      <c r="N3" s="1811"/>
      <c r="O3" s="1811"/>
      <c r="P3" s="1811"/>
      <c r="Q3" s="1811"/>
      <c r="R3" s="1811"/>
      <c r="S3" s="1811"/>
      <c r="T3" s="1811"/>
      <c r="U3" s="1811"/>
      <c r="V3" s="1811"/>
      <c r="W3" s="1811"/>
      <c r="X3" s="1811"/>
      <c r="Y3" s="1811"/>
      <c r="Z3" s="1811"/>
      <c r="AA3" s="1811"/>
      <c r="AB3" s="1811"/>
      <c r="AC3" s="1811"/>
      <c r="AD3" s="1811"/>
      <c r="AE3" s="1811"/>
      <c r="AF3" s="1811"/>
      <c r="AG3" s="1811"/>
      <c r="AH3" s="1811"/>
      <c r="AI3" s="1811"/>
      <c r="AJ3" s="1811"/>
      <c r="AK3" s="1811"/>
      <c r="AL3" s="1811"/>
      <c r="AM3" s="1811"/>
      <c r="AN3" s="1811"/>
      <c r="AO3" s="1811"/>
      <c r="AP3" s="1811"/>
      <c r="AQ3" s="1811"/>
      <c r="AR3" s="1811"/>
      <c r="AS3" s="1811"/>
      <c r="AT3" s="1811"/>
      <c r="AU3" s="1811"/>
      <c r="AV3" s="1811"/>
      <c r="AW3" s="1811"/>
      <c r="AX3" s="1811"/>
      <c r="AY3" s="1811"/>
      <c r="AZ3" s="1811"/>
      <c r="BA3" s="1811"/>
      <c r="BB3" s="1811"/>
      <c r="BC3" s="1811"/>
      <c r="BD3" s="1811"/>
      <c r="BE3" s="1811"/>
      <c r="BF3" s="1811"/>
      <c r="BG3" s="1811"/>
      <c r="BH3" s="1811"/>
      <c r="BI3" s="1811"/>
      <c r="BJ3" s="1811"/>
      <c r="BK3" s="1811"/>
      <c r="BL3" s="1811"/>
      <c r="BM3" s="1811"/>
      <c r="BN3" s="1811"/>
      <c r="BO3" s="1811"/>
      <c r="BP3" s="1811"/>
      <c r="BQ3" s="1811"/>
      <c r="BR3" s="1811"/>
      <c r="BS3" s="1811"/>
      <c r="BT3" s="1811"/>
      <c r="BU3" s="1811"/>
      <c r="BV3" s="1811"/>
      <c r="BW3" s="1811"/>
      <c r="BX3" s="1811"/>
      <c r="BY3" s="1811"/>
      <c r="BZ3" s="1811"/>
      <c r="CA3" s="1811"/>
      <c r="CB3" s="1811"/>
      <c r="CC3" s="1811"/>
      <c r="CD3" s="1811"/>
      <c r="CE3" s="1811"/>
      <c r="CF3" s="1811"/>
      <c r="CG3" s="1811"/>
      <c r="CH3" s="1811"/>
      <c r="CI3" s="1811"/>
      <c r="CJ3" s="1811"/>
      <c r="CK3" s="1811"/>
      <c r="CL3" s="1811"/>
      <c r="CM3" s="1811"/>
      <c r="CN3" s="1811"/>
      <c r="CO3" s="1811"/>
      <c r="CP3" s="1811"/>
      <c r="CQ3" s="1811"/>
      <c r="CR3" s="1811"/>
      <c r="CS3" s="1811"/>
      <c r="CT3" s="1811"/>
      <c r="CU3" s="1811"/>
      <c r="CV3" s="1811"/>
      <c r="CW3" s="1811"/>
      <c r="CX3" s="1811"/>
      <c r="CY3" s="1811"/>
      <c r="CZ3" s="1811"/>
      <c r="DA3" s="1811"/>
      <c r="DB3" s="1811"/>
      <c r="DC3" s="1811"/>
      <c r="DD3" s="1811"/>
      <c r="DE3" s="1811"/>
      <c r="DF3" s="1811"/>
      <c r="DG3" s="1811"/>
      <c r="DH3" s="1811"/>
      <c r="DI3" s="1811"/>
      <c r="DJ3" s="1811"/>
      <c r="DK3" s="1811"/>
      <c r="DL3" s="1811"/>
      <c r="DM3" s="1811"/>
      <c r="DN3" s="1811"/>
      <c r="DO3" s="1811"/>
      <c r="DP3" s="1811"/>
      <c r="DQ3" s="1811"/>
      <c r="DR3" s="1811" t="s">
        <v>741</v>
      </c>
      <c r="DS3" s="1811"/>
      <c r="DT3" s="1811"/>
      <c r="DU3" s="1811"/>
      <c r="DV3" s="1811"/>
      <c r="DW3" s="1811"/>
      <c r="DX3" s="1811"/>
      <c r="DY3" s="1811"/>
      <c r="DZ3" s="1811"/>
      <c r="EA3" s="1811"/>
      <c r="EB3" s="1811"/>
      <c r="EC3" s="1811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2016-06-03T14:27:16Z</dcterms:modified>
  <cp:category/>
</cp:coreProperties>
</file>