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H83" i="1"/>
  <c r="B80" i="1"/>
  <c r="B82" i="1"/>
  <c r="B83" i="1"/>
  <c r="I83" i="1"/>
  <c r="B70" i="1"/>
  <c r="B29" i="1"/>
  <c r="C29" i="1"/>
  <c r="D29" i="1"/>
  <c r="R24" i="1"/>
  <c r="E39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1" i="1"/>
  <c r="B72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<sst xmlns="http://schemas.openxmlformats.org/spreadsheetml/2006/main" count="790" uniqueCount="145">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</sst>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0.0338186496371625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0.36257824346787</c:v>
                </c:pt>
                <c:pt idx="2" formatCode="0.0%">
                  <c:v>0.430271852820058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2168"/>
        <c:axId val="-2073348872"/>
      </c:barChart>
      <c:catAx>
        <c:axId val="-20733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3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0.00776631132531293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94744"/>
        <c:axId val="-2074001160"/>
      </c:barChart>
      <c:catAx>
        <c:axId val="-20739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00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00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9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0.242035151682897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0.00535213179983236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0.057372555545335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0.103270599981603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0.0011474511109067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489176"/>
        <c:axId val="-2083204760"/>
      </c:barChart>
      <c:catAx>
        <c:axId val="-20744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20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20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48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409336"/>
        <c:axId val="-2074371688"/>
      </c:barChart>
      <c:catAx>
        <c:axId val="-208340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37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37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40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6375.559481743178</c:v>
                </c:pt>
                <c:pt idx="7">
                  <c:v>9108.770330435273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26921.92093730477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10209.81403703463</c:v>
                </c:pt>
                <c:pt idx="7">
                  <c:v>31831.81654028974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999.0</c:v>
                </c:pt>
                <c:pt idx="5">
                  <c:v>1649.411513568422</c:v>
                </c:pt>
                <c:pt idx="6">
                  <c:v>398.5275262687139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166456"/>
        <c:axId val="-20741674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66456"/>
        <c:axId val="-2074167448"/>
      </c:lineChart>
      <c:catAx>
        <c:axId val="-207416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6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16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6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351592"/>
        <c:axId val="-20743565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51592"/>
        <c:axId val="-2074356536"/>
      </c:lineChart>
      <c:catAx>
        <c:axId val="-207435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35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35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35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588104"/>
        <c:axId val="-20746103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88104"/>
        <c:axId val="-2074610312"/>
      </c:lineChart>
      <c:catAx>
        <c:axId val="-207458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61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61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8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0.489786308621082</c:v>
                </c:pt>
                <c:pt idx="2">
                  <c:v>0.484400312211746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0.252099684229826</c:v>
                </c:pt>
                <c:pt idx="2">
                  <c:v>0.299166870001484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-0.343582493499749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06872"/>
        <c:axId val="-2074838936"/>
      </c:barChart>
      <c:catAx>
        <c:axId val="-207480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3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3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0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0.040429271162725</c:v>
                </c:pt>
                <c:pt idx="2">
                  <c:v>0.0687626133841499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931560"/>
        <c:axId val="-2074935000"/>
      </c:barChart>
      <c:catAx>
        <c:axId val="-207493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3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3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3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0.347784775839078</c:v>
                </c:pt>
                <c:pt idx="2">
                  <c:v>0.392892674196015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010472"/>
        <c:axId val="-2075011496"/>
      </c:barChart>
      <c:catAx>
        <c:axId val="-20750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01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1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01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0.29886933467745</c:v>
                </c:pt>
                <c:pt idx="2">
                  <c:v>0.28705000162553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0.254102924321847</c:v>
                </c:pt>
                <c:pt idx="2">
                  <c:v>0.28705000162553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712920"/>
        <c:axId val="-2079358296"/>
      </c:barChart>
      <c:catAx>
        <c:axId val="-20797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35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3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7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0.021921920441557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0.0147005819431617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0.000598107704809639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0.211579078295465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0.415955152888707</c:v>
                </c:pt>
                <c:pt idx="2" formatCode="0.0%">
                  <c:v>0.311737015877132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43080"/>
        <c:axId val="-2073547032"/>
      </c:barChart>
      <c:catAx>
        <c:axId val="-20735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54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5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54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858072"/>
        <c:axId val="-20799256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58072"/>
        <c:axId val="-20799256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8072"/>
        <c:axId val="-2079925608"/>
      </c:scatterChart>
      <c:catAx>
        <c:axId val="-207985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925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992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858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692040"/>
        <c:axId val="-20750831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92040"/>
        <c:axId val="-2075083160"/>
      </c:lineChart>
      <c:catAx>
        <c:axId val="-202469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083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083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69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14728"/>
        <c:axId val="-20796808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788632"/>
        <c:axId val="-2079974696"/>
      </c:scatterChart>
      <c:valAx>
        <c:axId val="-20802147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680888"/>
        <c:crosses val="autoZero"/>
        <c:crossBetween val="midCat"/>
      </c:valAx>
      <c:valAx>
        <c:axId val="-2079680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214728"/>
        <c:crosses val="autoZero"/>
        <c:crossBetween val="midCat"/>
      </c:valAx>
      <c:valAx>
        <c:axId val="-20797886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9974696"/>
        <c:crosses val="autoZero"/>
        <c:crossBetween val="midCat"/>
      </c:valAx>
      <c:valAx>
        <c:axId val="-207997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7886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86936"/>
        <c:axId val="-20793960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6936"/>
        <c:axId val="-2079396024"/>
      </c:lineChart>
      <c:catAx>
        <c:axId val="-207938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96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939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86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0.201549251832152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0.0196710936756023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0.00304926618984635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0.0043541014913778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0.0335528240957249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0.000544367352585508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0.225122206296769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0.309640086640946</c:v>
                </c:pt>
                <c:pt idx="2" formatCode="0.0%">
                  <c:v>0.125558501866155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83864"/>
        <c:axId val="-2073689784"/>
      </c:barChart>
      <c:catAx>
        <c:axId val="-207368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8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8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8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0.277562595943476</c:v>
                </c:pt>
                <c:pt idx="2" formatCode="0.0%">
                  <c:v>0.313551462775948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49656"/>
        <c:axId val="-2073853912"/>
      </c:barChart>
      <c:catAx>
        <c:axId val="-207384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5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4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0.0497490469909787</c:v>
                </c:pt>
                <c:pt idx="1">
                  <c:v>0.463998970025215</c:v>
                </c:pt>
                <c:pt idx="2">
                  <c:v>0.401762704645498</c:v>
                </c:pt>
                <c:pt idx="3">
                  <c:v>0.805576689618539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919464"/>
        <c:axId val="-2082916152"/>
      </c:barChart>
      <c:catAx>
        <c:axId val="-2082919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1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91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0.557005914756721</c:v>
                </c:pt>
                <c:pt idx="2">
                  <c:v>0.280906252189099</c:v>
                </c:pt>
                <c:pt idx="3">
                  <c:v>0.280906252189099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91224"/>
        <c:axId val="-2073907144"/>
      </c:barChart>
      <c:catAx>
        <c:axId val="-2073891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0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9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9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0.0682646407845803</c:v>
                </c:pt>
                <c:pt idx="1">
                  <c:v>0.0293158386674745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0.0792849075180086</c:v>
                </c:pt>
                <c:pt idx="1">
                  <c:v>0.0340484258153247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0.320715641341565</c:v>
                </c:pt>
                <c:pt idx="1">
                  <c:v>0.137729399754326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0.137390505237686</c:v>
                </c:pt>
                <c:pt idx="1">
                  <c:v>0.0590015246502343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0.0587507467833727</c:v>
                </c:pt>
                <c:pt idx="3">
                  <c:v>0.0289369349828552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0.00119621540961928</c:v>
                </c:pt>
                <c:pt idx="3">
                  <c:v>0.00119621540961928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0.211579078295465</c:v>
                </c:pt>
                <c:pt idx="1">
                  <c:v>0.211579078295465</c:v>
                </c:pt>
                <c:pt idx="2">
                  <c:v>0.211579078295465</c:v>
                </c:pt>
                <c:pt idx="3">
                  <c:v>0.211579078295465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0.309184654327121</c:v>
                </c:pt>
                <c:pt idx="2">
                  <c:v>0.52855015933891</c:v>
                </c:pt>
                <c:pt idx="3">
                  <c:v>0.468015577615143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017064"/>
        <c:axId val="-2083019304"/>
      </c:barChart>
      <c:catAx>
        <c:axId val="-2083017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9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01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0.0490426436966109</c:v>
                </c:pt>
                <c:pt idx="1">
                  <c:v>0.048624033994903</c:v>
                </c:pt>
                <c:pt idx="2">
                  <c:v>0.0225799910507028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0.0462230375589982</c:v>
                </c:pt>
                <c:pt idx="1">
                  <c:v>0.0458284949628791</c:v>
                </c:pt>
                <c:pt idx="2">
                  <c:v>0.021281800811456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0.32880771661502</c:v>
                </c:pt>
                <c:pt idx="1">
                  <c:v>0.326001136671594</c:v>
                </c:pt>
                <c:pt idx="2">
                  <c:v>0.151388154041994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0.115341918443541</c:v>
                </c:pt>
                <c:pt idx="1">
                  <c:v>0.114357402878419</c:v>
                </c:pt>
                <c:pt idx="2">
                  <c:v>0.0531052017166448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0.0527185310506142</c:v>
                </c:pt>
                <c:pt idx="3">
                  <c:v>0.025965843651795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0.0121970647593854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0.0174164059655112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0.00108873470517102</c:v>
                </c:pt>
                <c:pt idx="3">
                  <c:v>0.00108873470517102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0.225122206296769</c:v>
                </c:pt>
                <c:pt idx="1">
                  <c:v>0.225122206296769</c:v>
                </c:pt>
                <c:pt idx="2">
                  <c:v>0.225122206296769</c:v>
                </c:pt>
                <c:pt idx="3">
                  <c:v>0.225122206296769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0.19932988074305</c:v>
                </c:pt>
                <c:pt idx="3">
                  <c:v>0.302904126721571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30136"/>
        <c:axId val="-2083140536"/>
      </c:barChart>
      <c:catAx>
        <c:axId val="-208313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4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4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3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25144"/>
        <c:axId val="-2083322152"/>
      </c:barChart>
      <c:catAx>
        <c:axId val="-20833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2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2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2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showRuler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999</v>
      </c>
      <c r="T12" s="223">
        <f>IF($B$81=0,0,(SUMIF($N$6:$N$28,$U12,M$6:M$28)+SUMIF($N$91:$N$118,$U12,M$91:M$118))*$I$83*Poor!$B$81/$B$81)</f>
        <v>999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42780.454421677787</v>
      </c>
      <c r="T23" s="179">
        <f>SUM(T7:T22)</f>
        <v>42741.361913610323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0.31355146277594825</v>
      </c>
      <c r="J30" s="232">
        <f>IF(I$32&lt;=1,I30,1-SUM(J6:J29))</f>
        <v>0.31355146277594825</v>
      </c>
      <c r="K30" s="22">
        <f t="shared" si="4"/>
        <v>0.57640191780821914</v>
      </c>
      <c r="L30" s="22">
        <f>IF(L124=L119,0,IF(K30="",0,(L119-L124)/(B119-B124)*K30))</f>
        <v>0.27756259594347615</v>
      </c>
      <c r="M30" s="175">
        <f t="shared" si="6"/>
        <v>0.31355146277594825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4102.5975480455818</v>
      </c>
      <c r="T30" s="235">
        <f t="shared" si="24"/>
        <v>4141.690056113046</v>
      </c>
      <c r="U30" s="56"/>
      <c r="V30" s="56"/>
      <c r="W30" s="110"/>
      <c r="X30" s="118"/>
      <c r="Y30" s="183">
        <f>M30*4</f>
        <v>1.254205851103793</v>
      </c>
      <c r="Z30" s="122">
        <f>IF($Y30=0,0,AA30/($Y$30))</f>
        <v>0.10794673924517412</v>
      </c>
      <c r="AA30" s="187">
        <f>IF(AA79*4/$I$83+SUM(AA6:AA29)&lt;1,AA79*4/$I$83,1-SUM(AA6:AA29))</f>
        <v>0.13538743196887282</v>
      </c>
      <c r="AB30" s="122">
        <f>IF($Y30=0,0,AC30/($Y$30))</f>
        <v>0.44411044189158855</v>
      </c>
      <c r="AC30" s="187">
        <f>IF(AC79*4/$I$83+SUM(AC6:AC29)&lt;1,AC79*4/$I$83,1-SUM(AC6:AC29))</f>
        <v>0.55700591475672145</v>
      </c>
      <c r="AD30" s="122">
        <f>IF($Y30=0,0,AE30/($Y$30))</f>
        <v>0.22397140943161861</v>
      </c>
      <c r="AE30" s="187">
        <f>IF(AE79*4/$I$83+SUM(AE6:AE29)&lt;1,AE79*4/$I$83,1-SUM(AE6:AE29))</f>
        <v>0.28090625218909931</v>
      </c>
      <c r="AF30" s="122">
        <f>IF($Y30=0,0,AG30/($Y$30))</f>
        <v>0.22397140943161861</v>
      </c>
      <c r="AG30" s="187">
        <f>IF(AG79*4/$I$83+SUM(AG6:AG29)&lt;1,AG79*4/$I$83,1-SUM(AG6:AG29))</f>
        <v>0.28090625218909931</v>
      </c>
      <c r="AH30" s="123">
        <f t="shared" si="12"/>
        <v>1</v>
      </c>
      <c r="AI30" s="183">
        <f t="shared" si="13"/>
        <v>0.3135514627759482</v>
      </c>
      <c r="AJ30" s="120">
        <f t="shared" si="14"/>
        <v>0.34619667336279714</v>
      </c>
      <c r="AK30" s="119">
        <f t="shared" si="15"/>
        <v>0.28090625218909931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0.15277553001951238</v>
      </c>
      <c r="K31" s="22" t="str">
        <f t="shared" si="4"/>
        <v/>
      </c>
      <c r="L31" s="22">
        <f>(1-SUM(L6:L30))</f>
        <v>0.18557653928713225</v>
      </c>
      <c r="M31" s="242">
        <f t="shared" si="6"/>
        <v>0.15277553001951238</v>
      </c>
      <c r="N31" s="167">
        <f>M31*I83</f>
        <v>3313.3520448904369</v>
      </c>
      <c r="P31" s="22"/>
      <c r="Q31" s="239" t="s">
        <v>142</v>
      </c>
      <c r="R31" s="235">
        <f t="shared" si="24"/>
        <v>15216.436490938868</v>
      </c>
      <c r="S31" s="235">
        <f t="shared" si="24"/>
        <v>24721.130881378922</v>
      </c>
      <c r="T31" s="235">
        <f>IF(T25&gt;T$23,T25-T$23,0)</f>
        <v>24760.223389446386</v>
      </c>
      <c r="U31" s="243"/>
      <c r="V31" s="56"/>
      <c r="W31" s="129" t="s">
        <v>84</v>
      </c>
      <c r="X31" s="130"/>
      <c r="Y31" s="121">
        <f>M31*4</f>
        <v>0.61110212007804954</v>
      </c>
      <c r="Z31" s="131"/>
      <c r="AA31" s="132">
        <f>1-AA32+IF($Y32&lt;0,$Y32/4,0)</f>
        <v>0</v>
      </c>
      <c r="AB31" s="131"/>
      <c r="AC31" s="133">
        <f>1-AC32+IF($Y32&lt;0,$Y32/4,0)</f>
        <v>4.2295815292267669E-2</v>
      </c>
      <c r="AD31" s="134"/>
      <c r="AE31" s="133">
        <f>1-AE32+IF($Y32&lt;0,$Y32/4,0)</f>
        <v>0.27495499937296575</v>
      </c>
      <c r="AF31" s="134"/>
      <c r="AG31" s="133">
        <f>1-AG32+IF($Y32&lt;0,$Y32/4,0)</f>
        <v>0.31733461799064955</v>
      </c>
      <c r="AH31" s="123"/>
      <c r="AI31" s="182">
        <f>SUM(AA31,AC31,AE31,AG31)/4</f>
        <v>0.15864635816397074</v>
      </c>
      <c r="AJ31" s="135">
        <f t="shared" si="14"/>
        <v>2.1147907646133834E-2</v>
      </c>
      <c r="AK31" s="136">
        <f t="shared" si="15"/>
        <v>0.29614480868180765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0.84722446998048762</v>
      </c>
      <c r="J32" s="17"/>
      <c r="L32" s="22">
        <f>SUM(L6:L30)</f>
        <v>0.81442346071286775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65643.530881378916</v>
      </c>
      <c r="T32" s="235">
        <f t="shared" si="24"/>
        <v>65682.62338944638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0.95770418470773233</v>
      </c>
      <c r="AD32" s="137"/>
      <c r="AE32" s="139">
        <f>SUM(AE6:AE30)</f>
        <v>0.72504500062703425</v>
      </c>
      <c r="AF32" s="137"/>
      <c r="AG32" s="139">
        <f>SUM(AG6:AG30)</f>
        <v>0.68266538200935045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5.6576472319200137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3.1658927817644573E-2</v>
      </c>
      <c r="L38" s="22">
        <f t="shared" ref="L38:L64" si="34">(K38*H38)</f>
        <v>2.9886027859856477E-2</v>
      </c>
      <c r="M38" s="24">
        <f t="shared" ref="M38:M64" si="35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707.99999999999989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1.1819333051920643E-2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799.2</v>
      </c>
      <c r="J44" s="38">
        <f t="shared" si="32"/>
        <v>799.2</v>
      </c>
      <c r="K44" s="40">
        <f t="shared" si="33"/>
        <v>3.0392570704938792E-2</v>
      </c>
      <c r="L44" s="22">
        <f t="shared" si="34"/>
        <v>3.3735753482482062E-2</v>
      </c>
      <c r="M44" s="24">
        <f t="shared" si="35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199.8</v>
      </c>
      <c r="AB44" s="156">
        <f>Poor!AB44</f>
        <v>0.25</v>
      </c>
      <c r="AC44" s="147">
        <f t="shared" si="41"/>
        <v>199.8</v>
      </c>
      <c r="AD44" s="156">
        <f>Poor!AD44</f>
        <v>0.25</v>
      </c>
      <c r="AE44" s="147">
        <f t="shared" si="42"/>
        <v>199.8</v>
      </c>
      <c r="AF44" s="122">
        <f t="shared" si="29"/>
        <v>0.25</v>
      </c>
      <c r="AG44" s="147">
        <f t="shared" si="36"/>
        <v>199.8</v>
      </c>
      <c r="AH44" s="123">
        <f t="shared" si="37"/>
        <v>1</v>
      </c>
      <c r="AI44" s="112">
        <f t="shared" si="37"/>
        <v>799.2</v>
      </c>
      <c r="AJ44" s="148">
        <f t="shared" si="38"/>
        <v>399.6</v>
      </c>
      <c r="AK44" s="147">
        <f t="shared" si="39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0.92950612072604477</v>
      </c>
      <c r="L47" s="22">
        <f t="shared" si="34"/>
        <v>1.0968172224567327</v>
      </c>
      <c r="M47" s="24">
        <f t="shared" si="35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27490.799999999999</v>
      </c>
      <c r="J65" s="39">
        <f>SUM(J37:J64)</f>
        <v>27490.800000000003</v>
      </c>
      <c r="K65" s="40">
        <f>SUM(K37:K64)</f>
        <v>1</v>
      </c>
      <c r="L65" s="22">
        <f>SUM(L37:L64)</f>
        <v>1.172258336850992</v>
      </c>
      <c r="M65" s="24">
        <f>SUM(M37:M64)</f>
        <v>1.1604390037990715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6695.7000000000007</v>
      </c>
      <c r="AB65" s="137"/>
      <c r="AC65" s="153">
        <f>SUM(AC37:AC64)</f>
        <v>7403.7000000000007</v>
      </c>
      <c r="AD65" s="137"/>
      <c r="AE65" s="153">
        <f>SUM(AE37:AE64)</f>
        <v>6695.7000000000007</v>
      </c>
      <c r="AF65" s="137"/>
      <c r="AG65" s="153">
        <f>SUM(AG37:AG64)</f>
        <v>6695.7000000000007</v>
      </c>
      <c r="AH65" s="137"/>
      <c r="AI65" s="153">
        <f>SUM(AI37:AI64)</f>
        <v>27490.800000000003</v>
      </c>
      <c r="AJ65" s="153">
        <f>SUM(AJ37:AJ64)</f>
        <v>14099.400000000001</v>
      </c>
      <c r="AK65" s="153">
        <f>SUM(AK37:AK64)</f>
        <v>13391.400000000001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4">J124*I$83</f>
        <v>20690.585461491202</v>
      </c>
      <c r="K70" s="40">
        <f>B70/B$76</f>
        <v>0.62384928726681554</v>
      </c>
      <c r="L70" s="22">
        <f t="shared" ref="L70:L74" si="45">(L124*G$37*F$9/F$7)/B$130</f>
        <v>0.87338900217354165</v>
      </c>
      <c r="M70" s="24">
        <f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6800.2145385088006</v>
      </c>
      <c r="J71" s="51">
        <f t="shared" si="44"/>
        <v>6800.2145385088006</v>
      </c>
      <c r="K71" s="40">
        <f t="shared" ref="K71:K72" si="47">B71/B$76</f>
        <v>0.59006613198255242</v>
      </c>
      <c r="L71" s="22">
        <f t="shared" si="45"/>
        <v>0.29886933467745036</v>
      </c>
      <c r="M71" s="24">
        <f t="shared" ref="M71:M72" si="48">J71/B$76</f>
        <v>0.28705000162552979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6800.2145385088006</v>
      </c>
      <c r="J74" s="51">
        <f t="shared" si="44"/>
        <v>6800.2145385088006</v>
      </c>
      <c r="K74" s="40">
        <f>B74/B$76</f>
        <v>0.31980864210911175</v>
      </c>
      <c r="L74" s="22">
        <f t="shared" si="45"/>
        <v>0.25410292432184667</v>
      </c>
      <c r="M74" s="24">
        <f>J74/B$76</f>
        <v>0.28705000162552979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3020.0462836547485</v>
      </c>
      <c r="AD74" s="156"/>
      <c r="AE74" s="147">
        <f>AE30*$I$83/4</f>
        <v>1523.0536346272002</v>
      </c>
      <c r="AF74" s="156"/>
      <c r="AG74" s="147">
        <f>AG30*$I$83/4</f>
        <v>1523.0536346272002</v>
      </c>
      <c r="AH74" s="155"/>
      <c r="AI74" s="147">
        <f>SUM(AA74,AC74,AE74,AG74)</f>
        <v>6800.2145385088006</v>
      </c>
      <c r="AJ74" s="148">
        <f>(AA74+AC74)</f>
        <v>3754.1072692544003</v>
      </c>
      <c r="AK74" s="147">
        <f>(AE74+AG74)</f>
        <v>3046.1072692544003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788.99264902754862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27490.800000000003</v>
      </c>
      <c r="J76" s="51">
        <f t="shared" si="44"/>
        <v>27490.800000000003</v>
      </c>
      <c r="K76" s="40">
        <f>SUM(K70:K75)</f>
        <v>2.7048511191887878</v>
      </c>
      <c r="L76" s="22">
        <f>SUM(L70:L75)</f>
        <v>1.4263612611728387</v>
      </c>
      <c r="M76" s="24">
        <f>SUM(M70:M75)</f>
        <v>1.4474890054246012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6695.7000000000007</v>
      </c>
      <c r="AB76" s="137"/>
      <c r="AC76" s="153">
        <f>AC65</f>
        <v>7403.7000000000007</v>
      </c>
      <c r="AD76" s="137"/>
      <c r="AE76" s="153">
        <f>AE65</f>
        <v>6695.7000000000007</v>
      </c>
      <c r="AF76" s="137"/>
      <c r="AG76" s="153">
        <f>AG65</f>
        <v>6695.7000000000007</v>
      </c>
      <c r="AH76" s="137"/>
      <c r="AI76" s="153">
        <f>SUM(AA76,AC76,AE76,AG76)</f>
        <v>27490.800000000003</v>
      </c>
      <c r="AJ76" s="154">
        <f>SUM(AA76,AC76)</f>
        <v>14099.400000000001</v>
      </c>
      <c r="AK76" s="154">
        <f>SUM(AE76,AG76)</f>
        <v>13391.400000000001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44"/>
        <v>16494.826666666671</v>
      </c>
      <c r="K77" s="40"/>
      <c r="L77" s="22">
        <f>-(L131*G$37*F$9/F$7)/B$130</f>
        <v>-0.69627803573941205</v>
      </c>
      <c r="M77" s="24">
        <f>-J77/B$76</f>
        <v>-0.69627803573941205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229.3248893835364</v>
      </c>
      <c r="AD77" s="112"/>
      <c r="AE77" s="111">
        <f>AE31*$I$83/4</f>
        <v>1490.7863669478184</v>
      </c>
      <c r="AF77" s="112"/>
      <c r="AG77" s="111">
        <f>AG31*$I$83/4</f>
        <v>1720.5656319758061</v>
      </c>
      <c r="AH77" s="110"/>
      <c r="AI77" s="154">
        <f>SUM(AA77,AC77,AE77,AG77)</f>
        <v>3440.6768883071609</v>
      </c>
      <c r="AJ77" s="153">
        <f>SUM(AA77,AC77)</f>
        <v>229.3248893835364</v>
      </c>
      <c r="AK77" s="160">
        <f>SUM(AE77,AG77)</f>
        <v>3211.3519989236247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788.99264902754862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1523.0536346272002</v>
      </c>
      <c r="AB79" s="112"/>
      <c r="AC79" s="112">
        <f>AA79-AA74+AC65-AC70</f>
        <v>3020.0462836547485</v>
      </c>
      <c r="AD79" s="112"/>
      <c r="AE79" s="112">
        <f>AC79-AC74+AE65-AE70</f>
        <v>1523.0536346272002</v>
      </c>
      <c r="AF79" s="112"/>
      <c r="AG79" s="112">
        <f>AE79-AE74+AG65-AG70</f>
        <v>1523.0536346272002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0.67272727272727284</v>
      </c>
      <c r="I98" s="22">
        <f t="shared" si="54"/>
        <v>3.6850356357358262E-2</v>
      </c>
      <c r="J98" s="24">
        <f t="shared" si="55"/>
        <v>3.6850356357358262E-2</v>
      </c>
      <c r="K98" s="22">
        <f t="shared" si="56"/>
        <v>5.4777556747424433E-2</v>
      </c>
      <c r="L98" s="22">
        <f t="shared" si="57"/>
        <v>3.6850356357358262E-2</v>
      </c>
      <c r="M98" s="229">
        <f t="shared" si="49"/>
        <v>3.6850356357358262E-2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1.2675747954815622</v>
      </c>
      <c r="J119" s="24">
        <f>SUM(J91:J118)</f>
        <v>1.2675747954815622</v>
      </c>
      <c r="K119" s="22">
        <f>SUM(K91:K118)</f>
        <v>1.8023337768701178</v>
      </c>
      <c r="L119" s="22">
        <f>SUM(L91:L118)</f>
        <v>1.2804853307418977</v>
      </c>
      <c r="M119" s="57">
        <f t="shared" si="49"/>
        <v>1.2675747954815622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66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0.31355146277594825</v>
      </c>
      <c r="J125" s="238">
        <f>IF(SUMPRODUCT($B$124:$B125,$H$124:$H125)&lt;J$119,($B125*$H125),IF(SUMPRODUCT($B$124:$B124,$H$124:$H124)&lt;J$119,J$119-SUMPRODUCT($B$124:$B124,$H$124:$H124),0))</f>
        <v>0.31355146277594825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0.32646199803628384</v>
      </c>
      <c r="M125" s="241">
        <f t="shared" si="66"/>
        <v>0.31355146277594825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0.31355146277594825</v>
      </c>
      <c r="J128" s="229">
        <f>(J30)</f>
        <v>0.31355146277594825</v>
      </c>
      <c r="K128" s="29">
        <f>(B128)</f>
        <v>0.57640191780821914</v>
      </c>
      <c r="L128" s="29">
        <f>IF(L124=L119,0,(L119-L124)/(B119-B124)*K128)</f>
        <v>0.27756259594347615</v>
      </c>
      <c r="M128" s="241">
        <f t="shared" si="66"/>
        <v>0.31355146277594825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1.2675747954815622</v>
      </c>
      <c r="J130" s="229">
        <f>(J119)</f>
        <v>1.2675747954815622</v>
      </c>
      <c r="K130" s="29">
        <f>(B130)</f>
        <v>1.8023337768701178</v>
      </c>
      <c r="L130" s="29">
        <f>(L119)</f>
        <v>1.2804853307418977</v>
      </c>
      <c r="M130" s="241">
        <f t="shared" si="66"/>
        <v>1.2675747954815622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0.76056086176116455</v>
      </c>
      <c r="K131" s="29"/>
      <c r="L131" s="29">
        <f>IF(I131&lt;SUM(L126:L127),0,I131-(SUM(L126:L127)))</f>
        <v>0.76056086176116455</v>
      </c>
      <c r="M131" s="238">
        <f>IF(I131&lt;SUM(M126:M127),0,I131-(SUM(M126:M127)))</f>
        <v>0.76056086176116455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showRuler="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1649.4115135684224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3.3818649637162516E-2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3.3818649637162516E-2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0.13527459854865007</v>
      </c>
      <c r="Z18" s="116">
        <v>1.2941</v>
      </c>
      <c r="AA18" s="121">
        <f t="shared" ref="AA18:AA20" si="25">$M18*Z18*4</f>
        <v>0.17505885798180806</v>
      </c>
      <c r="AB18" s="116">
        <v>1.1765000000000001</v>
      </c>
      <c r="AC18" s="121">
        <f t="shared" ref="AC18:AC20" si="26">$M18*AB18*4</f>
        <v>0.15915056519248683</v>
      </c>
      <c r="AD18" s="116">
        <v>1.2353000000000001</v>
      </c>
      <c r="AE18" s="121">
        <f t="shared" ref="AE18:AE20" si="27">$M18*AD18*4</f>
        <v>0.16710471158714743</v>
      </c>
      <c r="AF18" s="122">
        <f t="shared" ref="AF18:AF20" si="28">1-SUM(Z18,AB18,AD18)</f>
        <v>-2.7059000000000002</v>
      </c>
      <c r="AG18" s="121">
        <f t="shared" ref="AG18:AG20" si="29">$M18*AF18*4</f>
        <v>-0.36603953621279223</v>
      </c>
      <c r="AH18" s="123">
        <f t="shared" ref="AH18:AH20" si="30">SUM(Z18,AB18,AD18,AF18)</f>
        <v>1</v>
      </c>
      <c r="AI18" s="183">
        <f t="shared" ref="AI18:AI20" si="31">SUM(AA18,AC18,AE18,AG18)/4</f>
        <v>3.3818649637162537E-2</v>
      </c>
      <c r="AJ18" s="120">
        <f t="shared" ref="AJ18:AJ20" si="32">(AA18+AC18)/2</f>
        <v>0.16710471158714746</v>
      </c>
      <c r="AK18" s="119">
        <f t="shared" ref="AK18:AK20" si="33">(AE18+AG18)/2</f>
        <v>-9.9467412312822398E-2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54143.861249801557</v>
      </c>
      <c r="T23" s="179">
        <f>SUM(T7:T22)</f>
        <v>54105.303881501502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0.69668081843731089</v>
      </c>
      <c r="J30" s="232">
        <f>IF(I$32&lt;=1,I30,1-SUM(J6:J29))</f>
        <v>0.43027185282005764</v>
      </c>
      <c r="K30" s="22">
        <f t="shared" si="4"/>
        <v>0.64272333250311331</v>
      </c>
      <c r="L30" s="22">
        <f>IF(L124=L119,0,IF(K30="",0,(L119-L124)/(B119-B124)*K30))</f>
        <v>0.36257824346786982</v>
      </c>
      <c r="M30" s="175">
        <f t="shared" si="6"/>
        <v>0.43027185282005764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1.7210874112802306</v>
      </c>
      <c r="Z30" s="122">
        <f>IF($Y30=0,0,AA30/($Y$30))</f>
        <v>2.890558995720786E-2</v>
      </c>
      <c r="AA30" s="187">
        <f>IF(AA79*4/$I$83+SUM(AA6:AA29)&lt;1,AA79*4/$I$83,1-SUM(AA6:AA29))</f>
        <v>4.9749046990978707E-2</v>
      </c>
      <c r="AB30" s="122">
        <f>IF($Y30=0,0,AC30/($Y$30))</f>
        <v>0.26959639991792705</v>
      </c>
      <c r="AC30" s="187">
        <f>IF(AC79*4/$I$83+SUM(AC6:AC29)&lt;1,AC79*4/$I$83,1-SUM(AC6:AC29))</f>
        <v>0.46399897002521484</v>
      </c>
      <c r="AD30" s="122">
        <f>IF($Y30=0,0,AE30/($Y$30))</f>
        <v>0.23343538626352917</v>
      </c>
      <c r="AE30" s="187">
        <f>IF(AE79*4/$I$83+SUM(AE6:AE29)&lt;1,AE79*4/$I$83,1-SUM(AE6:AE29))</f>
        <v>0.40176270464549813</v>
      </c>
      <c r="AF30" s="122">
        <f>IF($Y30=0,0,AG30/($Y$30))</f>
        <v>0.46806262386133585</v>
      </c>
      <c r="AG30" s="187">
        <f>IF(AG79*4/$I$83+SUM(AG6:AG29)&lt;1,AG79*4/$I$83,1-SUM(AG6:AG29))</f>
        <v>0.80557668961853879</v>
      </c>
      <c r="AH30" s="123">
        <f t="shared" si="12"/>
        <v>1</v>
      </c>
      <c r="AI30" s="183">
        <f t="shared" si="13"/>
        <v>0.43027185282005764</v>
      </c>
      <c r="AJ30" s="120">
        <f t="shared" si="14"/>
        <v>0.25687400850809677</v>
      </c>
      <c r="AK30" s="119">
        <f t="shared" si="15"/>
        <v>0.60366969713201846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3.6384517981160713E-2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13357.724053255166</v>
      </c>
      <c r="T31" s="235">
        <f>IF(T25&gt;T$23,T25-T$23,0)</f>
        <v>13396.281421555221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1.2729390083835777</v>
      </c>
      <c r="J32" s="17"/>
      <c r="L32" s="22">
        <f>SUM(L6:L30)</f>
        <v>0.96361548201883929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54280.124053255175</v>
      </c>
      <c r="T32" s="235">
        <f t="shared" si="50"/>
        <v>54318.681421555229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0.19079871275331828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13396.281421555201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3067.9999999999995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0</v>
      </c>
      <c r="AK37" s="147">
        <f>(AE37+AG37)</f>
        <v>3067.9999999999995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708</v>
      </c>
      <c r="AH38" s="123">
        <f t="shared" ref="AH38:AI58" si="61">SUM(Z38,AB38,AD38,AF38)</f>
        <v>1</v>
      </c>
      <c r="AI38" s="112">
        <f t="shared" si="61"/>
        <v>708</v>
      </c>
      <c r="AJ38" s="148">
        <f t="shared" ref="AJ38:AJ64" si="62">(AA38+AC38)</f>
        <v>0</v>
      </c>
      <c r="AK38" s="147">
        <f t="shared" ref="AK38:AK64" si="63">(AE38+AG38)</f>
        <v>708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10243.5</v>
      </c>
      <c r="AD65" s="137"/>
      <c r="AE65" s="153">
        <f>SUM(AE37:AE64)</f>
        <v>10243.5</v>
      </c>
      <c r="AF65" s="137"/>
      <c r="AG65" s="153">
        <f>SUM(AG37:AG64)</f>
        <v>14019.5</v>
      </c>
      <c r="AH65" s="137"/>
      <c r="AI65" s="153">
        <f>SUM(AI37:AI64)</f>
        <v>44750</v>
      </c>
      <c r="AJ65" s="153">
        <f>SUM(AJ37:AJ64)</f>
        <v>20487</v>
      </c>
      <c r="AK65" s="153">
        <f>SUM(AK37:AK64)</f>
        <v>24263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75">J124*I$83</f>
        <v>25863.231826864005</v>
      </c>
      <c r="K70" s="40">
        <f>B70/B$76</f>
        <v>0.47380705358267705</v>
      </c>
      <c r="L70" s="22">
        <f t="shared" ref="L70:L75" si="76">(L124*G$37*F$9/F$7)/B$130</f>
        <v>0.66332987501574781</v>
      </c>
      <c r="M70" s="24">
        <f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18886.768173135995</v>
      </c>
      <c r="J71" s="51">
        <f t="shared" si="75"/>
        <v>18886.768173135995</v>
      </c>
      <c r="K71" s="40">
        <f t="shared" ref="K71:K72" si="78">B71/B$76</f>
        <v>0.44814909805933151</v>
      </c>
      <c r="L71" s="22">
        <f t="shared" si="76"/>
        <v>0.48978630862108213</v>
      </c>
      <c r="M71" s="24">
        <f t="shared" ref="M71:M72" si="79">J71/B$76</f>
        <v>0.48440031221174651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18886.768173135995</v>
      </c>
      <c r="J74" s="51">
        <f t="shared" si="75"/>
        <v>11664.516261357867</v>
      </c>
      <c r="K74" s="40">
        <f>B74/B$76</f>
        <v>0.27083867658373945</v>
      </c>
      <c r="L74" s="22">
        <f t="shared" si="76"/>
        <v>0.25209968422982593</v>
      </c>
      <c r="M74" s="24">
        <f>J74/B$76</f>
        <v>0.29916687000148412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337.16972409999374</v>
      </c>
      <c r="AB74" s="156"/>
      <c r="AC74" s="147">
        <f>AC30*$I$83/4</f>
        <v>3144.7115908461988</v>
      </c>
      <c r="AD74" s="156"/>
      <c r="AE74" s="147">
        <f>AE30*$I$83/4</f>
        <v>2722.9108590472911</v>
      </c>
      <c r="AF74" s="156"/>
      <c r="AG74" s="147">
        <f>AG30*$I$83/4</f>
        <v>5459.7240873643832</v>
      </c>
      <c r="AH74" s="155"/>
      <c r="AI74" s="147">
        <f>SUM(AA74,AC74,AE74,AG74)</f>
        <v>11664.516261357867</v>
      </c>
      <c r="AJ74" s="148">
        <f>(AA74+AC74)</f>
        <v>3481.8813149461926</v>
      </c>
      <c r="AK74" s="147">
        <f>(AE74+AG74)</f>
        <v>8182.6349464116738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5534.4902751036207</v>
      </c>
      <c r="AB75" s="158"/>
      <c r="AC75" s="149">
        <f>AA75+AC65-SUM(AC70,AC74)</f>
        <v>6167.4707275414203</v>
      </c>
      <c r="AD75" s="158"/>
      <c r="AE75" s="149">
        <f>AC75+AE65-SUM(AE70,AE74)</f>
        <v>7222.2519117781267</v>
      </c>
      <c r="AF75" s="158"/>
      <c r="AG75" s="149">
        <f>IF(SUM(AG6:AG29)+((AG65-AG70-$J$75)*4/I$83)&lt;1,0,AG65-AG70-$J$75-(1-SUM(AG6:AG29))*I$83/4)</f>
        <v>2093.9679559196156</v>
      </c>
      <c r="AH75" s="134"/>
      <c r="AI75" s="149">
        <f>AI76-SUM(AI70,AI74)</f>
        <v>7222.2519117781267</v>
      </c>
      <c r="AJ75" s="151">
        <f>AJ76-SUM(AJ70,AJ74)</f>
        <v>4073.5027716218065</v>
      </c>
      <c r="AK75" s="149">
        <f>AJ75+AK76-SUM(AK70,AK74)</f>
        <v>7222.2519117781303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75"/>
        <v>44750</v>
      </c>
      <c r="K76" s="40">
        <f>SUM(K70:K75)</f>
        <v>2.0955904168382129</v>
      </c>
      <c r="L76" s="22">
        <f>SUM(L70:L75)</f>
        <v>1.405215867866656</v>
      </c>
      <c r="M76" s="24">
        <f>SUM(M70:M75)</f>
        <v>1.4468970572289783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10243.5</v>
      </c>
      <c r="AD76" s="137"/>
      <c r="AE76" s="153">
        <f>AE65</f>
        <v>10243.5</v>
      </c>
      <c r="AF76" s="137"/>
      <c r="AG76" s="153">
        <f>AG65</f>
        <v>14019.5</v>
      </c>
      <c r="AH76" s="137"/>
      <c r="AI76" s="153">
        <f>SUM(AA76,AC76,AE76,AG76)</f>
        <v>44750</v>
      </c>
      <c r="AJ76" s="154">
        <f>SUM(AA76,AC76)</f>
        <v>20487</v>
      </c>
      <c r="AK76" s="154">
        <f>SUM(AE76,AG76)</f>
        <v>24263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13396.281421555201</v>
      </c>
      <c r="K77" s="40"/>
      <c r="L77" s="22">
        <f>-(L131*G$37*F$9/F$7)/B$130</f>
        <v>-0.52881593571001129</v>
      </c>
      <c r="M77" s="24">
        <f>-J77/B$76</f>
        <v>-0.34358249349974868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2093.9679559196156</v>
      </c>
      <c r="AB78" s="112"/>
      <c r="AC78" s="112">
        <f>IF(AA75&lt;0,0,AA75)</f>
        <v>5534.4902751036207</v>
      </c>
      <c r="AD78" s="112"/>
      <c r="AE78" s="112">
        <f>AC75</f>
        <v>6167.4707275414203</v>
      </c>
      <c r="AF78" s="112"/>
      <c r="AG78" s="112">
        <f>AE75</f>
        <v>7222.2519117781267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5871.6599992036145</v>
      </c>
      <c r="AB79" s="112"/>
      <c r="AC79" s="112">
        <f>AA79-AA74+AC65-AC70</f>
        <v>9312.1823183876186</v>
      </c>
      <c r="AD79" s="112"/>
      <c r="AE79" s="112">
        <f>AC79-AC74+AE65-AE70</f>
        <v>9945.1627708254164</v>
      </c>
      <c r="AF79" s="112"/>
      <c r="AG79" s="112">
        <f>AE79-AE74+AG65-AG70</f>
        <v>14775.943955062125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 t="shared" si="80"/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9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0.69668081843731089</v>
      </c>
      <c r="J125" s="238">
        <f>IF(SUMPRODUCT($B$124:$B125,$H$124:$H125)&lt;J$119,($B125*$H125),IF(SUMPRODUCT($B$124:$B124,$H$124:$H124)&lt;J$119,J$119-SUMPRODUCT($B$124:$B124,$H$124:$H124),0))</f>
        <v>0.69668081843731089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0.70442713959351211</v>
      </c>
      <c r="M125" s="241">
        <f t="shared" si="93"/>
        <v>0.69668081843731089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0.69668081843731089</v>
      </c>
      <c r="J128" s="229">
        <f>(J30)</f>
        <v>0.43027185282005764</v>
      </c>
      <c r="K128" s="29">
        <f>(B128)</f>
        <v>0.64272333250311331</v>
      </c>
      <c r="L128" s="29">
        <f>IF(L124=L119,0,(L119-L124)/(B119-B124)*K128)</f>
        <v>0.36257824346786982</v>
      </c>
      <c r="M128" s="241">
        <f t="shared" si="93"/>
        <v>0.43027185282005764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>(B130)</f>
        <v>2.3730854862023092</v>
      </c>
      <c r="L130" s="29">
        <f>(L119)</f>
        <v>1.658450472299126</v>
      </c>
      <c r="M130" s="241">
        <f t="shared" si="93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0.49415189614391086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showRuler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6375.5594817431784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0.69957271339419336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6.8264640784580305E-2</v>
      </c>
      <c r="AB8" s="125">
        <f>IF($Y8=0,0,AC8/$Y8)</f>
        <v>0.30042728660580664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2.9315838667474489E-2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0.69957271339419347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7.9284907518008596E-2</v>
      </c>
      <c r="AB9" s="125">
        <f>IF($Y9=0,0,AC9/$Y9)</f>
        <v>0.30042728660580653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3.4048425815324745E-2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0.69957271339419347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0.32071564134156455</v>
      </c>
      <c r="AB10" s="125">
        <f>IF($Y10=0,0,AC10/$Y10)</f>
        <v>0.30042728660580653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0.1377293997543258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10209.814037034628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0.69957271339419358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0.13739050523768595</v>
      </c>
      <c r="AB11" s="125">
        <f>IF($Y11=0,0,AC11/$Y11)</f>
        <v>0.30042728660580648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5.9001524650234338E-2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2.1921920441556962E-2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2.1921920441556962E-2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398.52752626871393</v>
      </c>
      <c r="U12" s="224">
        <v>6</v>
      </c>
      <c r="V12" s="56"/>
      <c r="W12" s="117"/>
      <c r="X12" s="118"/>
      <c r="Y12" s="183">
        <f t="shared" si="9"/>
        <v>8.7687681766227848E-2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5.8750746783372665E-2</v>
      </c>
      <c r="AF12" s="122">
        <f>1-SUM(Z12,AB12,AD12)</f>
        <v>0.32999999999999996</v>
      </c>
      <c r="AG12" s="121">
        <f>$M12*AF12*4</f>
        <v>2.8936934982855187E-2</v>
      </c>
      <c r="AH12" s="123">
        <f t="shared" si="12"/>
        <v>1</v>
      </c>
      <c r="AI12" s="183">
        <f t="shared" si="13"/>
        <v>2.1921920441556962E-2</v>
      </c>
      <c r="AJ12" s="120">
        <f t="shared" si="14"/>
        <v>0</v>
      </c>
      <c r="AK12" s="119">
        <f t="shared" si="15"/>
        <v>4.3843840883113924E-2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1.4700581943161723E-2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1.4700581943161723E-2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117729.2656416126</v>
      </c>
      <c r="T23" s="179">
        <f>SUM(T7:T22)</f>
        <v>117701.66332674625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5.981077048096391E-4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5.981077048096391E-4</v>
      </c>
      <c r="N28" s="230"/>
      <c r="O28" s="2"/>
      <c r="P28" s="22"/>
      <c r="U28" s="56"/>
      <c r="V28" s="56"/>
      <c r="W28" s="110"/>
      <c r="X28" s="118"/>
      <c r="Y28" s="183">
        <f t="shared" si="9"/>
        <v>2.3924308192385564E-3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1.1962154096192782E-3</v>
      </c>
      <c r="AF28" s="122">
        <f t="shared" si="10"/>
        <v>0.5</v>
      </c>
      <c r="AG28" s="121">
        <f t="shared" si="11"/>
        <v>1.1962154096192782E-3</v>
      </c>
      <c r="AH28" s="123">
        <f t="shared" si="12"/>
        <v>1</v>
      </c>
      <c r="AI28" s="183">
        <f t="shared" si="13"/>
        <v>5.981077048096391E-4</v>
      </c>
      <c r="AJ28" s="120">
        <f t="shared" si="14"/>
        <v>0</v>
      </c>
      <c r="AK28" s="119">
        <f t="shared" si="15"/>
        <v>1.1962154096192782E-3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0.21157907829546535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0.21157907829546535</v>
      </c>
      <c r="N29" s="230"/>
      <c r="P29" s="22"/>
      <c r="V29" s="56"/>
      <c r="W29" s="110"/>
      <c r="X29" s="118"/>
      <c r="Y29" s="183">
        <f t="shared" si="9"/>
        <v>0.8463163131818614</v>
      </c>
      <c r="Z29" s="156">
        <f>Poor!Z29</f>
        <v>0.25</v>
      </c>
      <c r="AA29" s="121">
        <f t="shared" si="16"/>
        <v>0.21157907829546535</v>
      </c>
      <c r="AB29" s="156">
        <f>Poor!AB29</f>
        <v>0.25</v>
      </c>
      <c r="AC29" s="121">
        <f t="shared" si="7"/>
        <v>0.21157907829546535</v>
      </c>
      <c r="AD29" s="156">
        <f>Poor!AD29</f>
        <v>0.25</v>
      </c>
      <c r="AE29" s="121">
        <f t="shared" si="8"/>
        <v>0.21157907829546535</v>
      </c>
      <c r="AF29" s="122">
        <f t="shared" si="10"/>
        <v>0.25</v>
      </c>
      <c r="AG29" s="121">
        <f t="shared" si="11"/>
        <v>0.21157907829546535</v>
      </c>
      <c r="AH29" s="123">
        <f t="shared" si="12"/>
        <v>1</v>
      </c>
      <c r="AI29" s="183">
        <f t="shared" si="13"/>
        <v>0.21157907829546535</v>
      </c>
      <c r="AJ29" s="120">
        <f t="shared" si="14"/>
        <v>0.21157907829546535</v>
      </c>
      <c r="AK29" s="119">
        <f t="shared" si="15"/>
        <v>0.21157907829546535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2.9267114260811664</v>
      </c>
      <c r="J30" s="232">
        <f>IF(I$32&lt;=1,I30,1-SUM(J6:J29))</f>
        <v>0.31173701587713198</v>
      </c>
      <c r="K30" s="22">
        <f t="shared" si="4"/>
        <v>0.70110216687422167</v>
      </c>
      <c r="L30" s="22">
        <f>IF(L124=L119,0,IF(K30="",0,(L119-L124)/(B119-B124)*K30))</f>
        <v>0.41595515288870655</v>
      </c>
      <c r="M30" s="175">
        <f t="shared" si="6"/>
        <v>0.31173701587713198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1.2469480635085279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0.24795311318514027</v>
      </c>
      <c r="AC30" s="187">
        <f>IF(AC79*4/$I$84+SUM(AC6:AC29)&lt;1,AC79*4/$I$84,1-SUM(AC6:AC29))</f>
        <v>0.3091846543271215</v>
      </c>
      <c r="AD30" s="122">
        <f>IF($Y30=0,0,AE30/($Y$30))</f>
        <v>0.42387503923117076</v>
      </c>
      <c r="AE30" s="187">
        <f>IF(AE79*4/$I$84+SUM(AE6:AE29)&lt;1,AE79*4/$I$84,1-SUM(AE6:AE29))</f>
        <v>0.5285501593389097</v>
      </c>
      <c r="AF30" s="122">
        <f>IF($Y30=0,0,AG30/($Y$30))</f>
        <v>0.3753288459330788</v>
      </c>
      <c r="AG30" s="187">
        <f>IF(AG79*4/$I$84+SUM(AG6:AG29)&lt;1,AG79*4/$I$84,1-SUM(AG6:AG29))</f>
        <v>0.46801557761514323</v>
      </c>
      <c r="AH30" s="123">
        <f t="shared" si="12"/>
        <v>1.0471569983493898</v>
      </c>
      <c r="AI30" s="183">
        <f t="shared" si="13"/>
        <v>0.32643759782029358</v>
      </c>
      <c r="AJ30" s="120">
        <f t="shared" si="14"/>
        <v>0.15459232716356075</v>
      </c>
      <c r="AK30" s="119">
        <f t="shared" si="15"/>
        <v>0.49828286847702646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-0.10512656967265821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3.6370852815642758</v>
      </c>
      <c r="J32" s="17"/>
      <c r="L32" s="22">
        <f>SUM(L6:L30)</f>
        <v>1.1051265696726582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3.9411976722273536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-4.2845668556024903E-2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692.83263333116713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7.7663113253129369E-3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692.83263333116713</v>
      </c>
      <c r="AH38" s="123">
        <f t="shared" ref="AH38:AI58" si="37">SUM(Z38,AB38,AD38,AF38)</f>
        <v>1</v>
      </c>
      <c r="AI38" s="112">
        <f t="shared" si="37"/>
        <v>692.83263333116713</v>
      </c>
      <c r="AJ38" s="148">
        <f t="shared" ref="AJ38:AJ64" si="38">(AA38+AC38)</f>
        <v>0</v>
      </c>
      <c r="AK38" s="147">
        <f t="shared" ref="AK38:AK64" si="39">(AE38+AG38)</f>
        <v>692.83263333116713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0.69957271339419336</v>
      </c>
      <c r="AA39" s="147">
        <f t="shared" ref="AA39:AA64" si="40">$J39*Z39</f>
        <v>0</v>
      </c>
      <c r="AB39" s="122">
        <f>AB8</f>
        <v>0.30042728660580664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0.69957271339419347</v>
      </c>
      <c r="AA40" s="147">
        <f t="shared" si="40"/>
        <v>0</v>
      </c>
      <c r="AB40" s="122">
        <f>AB9</f>
        <v>0.30042728660580653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0.69957271339419358</v>
      </c>
      <c r="AA41" s="147">
        <f t="shared" si="40"/>
        <v>0</v>
      </c>
      <c r="AB41" s="122">
        <f>AB11</f>
        <v>0.30042728660580648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94315.632633331159</v>
      </c>
      <c r="K65" s="40">
        <f>SUM(K37:K64)</f>
        <v>1</v>
      </c>
      <c r="L65" s="22">
        <f>SUM(L37:L64)</f>
        <v>1.0574016365878265</v>
      </c>
      <c r="M65" s="24">
        <f>SUM(M37:M64)</f>
        <v>1.0572316179052925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30470.532633331164</v>
      </c>
      <c r="AH65" s="137"/>
      <c r="AI65" s="153">
        <f>SUM(AI37:AI64)</f>
        <v>94315.632633331159</v>
      </c>
      <c r="AJ65" s="153">
        <f>SUM(AJ37:AJ64)</f>
        <v>42563.399999999994</v>
      </c>
      <c r="AK65" s="153">
        <f>SUM(AK37:AK64)</f>
        <v>51752.232633331158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36830.160000000003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1911.6</v>
      </c>
      <c r="K73" s="40">
        <f>B73/B$76</f>
        <v>1.8159399170496582E-2</v>
      </c>
      <c r="L73" s="22">
        <f t="shared" si="45"/>
        <v>2.1428091021185966E-2</v>
      </c>
      <c r="M73" s="24">
        <f>J73/B$76</f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71407.891355822372</v>
      </c>
      <c r="J74" s="51">
        <f t="shared" si="44"/>
        <v>7605.9712491535429</v>
      </c>
      <c r="K74" s="40">
        <f>B74/B$76</f>
        <v>0.11621177416029714</v>
      </c>
      <c r="L74" s="22">
        <f t="shared" si="45"/>
        <v>0.11376253867723012</v>
      </c>
      <c r="M74" s="24">
        <f>J74/B$76</f>
        <v>8.5259177773271411E-2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3261.4920488383636</v>
      </c>
      <c r="AD74" s="156"/>
      <c r="AE74" s="147">
        <f>AE30*$I$84/4</f>
        <v>5575.5100325006269</v>
      </c>
      <c r="AF74" s="156"/>
      <c r="AG74" s="147">
        <f>AG30*$I$84/4</f>
        <v>4936.9496957934443</v>
      </c>
      <c r="AH74" s="155"/>
      <c r="AI74" s="147">
        <f>SUM(AA74,AC74,AE74,AG74)</f>
        <v>13773.951777132435</v>
      </c>
      <c r="AJ74" s="148">
        <f>(AA74+AC74)</f>
        <v>3261.4920488383636</v>
      </c>
      <c r="AK74" s="147">
        <f>(AE74+AG74)</f>
        <v>10512.45972829407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6134.312740000013</v>
      </c>
      <c r="K75" s="40">
        <f>B75/B$76</f>
        <v>0.15310373623910054</v>
      </c>
      <c r="L75" s="22">
        <f t="shared" si="45"/>
        <v>4.0429271162724975E-2</v>
      </c>
      <c r="M75" s="24">
        <f>J75/B$76</f>
        <v>6.8762613384149907E-2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31124.725160097372</v>
      </c>
      <c r="AB75" s="158"/>
      <c r="AC75" s="149">
        <f>AA75+AC65-SUM(AC70,AC74)</f>
        <v>43325.7059502146</v>
      </c>
      <c r="AD75" s="158"/>
      <c r="AE75" s="149">
        <f>AC75+AE65-SUM(AE70,AE74)</f>
        <v>53212.668756669569</v>
      </c>
      <c r="AF75" s="158"/>
      <c r="AG75" s="149">
        <f>IF(SUM(AG6:AG29)+((AG65-AG70-$J$75)*4/I$83)&lt;1,0,AG65-AG70-$J$75-(1-SUM(AG6:AG29))*I$83/4)</f>
        <v>15662.252321141776</v>
      </c>
      <c r="AH75" s="134"/>
      <c r="AI75" s="149">
        <f>AI76-SUM(AI70,AI74)</f>
        <v>57264.772212021126</v>
      </c>
      <c r="AJ75" s="151">
        <f>AJ76-SUM(AJ70,AJ74)</f>
        <v>27663.453629072828</v>
      </c>
      <c r="AK75" s="149">
        <f>AJ75+AK76-SUM(AK70,AK74)</f>
        <v>57264.772212021126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4"/>
        <v>94315.632633331159</v>
      </c>
      <c r="K76" s="40">
        <f>SUM(K70:K75)</f>
        <v>0.99999999999999989</v>
      </c>
      <c r="L76" s="22">
        <f>SUM(L70:L75)</f>
        <v>1.0574016365878265</v>
      </c>
      <c r="M76" s="24">
        <f>SUM(M70:M75)</f>
        <v>1.0572316179052927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30470.532633331164</v>
      </c>
      <c r="AH76" s="137"/>
      <c r="AI76" s="153">
        <f>SUM(AA76,AC76,AE76,AG76)</f>
        <v>94315.632633331159</v>
      </c>
      <c r="AJ76" s="154">
        <f>SUM(AA76,AC76)</f>
        <v>42563.399999999994</v>
      </c>
      <c r="AK76" s="154">
        <f>SUM(AE76,AG76)</f>
        <v>51752.232633331165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15662.252321141776</v>
      </c>
      <c r="AB78" s="112"/>
      <c r="AC78" s="112">
        <f>IF(AA75&lt;0,0,AA75)</f>
        <v>31124.725160097372</v>
      </c>
      <c r="AD78" s="112"/>
      <c r="AE78" s="112">
        <f>AC75</f>
        <v>43325.7059502146</v>
      </c>
      <c r="AF78" s="112"/>
      <c r="AG78" s="112">
        <f>AE75</f>
        <v>53212.668756669569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31124.725160097372</v>
      </c>
      <c r="AB79" s="112"/>
      <c r="AC79" s="112">
        <f>AA79-AA74+AC65-AC70</f>
        <v>46587.197999052965</v>
      </c>
      <c r="AD79" s="112"/>
      <c r="AE79" s="112">
        <f>AC79-AC74+AE65-AE70</f>
        <v>58788.178789170197</v>
      </c>
      <c r="AF79" s="112"/>
      <c r="AG79" s="112">
        <f>AE79-AE74+AG65-AG70</f>
        <v>77863.974228956329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2.8396317911534241E-2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2.8396317911534241E-2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3.8656041292491832</v>
      </c>
      <c r="K119" s="22">
        <f>SUM(K91:K118)</f>
        <v>6.0329701696762132</v>
      </c>
      <c r="L119" s="22">
        <f>SUM(L91:L118)</f>
        <v>3.8662257763037369</v>
      </c>
      <c r="M119" s="57">
        <f t="shared" si="49"/>
        <v>3.8656041292491832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2.9267114260811664</v>
      </c>
      <c r="J128" s="229">
        <f>(J30)</f>
        <v>0.31173701587713198</v>
      </c>
      <c r="K128" s="22">
        <f>(B128)</f>
        <v>0.70110216687422167</v>
      </c>
      <c r="L128" s="22">
        <f>IF(L124=L119,0,(L119-L124)/(B119-B124)*K128)</f>
        <v>0.41595515288870655</v>
      </c>
      <c r="M128" s="57">
        <f t="shared" si="63"/>
        <v>0.31173701587713198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0.25141987596094229</v>
      </c>
      <c r="K129" s="29">
        <f>(B129)</f>
        <v>0.92367027359646858</v>
      </c>
      <c r="L129" s="60">
        <f>IF(SUM(L124:L128)&gt;L130,0,L130-SUM(L124:L128))</f>
        <v>0.14782338600392153</v>
      </c>
      <c r="M129" s="57">
        <f t="shared" si="63"/>
        <v>0.25141987596094229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3.8656041292491832</v>
      </c>
      <c r="K130" s="22">
        <f>(B130)</f>
        <v>6.0329701696762132</v>
      </c>
      <c r="L130" s="22">
        <f>(L119)</f>
        <v>3.8662257763037369</v>
      </c>
      <c r="M130" s="57">
        <f t="shared" si="63"/>
        <v>3.8656041292491832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showRuler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9108.7703304352726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26921.920937304771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0.40785033140292565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4.9042643696610905E-2</v>
      </c>
      <c r="AB8" s="125">
        <f>IF($Y8=0,0,AC8/$Y8)</f>
        <v>0.40436907320187471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4.8624033994903004E-2</v>
      </c>
      <c r="AD8" s="125">
        <f>IF($Y8=0,0,AE8/$Y8)</f>
        <v>0.18778059539519965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2.2579991050702797E-2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3.0061667185554176E-2</v>
      </c>
      <c r="AJ8" s="120">
        <f t="shared" si="14"/>
        <v>4.8833338845756954E-2</v>
      </c>
      <c r="AK8" s="119">
        <f t="shared" si="15"/>
        <v>1.1289995525351398E-2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0.40785033140292565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4.6223037558998245E-2</v>
      </c>
      <c r="AB9" s="125">
        <f>IF($Y9=0,0,AC9/$Y9)</f>
        <v>0.40436907320187465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4.5828494962879128E-2</v>
      </c>
      <c r="AD9" s="125">
        <f>IF($Y9=0,0,AE9/$Y9)</f>
        <v>0.1877805953951997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2.1281800811455968E-2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4.6025766260938683E-2</v>
      </c>
      <c r="AK9" s="119">
        <f t="shared" si="15"/>
        <v>1.0640900405727984E-2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0.20154925183215205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0.20154925183215205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0.80619700732860822</v>
      </c>
      <c r="Z10" s="125">
        <f>IF($Y10=0,0,AA10/$Y10)</f>
        <v>0.40785033140292565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0.32880771661501973</v>
      </c>
      <c r="AB10" s="125">
        <f>IF($Y10=0,0,AC10/$Y10)</f>
        <v>0.40436907320187465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0.32600113667159425</v>
      </c>
      <c r="AD10" s="125">
        <f>IF($Y10=0,0,AE10/$Y10)</f>
        <v>0.1877805953951997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0.15138815404199424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0.20154925183215205</v>
      </c>
      <c r="AJ10" s="120">
        <f t="shared" si="14"/>
        <v>0.32740442664330699</v>
      </c>
      <c r="AK10" s="119">
        <f t="shared" si="15"/>
        <v>7.5694077020997119E-2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31831.816540289739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0.40785033140292565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0.11534191844354147</v>
      </c>
      <c r="AB11" s="125">
        <f>IF($Y11=0,0,AC11/$Y11)</f>
        <v>0.40436907320187471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0.11435740287841903</v>
      </c>
      <c r="AD11" s="125">
        <f>IF($Y11=0,0,AE11/$Y11)</f>
        <v>0.18778059539519967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5.3105201716644762E-2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0.11484966066098025</v>
      </c>
      <c r="AK11" s="119">
        <f t="shared" si="15"/>
        <v>2.6552600858322381E-2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1.9671093675602311E-2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1.9671093675602311E-2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7.8684374702409243E-2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5.2718531050614199E-2</v>
      </c>
      <c r="AF12" s="122">
        <f>1-SUM(Z12,AB12,AD12)</f>
        <v>0.32999999999999996</v>
      </c>
      <c r="AG12" s="121">
        <f>$M12*AF12*4</f>
        <v>2.5965843651795047E-2</v>
      </c>
      <c r="AH12" s="123">
        <f t="shared" si="12"/>
        <v>1</v>
      </c>
      <c r="AI12" s="183">
        <f t="shared" si="13"/>
        <v>1.9671093675602311E-2</v>
      </c>
      <c r="AJ12" s="120">
        <f t="shared" si="14"/>
        <v>0</v>
      </c>
      <c r="AK12" s="119">
        <f t="shared" si="15"/>
        <v>3.9342187351204622E-2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3.0492661898463532E-3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3.0492661898463532E-3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1.2197064759385413E-2</v>
      </c>
      <c r="Z13" s="156">
        <f>Poor!Z13</f>
        <v>1</v>
      </c>
      <c r="AA13" s="121">
        <f>$M13*Z13*4</f>
        <v>1.2197064759385413E-2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3.0492661898463532E-3</v>
      </c>
      <c r="AJ13" s="120">
        <f t="shared" si="14"/>
        <v>6.0985323796927064E-3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4.3541014913777978E-3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4.3541014913777978E-3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1.7416405965511191E-2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1.7416405965511191E-2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4.3541014913777978E-3</v>
      </c>
      <c r="AJ14" s="120">
        <f t="shared" si="14"/>
        <v>8.7082029827555956E-3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166266.12982295299</v>
      </c>
      <c r="T23" s="179">
        <f>SUM(T7:T22)</f>
        <v>165451.14889684791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3.3552824095724937E-2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3.3552824095724937E-2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0.13421129638289975</v>
      </c>
      <c r="Z27" s="156">
        <f>Poor!Z27</f>
        <v>0.25</v>
      </c>
      <c r="AA27" s="121">
        <f t="shared" si="16"/>
        <v>3.3552824095724937E-2</v>
      </c>
      <c r="AB27" s="156">
        <f>Poor!AB27</f>
        <v>0.25</v>
      </c>
      <c r="AC27" s="121">
        <f t="shared" si="7"/>
        <v>3.3552824095724937E-2</v>
      </c>
      <c r="AD27" s="156">
        <f>Poor!AD27</f>
        <v>0.25</v>
      </c>
      <c r="AE27" s="121">
        <f t="shared" si="8"/>
        <v>3.3552824095724937E-2</v>
      </c>
      <c r="AF27" s="122">
        <f t="shared" si="10"/>
        <v>0.25</v>
      </c>
      <c r="AG27" s="121">
        <f t="shared" si="11"/>
        <v>3.3552824095724937E-2</v>
      </c>
      <c r="AH27" s="123">
        <f t="shared" si="12"/>
        <v>1</v>
      </c>
      <c r="AI27" s="183">
        <f t="shared" si="13"/>
        <v>3.3552824095724937E-2</v>
      </c>
      <c r="AJ27" s="120">
        <f t="shared" si="14"/>
        <v>3.3552824095724937E-2</v>
      </c>
      <c r="AK27" s="119">
        <f t="shared" si="15"/>
        <v>3.3552824095724937E-2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5.443673525855078E-4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5.443673525855078E-4</v>
      </c>
      <c r="N28" s="230"/>
      <c r="O28" s="2"/>
      <c r="P28" s="22"/>
      <c r="U28" s="56"/>
      <c r="V28" s="56"/>
      <c r="W28" s="110"/>
      <c r="X28" s="118"/>
      <c r="Y28" s="183">
        <f t="shared" si="9"/>
        <v>2.1774694103420312E-3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1.0887347051710156E-3</v>
      </c>
      <c r="AF28" s="122">
        <f t="shared" si="10"/>
        <v>0.5</v>
      </c>
      <c r="AG28" s="121">
        <f t="shared" si="11"/>
        <v>1.0887347051710156E-3</v>
      </c>
      <c r="AH28" s="123">
        <f t="shared" si="12"/>
        <v>1</v>
      </c>
      <c r="AI28" s="183">
        <f t="shared" si="13"/>
        <v>5.443673525855078E-4</v>
      </c>
      <c r="AJ28" s="120">
        <f t="shared" si="14"/>
        <v>0</v>
      </c>
      <c r="AK28" s="119">
        <f t="shared" si="15"/>
        <v>1.0887347051710156E-3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0.22512220629676924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0.22512220629676924</v>
      </c>
      <c r="N29" s="230"/>
      <c r="P29" s="22"/>
      <c r="V29" s="56"/>
      <c r="W29" s="110"/>
      <c r="X29" s="118"/>
      <c r="Y29" s="183">
        <f t="shared" si="9"/>
        <v>0.90048882518707696</v>
      </c>
      <c r="Z29" s="156">
        <f>Poor!Z29</f>
        <v>0.25</v>
      </c>
      <c r="AA29" s="121">
        <f t="shared" si="16"/>
        <v>0.22512220629676924</v>
      </c>
      <c r="AB29" s="156">
        <f>Poor!AB29</f>
        <v>0.25</v>
      </c>
      <c r="AC29" s="121">
        <f t="shared" si="7"/>
        <v>0.22512220629676924</v>
      </c>
      <c r="AD29" s="156">
        <f>Poor!AD29</f>
        <v>0.25</v>
      </c>
      <c r="AE29" s="121">
        <f t="shared" si="8"/>
        <v>0.22512220629676924</v>
      </c>
      <c r="AF29" s="122">
        <f t="shared" si="10"/>
        <v>0.25</v>
      </c>
      <c r="AG29" s="121">
        <f t="shared" si="11"/>
        <v>0.22512220629676924</v>
      </c>
      <c r="AH29" s="123">
        <f t="shared" si="12"/>
        <v>1</v>
      </c>
      <c r="AI29" s="183">
        <f t="shared" si="13"/>
        <v>0.22512220629676924</v>
      </c>
      <c r="AJ29" s="120">
        <f t="shared" si="14"/>
        <v>0.22512220629676924</v>
      </c>
      <c r="AK29" s="119">
        <f t="shared" si="15"/>
        <v>0.22512220629676924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3.9540811636174711</v>
      </c>
      <c r="J30" s="232">
        <f>IF(I$32&lt;=1,I30,1-SUM(J6:J29))</f>
        <v>0.12555850186615525</v>
      </c>
      <c r="K30" s="22">
        <f t="shared" si="4"/>
        <v>0.46112153424657532</v>
      </c>
      <c r="L30" s="22">
        <f>IF(L124=L119,0,IF(K30="",0,(L119-L124)/(B119-B124)*K30))</f>
        <v>0.30964008664094583</v>
      </c>
      <c r="M30" s="175">
        <f t="shared" si="6"/>
        <v>0.12555850186615525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0.50223400746462099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4.4211383861868981E-16</v>
      </c>
      <c r="AC30" s="187">
        <f>IF(AC79*4/$I$83+SUM(AC6:AC29)&lt;1,AC79*4/$I$83,1-SUM(AC6:AC29))</f>
        <v>2.2204460492503131E-16</v>
      </c>
      <c r="AD30" s="122">
        <f>IF($Y30=0,0,AE30/($Y$30))</f>
        <v>0.39688646682710244</v>
      </c>
      <c r="AE30" s="187">
        <f>IF(AE79*4/$I$83+SUM(AE6:AE29)&lt;1,AE79*4/$I$83,1-SUM(AE6:AE29))</f>
        <v>0.19932988074305003</v>
      </c>
      <c r="AF30" s="122">
        <f>IF($Y30=0,0,AG30/($Y$30))</f>
        <v>0.60311353317289773</v>
      </c>
      <c r="AG30" s="187">
        <f>IF(AG79*4/$I$83+SUM(AG6:AG29)&lt;1,AG79*4/$I$83,1-SUM(AG6:AG29))</f>
        <v>0.30290412672157108</v>
      </c>
      <c r="AH30" s="123">
        <f t="shared" si="12"/>
        <v>1.0000000000000007</v>
      </c>
      <c r="AI30" s="183">
        <f t="shared" si="13"/>
        <v>0.12555850186615533</v>
      </c>
      <c r="AJ30" s="120">
        <f t="shared" si="14"/>
        <v>1.1102230246251565E-16</v>
      </c>
      <c r="AK30" s="119">
        <f t="shared" si="15"/>
        <v>0.25111700373231055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-0.24236988054060782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5.9542463496658549</v>
      </c>
      <c r="J32" s="17"/>
      <c r="L32" s="22">
        <f>SUM(L6:L30)</f>
        <v>1.2423698805406078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-5.4605923875621465E-2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31143.147037341711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0.24203515168289691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31143.147037341711</v>
      </c>
      <c r="AH37" s="123">
        <f>SUM(Z37,AB37,AD37,AF37)</f>
        <v>1</v>
      </c>
      <c r="AI37" s="112">
        <f>SUM(AA37,AC37,AE37,AG37)</f>
        <v>31143.147037341711</v>
      </c>
      <c r="AJ37" s="148">
        <f>(AA37+AC37)</f>
        <v>0</v>
      </c>
      <c r="AK37" s="147">
        <f>(AE37+AG37)</f>
        <v>31143.147037341711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688.66950294802996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5.352131799832364E-3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688.66950294802996</v>
      </c>
      <c r="AH38" s="123">
        <f t="shared" ref="AH38:AI58" si="35">SUM(Z38,AB38,AD38,AF38)</f>
        <v>1</v>
      </c>
      <c r="AI38" s="112">
        <f t="shared" si="35"/>
        <v>688.66950294802996</v>
      </c>
      <c r="AJ38" s="148">
        <f t="shared" ref="AJ38:AJ64" si="36">(AA38+AC38)</f>
        <v>0</v>
      </c>
      <c r="AK38" s="147">
        <f t="shared" ref="AK38:AK64" si="37">(AE38+AG38)</f>
        <v>688.66950294802996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7382.2414671293509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5.7372555545335047E-2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0.40785033140292565</v>
      </c>
      <c r="AA39" s="147">
        <f>$J39*Z39</f>
        <v>3010.8496288651259</v>
      </c>
      <c r="AB39" s="122">
        <f>AB8</f>
        <v>0.40436907320187471</v>
      </c>
      <c r="AC39" s="147">
        <f>$J39*AB39</f>
        <v>2985.1501402155436</v>
      </c>
      <c r="AD39" s="122">
        <f>AD8</f>
        <v>0.18778059539519965</v>
      </c>
      <c r="AE39" s="147">
        <f>$J39*AD39</f>
        <v>1386.2416980486817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7382.2414671293509</v>
      </c>
      <c r="AJ39" s="148">
        <f t="shared" si="36"/>
        <v>5995.9997690806695</v>
      </c>
      <c r="AK39" s="147">
        <f t="shared" si="37"/>
        <v>1386.2416980486817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0.40785033140292565</v>
      </c>
      <c r="AA40" s="147">
        <f>$J40*Z40</f>
        <v>2489.5184228834582</v>
      </c>
      <c r="AB40" s="122">
        <f>AB9</f>
        <v>0.40436907320187465</v>
      </c>
      <c r="AC40" s="147">
        <f>$J40*AB40</f>
        <v>2468.2688228242428</v>
      </c>
      <c r="AD40" s="122">
        <f>AD9</f>
        <v>0.1877805953951997</v>
      </c>
      <c r="AE40" s="147">
        <f>$J40*AD40</f>
        <v>1146.212754292299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4957.787245707701</v>
      </c>
      <c r="AK40" s="147">
        <f t="shared" si="37"/>
        <v>1146.212754292299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13288.034640832831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0.10327059998160308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0.40785033140292565</v>
      </c>
      <c r="AA41" s="147">
        <f>$J41*Z41</f>
        <v>5419.5293319572265</v>
      </c>
      <c r="AB41" s="122">
        <f>AB11</f>
        <v>0.40436907320187471</v>
      </c>
      <c r="AC41" s="147">
        <f>$J41*AB41</f>
        <v>5373.270252387978</v>
      </c>
      <c r="AD41" s="122">
        <f>AD11</f>
        <v>0.18778059539519967</v>
      </c>
      <c r="AE41" s="147">
        <f>$J41*AD41</f>
        <v>2495.2350564876274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13288.034640832831</v>
      </c>
      <c r="AJ41" s="148">
        <f t="shared" si="36"/>
        <v>10792.799584345204</v>
      </c>
      <c r="AK41" s="147">
        <f t="shared" si="37"/>
        <v>2495.2350564876274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147.64482934258697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1.1474511109067006E-3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36.911207335646743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73.822414671293487</v>
      </c>
      <c r="AF42" s="122">
        <f t="shared" si="31"/>
        <v>0.25</v>
      </c>
      <c r="AG42" s="147">
        <f t="shared" si="34"/>
        <v>36.911207335646743</v>
      </c>
      <c r="AH42" s="123">
        <f t="shared" si="35"/>
        <v>1</v>
      </c>
      <c r="AI42" s="112">
        <f t="shared" si="35"/>
        <v>147.64482934258697</v>
      </c>
      <c r="AJ42" s="148">
        <f t="shared" si="36"/>
        <v>36.911207335646743</v>
      </c>
      <c r="AK42" s="147">
        <f t="shared" si="37"/>
        <v>110.73362200694024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148772.69747759451</v>
      </c>
      <c r="K65" s="40">
        <f>SUM(K37:K64)</f>
        <v>1</v>
      </c>
      <c r="L65" s="22">
        <f>SUM(L37:L64)</f>
        <v>1.1498924396916188</v>
      </c>
      <c r="M65" s="24">
        <f>SUM(M37:M64)</f>
        <v>1.1562165620927203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33461.548591041457</v>
      </c>
      <c r="AB65" s="137"/>
      <c r="AC65" s="153">
        <f>SUM(AC37:AC64)</f>
        <v>33331.429215427765</v>
      </c>
      <c r="AD65" s="137"/>
      <c r="AE65" s="153">
        <f>SUM(AE37:AE64)</f>
        <v>27606.251923499898</v>
      </c>
      <c r="AF65" s="137"/>
      <c r="AG65" s="153">
        <f>SUM(AG37:AG64)</f>
        <v>54373.467747625386</v>
      </c>
      <c r="AH65" s="137"/>
      <c r="AI65" s="153">
        <f>SUM(AI37:AI64)</f>
        <v>148772.69747759451</v>
      </c>
      <c r="AJ65" s="153">
        <f>SUM(AJ37:AJ64)</f>
        <v>66792.977806469222</v>
      </c>
      <c r="AK65" s="153">
        <f>SUM(AK37:AK64)</f>
        <v>81979.719671125276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107193.72817313597</v>
      </c>
      <c r="J74" s="51">
        <f>J128*I$83</f>
        <v>3403.8461432474787</v>
      </c>
      <c r="K74" s="40">
        <f>B74/B$76</f>
        <v>5.8880461417906448E-2</v>
      </c>
      <c r="L74" s="22">
        <f>(L128*G$37*F$9/F$7)/B$130</f>
        <v>6.5237442202163792E-2</v>
      </c>
      <c r="M74" s="24">
        <f>J74/B$76</f>
        <v>2.6453666246327705E-2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1.5048874844585656E-12</v>
      </c>
      <c r="AD74" s="156"/>
      <c r="AE74" s="147">
        <f>AE30*$I$83/4</f>
        <v>1350.940469416551</v>
      </c>
      <c r="AF74" s="156"/>
      <c r="AG74" s="147">
        <f>AG30*$I$83/4</f>
        <v>2052.9056738309282</v>
      </c>
      <c r="AH74" s="155"/>
      <c r="AI74" s="147">
        <f>SUM(AA74,AC74,AE74,AG74)</f>
        <v>3403.8461432474805</v>
      </c>
      <c r="AJ74" s="148">
        <f>(AA74+AC74)</f>
        <v>1.5048874844585656E-12</v>
      </c>
      <c r="AK74" s="147">
        <f>(AE74+AG74)</f>
        <v>3403.8461432474792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50554.286174149696</v>
      </c>
      <c r="K75" s="40">
        <f>B75/B$76</f>
        <v>0.34342096894361795</v>
      </c>
      <c r="L75" s="22">
        <f>(L129*G$37*F$9/F$7)/B$130</f>
        <v>0.34778477583907796</v>
      </c>
      <c r="M75" s="24">
        <f>J75/B$76</f>
        <v>0.39289267419601542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26995.740634325455</v>
      </c>
      <c r="AB75" s="158"/>
      <c r="AC75" s="149">
        <f>AA75+AC65-SUM(AC70,AC74)</f>
        <v>53861.361893037218</v>
      </c>
      <c r="AD75" s="158"/>
      <c r="AE75" s="149">
        <f>AC75+AE65-SUM(AE70,AE74)</f>
        <v>73650.865390404564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119505.619507483</v>
      </c>
      <c r="AJ75" s="151">
        <f>AJ76-SUM(AJ70,AJ74)</f>
        <v>53861.361893037218</v>
      </c>
      <c r="AK75" s="149">
        <f>AJ75+AK76-SUM(AK70,AK74)</f>
        <v>119505.61950748303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>J130*I$83</f>
        <v>148772.69747759451</v>
      </c>
      <c r="K76" s="40">
        <f>SUM(K70:K75)</f>
        <v>0.59468001326369868</v>
      </c>
      <c r="L76" s="22">
        <f>SUM(L70:L75)</f>
        <v>0.67161485534278376</v>
      </c>
      <c r="M76" s="24">
        <f>SUM(M70:M75)</f>
        <v>0.67793897774388512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33461.548591041457</v>
      </c>
      <c r="AB76" s="137"/>
      <c r="AC76" s="153">
        <f>AC65</f>
        <v>33331.429215427765</v>
      </c>
      <c r="AD76" s="137"/>
      <c r="AE76" s="153">
        <f>AE65</f>
        <v>27606.251923499898</v>
      </c>
      <c r="AF76" s="137"/>
      <c r="AG76" s="153">
        <f>AG65</f>
        <v>54373.467747625386</v>
      </c>
      <c r="AH76" s="137"/>
      <c r="AI76" s="153">
        <f>SUM(AA76,AC76,AE76,AG76)</f>
        <v>148772.69747759448</v>
      </c>
      <c r="AJ76" s="154">
        <f>SUM(AA76,AC76)</f>
        <v>66792.977806469222</v>
      </c>
      <c r="AK76" s="154">
        <f>SUM(AE76,AG76)</f>
        <v>81979.719671125291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26995.740634325455</v>
      </c>
      <c r="AD78" s="112"/>
      <c r="AE78" s="112">
        <f>AC75</f>
        <v>53861.361893037218</v>
      </c>
      <c r="AF78" s="112"/>
      <c r="AG78" s="112">
        <f>AE75</f>
        <v>73650.865390404564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26995.740634325455</v>
      </c>
      <c r="AB79" s="112"/>
      <c r="AC79" s="112">
        <f>AA79-AA74+AC65-AC70</f>
        <v>53861.361893037218</v>
      </c>
      <c r="AD79" s="112"/>
      <c r="AE79" s="112">
        <f>AC79-AC74+AE65-AE70</f>
        <v>75001.805859821106</v>
      </c>
      <c r="AF79" s="112"/>
      <c r="AG79" s="112">
        <f>AE79-AE74+AG65-AG70</f>
        <v>121558.52518131393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1.1487848512669148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1.1487848512669148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2.540311971579548E-2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2.540311971579548E-2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0.27231053931910287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0.27231053931910287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0.49015897077438519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0.49015897077438519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5.4462107863820566E-3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5.4462107863820566E-3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5.4878147330278386</v>
      </c>
      <c r="K119" s="22">
        <f>SUM(K91:K118)</f>
        <v>7.831486424227327</v>
      </c>
      <c r="L119" s="22">
        <f>SUM(L91:L118)</f>
        <v>5.4577982004645795</v>
      </c>
      <c r="M119" s="57">
        <f t="shared" si="50"/>
        <v>5.4878147330278386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3.9540811636174711</v>
      </c>
      <c r="J128" s="229">
        <f>(J30)</f>
        <v>0.12555850186615525</v>
      </c>
      <c r="K128" s="22">
        <f>(B128)</f>
        <v>0.46112153424657532</v>
      </c>
      <c r="L128" s="22">
        <f>IF(L124=L119,0,(L119-L124)/(B119-B124)*K128)</f>
        <v>0.30964008664094583</v>
      </c>
      <c r="M128" s="57">
        <f t="shared" si="90"/>
        <v>0.12555850186615525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1.864808269178464</v>
      </c>
      <c r="K129" s="29">
        <f>(B129)</f>
        <v>2.6894966560769387</v>
      </c>
      <c r="L129" s="60">
        <f>IF(SUM(L124:L128)&gt;L130,0,L130-SUM(L124:L128))</f>
        <v>1.6507101518404141</v>
      </c>
      <c r="M129" s="57">
        <f t="shared" si="90"/>
        <v>1.864808269178464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5.4878147330278386</v>
      </c>
      <c r="K130" s="22">
        <f>(B130)</f>
        <v>7.831486424227327</v>
      </c>
      <c r="L130" s="22">
        <f>(L119)</f>
        <v>5.4577982004645795</v>
      </c>
      <c r="M130" s="57">
        <f t="shared" si="90"/>
        <v>5.4878147330278386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Ruler="0"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showRuler="0" topLeftCell="D56" workbookViewId="0">
      <selection activeCell="B78" sqref="B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6375.5594817431784</v>
      </c>
      <c r="I72" s="109">
        <f>Rich!T7</f>
        <v>9108.7703304352726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26921.920937304771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10209.814037034628</v>
      </c>
      <c r="I76" s="109">
        <f>Rich!T11</f>
        <v>31831.816540289739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999</v>
      </c>
      <c r="G77" s="109">
        <f>Poor!T12</f>
        <v>1649.4115135684224</v>
      </c>
      <c r="H77" s="109">
        <f>Middle!T12</f>
        <v>398.52752626871393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42741.361913610323</v>
      </c>
      <c r="G88" s="109">
        <f>Poor!T23</f>
        <v>54105.303881501502</v>
      </c>
      <c r="H88" s="109">
        <f>Middle!T23</f>
        <v>117701.66332674625</v>
      </c>
      <c r="I88" s="109">
        <f>Rich!T23</f>
        <v>165451.14889684791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4141.690056113046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24760.223389446386</v>
      </c>
      <c r="G99" s="240">
        <f t="shared" si="0"/>
        <v>13396.281421555221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65682.62338944638</v>
      </c>
      <c r="G100" s="240">
        <f t="shared" si="0"/>
        <v>54318.681421555229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Ruler="0"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showRuler="0"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2016-06-03T14:08:26Z</dcterms:modified>
  <cp:category/>
</cp:coreProperties>
</file>