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<sst xmlns="http://schemas.openxmlformats.org/spreadsheetml/2006/main" count="790" uniqueCount="146">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</sst>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0.0138088146014944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0.00273194271481943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0.00195555728518057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0.00265748127306135</c:v>
                </c:pt>
                <c:pt idx="2" formatCode="0.0%">
                  <c:v>0.0231412579172787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200488"/>
        <c:axId val="-2040367400"/>
      </c:barChart>
      <c:catAx>
        <c:axId val="-20442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6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6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20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0.0122988509194096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0.00119863506883036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037352"/>
        <c:axId val="-2044511128"/>
      </c:barChart>
      <c:catAx>
        <c:axId val="-20440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1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1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3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65128"/>
        <c:axId val="-2017664280"/>
      </c:barChart>
      <c:catAx>
        <c:axId val="-201656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6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66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6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20360"/>
        <c:axId val="-2016927448"/>
      </c:barChart>
      <c:catAx>
        <c:axId val="-201702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2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92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2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2909.771740108752</c:v>
                </c:pt>
                <c:pt idx="4">
                  <c:v>3846.130980173441</c:v>
                </c:pt>
                <c:pt idx="5">
                  <c:v>3502.166269082099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350.0</c:v>
                </c:pt>
                <c:pt idx="5">
                  <c:v>171.6763913026225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14030.29940640766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1986.232635559938</c:v>
                </c:pt>
                <c:pt idx="4">
                  <c:v>1386.832635559938</c:v>
                </c:pt>
                <c:pt idx="5">
                  <c:v>239.2280976736766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147016"/>
        <c:axId val="-21078257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47016"/>
        <c:axId val="-2107825736"/>
      </c:lineChart>
      <c:catAx>
        <c:axId val="-214414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82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82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14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718888"/>
        <c:axId val="-21070960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18888"/>
        <c:axId val="-2107096072"/>
      </c:lineChart>
      <c:catAx>
        <c:axId val="-209571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09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09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1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20008"/>
        <c:axId val="-2117344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20008"/>
        <c:axId val="-2117344248"/>
      </c:lineChart>
      <c:catAx>
        <c:axId val="-204032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734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3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32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0.00530029269174671</c:v>
                </c:pt>
                <c:pt idx="2">
                  <c:v>0.00824959281814526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0.000947361569667879</c:v>
                </c:pt>
                <c:pt idx="2">
                  <c:v>0.00824959281814526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-0.430289468345739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703464"/>
        <c:axId val="-2019128424"/>
      </c:barChart>
      <c:catAx>
        <c:axId val="-204470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2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2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70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0.335725845071323</c:v>
                </c:pt>
                <c:pt idx="2">
                  <c:v>0.341504647642699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49048"/>
        <c:axId val="-2018934360"/>
      </c:barChart>
      <c:catAx>
        <c:axId val="-20185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3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3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54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147272"/>
        <c:axId val="-2039454376"/>
      </c:barChart>
      <c:catAx>
        <c:axId val="-210714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45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5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147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0.39843109910224</c:v>
                </c:pt>
                <c:pt idx="2">
                  <c:v>0.315540835003922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-0.8484670548909</c:v>
                </c:pt>
                <c:pt idx="2">
                  <c:v>-0.8484670548909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29688"/>
        <c:axId val="-2018730248"/>
      </c:barChart>
      <c:catAx>
        <c:axId val="-201932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3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3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2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0.00612729591007305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0.000972027173898157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0.01122005141706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0.0157077890636329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0.0783844229574675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0.216606757115893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0.264184205755995</c:v>
                </c:pt>
                <c:pt idx="2" formatCode="0.0%">
                  <c:v>0.235778134314551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362184"/>
        <c:axId val="-2039960488"/>
      </c:barChart>
      <c:catAx>
        <c:axId val="-211736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96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96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736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372296"/>
        <c:axId val="-20167283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72296"/>
        <c:axId val="-20167283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372296"/>
        <c:axId val="-2016728360"/>
      </c:scatterChart>
      <c:catAx>
        <c:axId val="-2120372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728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6728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372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535448"/>
        <c:axId val="-21069595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535448"/>
        <c:axId val="-2106959576"/>
      </c:lineChart>
      <c:catAx>
        <c:axId val="-2018535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6959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6959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535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420376"/>
        <c:axId val="-21128329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222344"/>
        <c:axId val="-2095847288"/>
      </c:scatterChart>
      <c:valAx>
        <c:axId val="-2019420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2832904"/>
        <c:crosses val="autoZero"/>
        <c:crossBetween val="midCat"/>
      </c:valAx>
      <c:valAx>
        <c:axId val="-2112832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420376"/>
        <c:crosses val="autoZero"/>
        <c:crossBetween val="midCat"/>
      </c:valAx>
      <c:valAx>
        <c:axId val="-20192223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5847288"/>
        <c:crosses val="autoZero"/>
        <c:crossBetween val="midCat"/>
      </c:valAx>
      <c:valAx>
        <c:axId val="-20958472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2223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69048"/>
        <c:axId val="-20190072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9048"/>
        <c:axId val="-2019007272"/>
      </c:lineChart>
      <c:catAx>
        <c:axId val="-20388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00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00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8690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96472"/>
        <c:axId val="-2040011784"/>
      </c:barChart>
      <c:catAx>
        <c:axId val="-203979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01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01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96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0.00156444582814446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497720"/>
        <c:axId val="-2039614536"/>
      </c:barChart>
      <c:catAx>
        <c:axId val="-210749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1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61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49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0.0810037274216245</c:v>
                </c:pt>
                <c:pt idx="1">
                  <c:v>0.0523296059117088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0.391666188656886</c:v>
                </c:pt>
                <c:pt idx="1">
                  <c:v>0.25302215038421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0.033556963619856</c:v>
                </c:pt>
                <c:pt idx="1">
                  <c:v>0.0216782947861216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0.00182138091623997</c:v>
                </c:pt>
                <c:pt idx="1">
                  <c:v>0.00117663900904023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0.0109277708592777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0.00782222914072229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0.123496463365368</c:v>
                </c:pt>
                <c:pt idx="2">
                  <c:v>0.477598108178208</c:v>
                </c:pt>
                <c:pt idx="3">
                  <c:v>-0.508529539874461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589400"/>
        <c:axId val="-2143650072"/>
      </c:barChart>
      <c:catAx>
        <c:axId val="-2105589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6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36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58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0.40908994358829</c:v>
                </c:pt>
                <c:pt idx="2">
                  <c:v>-0.204544971794145</c:v>
                </c:pt>
                <c:pt idx="3">
                  <c:v>-0.204544971794145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155048"/>
        <c:axId val="-2120496200"/>
      </c:barChart>
      <c:catAx>
        <c:axId val="-2096155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9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049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15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0.10800302324757</c:v>
                </c:pt>
                <c:pt idx="1">
                  <c:v>0.0253303100857631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0.358088346868592</c:v>
                </c:pt>
                <c:pt idx="1">
                  <c:v>0.0839836570453021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0.0409067992985578</c:v>
                </c:pt>
                <c:pt idx="1">
                  <c:v>0.00959400838690741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0.0164211530389958</c:v>
                </c:pt>
                <c:pt idx="3">
                  <c:v>0.00808803060129643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0.00388810869559263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0.0131992684870294</c:v>
                </c:pt>
                <c:pt idx="1">
                  <c:v>0.00792135630044436</c:v>
                </c:pt>
                <c:pt idx="2">
                  <c:v>0.0105603123937369</c:v>
                </c:pt>
                <c:pt idx="3">
                  <c:v>0.0131992684870294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0.216606757115893</c:v>
                </c:pt>
                <c:pt idx="1">
                  <c:v>0.216606757115893</c:v>
                </c:pt>
                <c:pt idx="2">
                  <c:v>0.216606757115893</c:v>
                </c:pt>
                <c:pt idx="3">
                  <c:v>0.216606757115893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0.182729678757234</c:v>
                </c:pt>
                <c:pt idx="2">
                  <c:v>0.457024317461011</c:v>
                </c:pt>
                <c:pt idx="3">
                  <c:v>0.36618969729449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807896"/>
        <c:axId val="-2016812552"/>
      </c:barChart>
      <c:catAx>
        <c:axId val="-20968078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125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1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80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940056"/>
        <c:axId val="-2017013080"/>
      </c:barChart>
      <c:catAx>
        <c:axId val="-212094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13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1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4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0.00819250035110716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14632"/>
        <c:axId val="-2039850296"/>
      </c:barChart>
      <c:catAx>
        <c:axId val="-204381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85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85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1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2909.7717401087516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1948.6261084479504</v>
      </c>
      <c r="T12" s="225">
        <f>IF($B$81=0,0,(SUMIF($N$6:$N$28,$U12,M$6:M$28)+SUMIF($N$91:$N$118,$U12,M$91:M$118))*$I$83*Poor!$B$81/$B$81)</f>
        <v>1986.2326355599382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1.5644458281444582E-3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1.5644458281444582E-3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19476.765063691924</v>
      </c>
      <c r="T23" s="179">
        <f>SUM(T7:T22)</f>
        <v>16664.945544444341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14013.102252966015</v>
      </c>
      <c r="T30" s="237">
        <f t="shared" si="24"/>
        <v>16824.921772213598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0.40908994358829015</v>
      </c>
      <c r="AD30" s="122">
        <f>IF($Y30=0,0,AE30/($Y$30))</f>
        <v>0</v>
      </c>
      <c r="AE30" s="188">
        <f>IF(AE79*4/$I$83+SUM(AE6:AE29)&lt;1,AE79*4/$I$83,1-SUM(AE6:AE29))</f>
        <v>-0.20454497179414508</v>
      </c>
      <c r="AF30" s="122">
        <f>IF($Y30=0,0,AG30/($Y$30))</f>
        <v>0</v>
      </c>
      <c r="AG30" s="188">
        <f>IF(AG79*4/$I$83+SUM(AG6:AG29)&lt;1,AG79*4/$I$83,1-SUM(AG6:AG29))</f>
        <v>-0.20454497179414508</v>
      </c>
      <c r="AH30" s="123">
        <f t="shared" si="12"/>
        <v>0</v>
      </c>
      <c r="AI30" s="184">
        <f t="shared" si="13"/>
        <v>0</v>
      </c>
      <c r="AJ30" s="120">
        <f t="shared" si="14"/>
        <v>0.20454497179414508</v>
      </c>
      <c r="AK30" s="119">
        <f t="shared" si="15"/>
        <v>-0.20454497179414508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0.39424814655368878</v>
      </c>
      <c r="K31" s="22" t="str">
        <f t="shared" si="4"/>
        <v/>
      </c>
      <c r="L31" s="22">
        <f>(1-SUM(L6:L30))</f>
        <v>0.41958421595023132</v>
      </c>
      <c r="M31" s="244">
        <f t="shared" si="6"/>
        <v>0.39424814655368878</v>
      </c>
      <c r="N31" s="167">
        <f>M31*I83</f>
        <v>6004.3608765903982</v>
      </c>
      <c r="P31" s="22"/>
      <c r="Q31" s="59" t="s">
        <v>142</v>
      </c>
      <c r="R31" s="237">
        <f t="shared" si="24"/>
        <v>0</v>
      </c>
      <c r="S31" s="237">
        <f t="shared" si="24"/>
        <v>32395.928919632683</v>
      </c>
      <c r="T31" s="237">
        <f>IF(T25&gt;T$23,T25-T$23,0)</f>
        <v>35207.74843888027</v>
      </c>
      <c r="U31" s="245"/>
      <c r="V31" s="56"/>
      <c r="W31" s="129" t="s">
        <v>84</v>
      </c>
      <c r="X31" s="130"/>
      <c r="Y31" s="121">
        <f>M31*4</f>
        <v>1.5769925862147551</v>
      </c>
      <c r="Z31" s="131"/>
      <c r="AA31" s="132">
        <f>1-AA32+IF($Y32&lt;0,$Y32/4,0)</f>
        <v>0</v>
      </c>
      <c r="AB31" s="131"/>
      <c r="AC31" s="133">
        <f>1-AC32+IF($Y32&lt;0,$Y32/4,0)</f>
        <v>9.5520419107090859E-2</v>
      </c>
      <c r="AD31" s="134"/>
      <c r="AE31" s="133">
        <f>1-AE32+IF($Y32&lt;0,$Y32/4,0)</f>
        <v>0.79649696190065655</v>
      </c>
      <c r="AF31" s="134"/>
      <c r="AG31" s="133">
        <f>1-AG32+IF($Y32&lt;0,$Y32/4,0)</f>
        <v>0.76095250284088078</v>
      </c>
      <c r="AH31" s="123"/>
      <c r="AI31" s="183">
        <f>SUM(AA31,AC31,AE31,AG31)/4</f>
        <v>0.41324247096215705</v>
      </c>
      <c r="AJ31" s="135">
        <f t="shared" si="14"/>
        <v>4.776020955354543E-2</v>
      </c>
      <c r="AK31" s="136">
        <f t="shared" si="15"/>
        <v>0.77872473237076867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0.60575185344631122</v>
      </c>
      <c r="J32" s="17"/>
      <c r="L32" s="22">
        <f>SUM(L6:L30)</f>
        <v>0.58041578404976868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65133.848919632685</v>
      </c>
      <c r="T32" s="237">
        <f t="shared" si="24"/>
        <v>67945.668438880268</v>
      </c>
      <c r="U32" s="56"/>
      <c r="V32" s="56"/>
      <c r="W32" s="110"/>
      <c r="X32" s="118"/>
      <c r="Y32" s="115">
        <f>SUM(Y6:Y31)</f>
        <v>3.9240227023661274</v>
      </c>
      <c r="Z32" s="137"/>
      <c r="AA32" s="138">
        <f>SUM(AA6:AA30)</f>
        <v>1</v>
      </c>
      <c r="AB32" s="137"/>
      <c r="AC32" s="139">
        <f>SUM(AC6:AC30)</f>
        <v>0.90447958089290914</v>
      </c>
      <c r="AD32" s="137"/>
      <c r="AE32" s="139">
        <f>SUM(AE6:AE30)</f>
        <v>0.20350303809934342</v>
      </c>
      <c r="AF32" s="137"/>
      <c r="AG32" s="139">
        <f>SUM(AG6:AG30)</f>
        <v>0.23904749715911924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20.230415188211236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29203.387562289874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0.25000000000000006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708</v>
      </c>
      <c r="AB37" s="122">
        <f>IF($J37=0,0,AC37/($J37))</f>
        <v>0.75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2123.9999999999995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2831.9999999999995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0.25000000000000006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70.800000000000011</v>
      </c>
      <c r="AB38" s="122">
        <f>IF($J38=0,0,AC38/($J38))</f>
        <v>0.75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212.39999999999998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283.2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10860.599999999999</v>
      </c>
      <c r="J65" s="39">
        <f>SUM(J37:J64)</f>
        <v>10860.6</v>
      </c>
      <c r="K65" s="40">
        <f>SUM(K37:K64)</f>
        <v>1</v>
      </c>
      <c r="L65" s="22">
        <f>SUM(L37:L64)</f>
        <v>0.39843109910224006</v>
      </c>
      <c r="M65" s="24">
        <f>SUM(M37:M64)</f>
        <v>0.31554083500392227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2715.15</v>
      </c>
      <c r="AB65" s="137"/>
      <c r="AC65" s="153">
        <f>SUM(AC37:AC64)</f>
        <v>4272.75</v>
      </c>
      <c r="AD65" s="137"/>
      <c r="AE65" s="153">
        <f>SUM(AE37:AE64)</f>
        <v>1936.3500000000001</v>
      </c>
      <c r="AF65" s="137"/>
      <c r="AG65" s="153">
        <f>SUM(AG37:AG64)</f>
        <v>1936.3500000000001</v>
      </c>
      <c r="AH65" s="137"/>
      <c r="AI65" s="153">
        <f>SUM(AI37:AI64)</f>
        <v>10860.6</v>
      </c>
      <c r="AJ65" s="153">
        <f>SUM(AJ37:AJ64)</f>
        <v>6987.9</v>
      </c>
      <c r="AK65" s="153">
        <f>SUM(AK37:AK64)</f>
        <v>3872.7000000000003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10860.6</v>
      </c>
      <c r="J70" s="51">
        <f t="shared" ref="J70:J76" si="44">J124*I$83</f>
        <v>10860.6</v>
      </c>
      <c r="K70" s="40">
        <f>B70/B$76</f>
        <v>0.44994170361932984</v>
      </c>
      <c r="L70" s="22">
        <f t="shared" ref="L70:L74" si="45">(L124*G$37*F$9/F$7)/B$130</f>
        <v>0.39843109910224006</v>
      </c>
      <c r="M70" s="24">
        <f>J70/B$76</f>
        <v>0.31554083500392227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2715.15</v>
      </c>
      <c r="AB70" s="156">
        <f>Poor!AB70</f>
        <v>0.25</v>
      </c>
      <c r="AC70" s="147">
        <f>$J70*AB70</f>
        <v>2715.15</v>
      </c>
      <c r="AD70" s="156">
        <f>Poor!AD70</f>
        <v>0.25</v>
      </c>
      <c r="AE70" s="147">
        <f>$J70*AD70</f>
        <v>2715.15</v>
      </c>
      <c r="AF70" s="156">
        <f>Poor!AF70</f>
        <v>0.25</v>
      </c>
      <c r="AG70" s="147">
        <f>$J70*AF70</f>
        <v>2715.15</v>
      </c>
      <c r="AH70" s="155">
        <f>SUM(Z70,AB70,AD70,AF70)</f>
        <v>1</v>
      </c>
      <c r="AI70" s="147">
        <f>SUM(AA70,AC70,AE70,AG70)</f>
        <v>10860.6</v>
      </c>
      <c r="AJ70" s="148">
        <f>(AA70+AC70)</f>
        <v>5430.3</v>
      </c>
      <c r="AK70" s="147">
        <f>(AE70+AG70)</f>
        <v>5430.3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1557.6</v>
      </c>
      <c r="AD74" s="156"/>
      <c r="AE74" s="147">
        <f>AE30*$I$83/4</f>
        <v>-778.8</v>
      </c>
      <c r="AF74" s="156"/>
      <c r="AG74" s="147">
        <f>AG30*$I$83/4</f>
        <v>-778.8</v>
      </c>
      <c r="AH74" s="155"/>
      <c r="AI74" s="147">
        <f>SUM(AA74,AC74,AE74,AG74)</f>
        <v>0</v>
      </c>
      <c r="AJ74" s="148">
        <f>(AA74+AC74)</f>
        <v>1557.6</v>
      </c>
      <c r="AK74" s="147">
        <f>(AE74+AG74)</f>
        <v>-1557.6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10860.6</v>
      </c>
      <c r="J76" s="51">
        <f t="shared" si="44"/>
        <v>10860.6</v>
      </c>
      <c r="K76" s="40">
        <f>SUM(K70:K75)</f>
        <v>1.9007419055088401</v>
      </c>
      <c r="L76" s="22">
        <f>SUM(L70:L75)</f>
        <v>0.39843109910224006</v>
      </c>
      <c r="M76" s="24">
        <f>SUM(M70:M75)</f>
        <v>0.31554083500392227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2715.15</v>
      </c>
      <c r="AB76" s="137"/>
      <c r="AC76" s="153">
        <f>AC65</f>
        <v>4272.75</v>
      </c>
      <c r="AD76" s="137"/>
      <c r="AE76" s="153">
        <f>AE65</f>
        <v>1936.3500000000001</v>
      </c>
      <c r="AF76" s="137"/>
      <c r="AG76" s="153">
        <f>AG65</f>
        <v>1936.3500000000001</v>
      </c>
      <c r="AH76" s="137"/>
      <c r="AI76" s="153">
        <f>SUM(AA76,AC76,AE76,AG76)</f>
        <v>10860.6</v>
      </c>
      <c r="AJ76" s="154">
        <f>SUM(AA76,AC76)</f>
        <v>6987.9</v>
      </c>
      <c r="AK76" s="154">
        <f>SUM(AE76,AG76)</f>
        <v>3872.7000000000003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29203.387562289874</v>
      </c>
      <c r="J77" s="100">
        <f>J131*I$83</f>
        <v>29203.387562289874</v>
      </c>
      <c r="K77" s="40"/>
      <c r="L77" s="22">
        <f>-(L131*G$37*F$9/F$7)/B$130</f>
        <v>-0.84846705489089957</v>
      </c>
      <c r="M77" s="24">
        <f>-J77/B$76</f>
        <v>-0.84846705489089957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363.69167009135811</v>
      </c>
      <c r="AD77" s="112"/>
      <c r="AE77" s="111">
        <f>AE31*$I$83/4</f>
        <v>3032.6427899313785</v>
      </c>
      <c r="AF77" s="112"/>
      <c r="AG77" s="111">
        <f>AG31*$I$83/4</f>
        <v>2897.3081274708775</v>
      </c>
      <c r="AH77" s="110"/>
      <c r="AI77" s="154">
        <f>SUM(AA77,AC77,AE77,AG77)</f>
        <v>6293.642587493614</v>
      </c>
      <c r="AJ77" s="153">
        <f>SUM(AA77,AC77)</f>
        <v>363.69167009135811</v>
      </c>
      <c r="AK77" s="160">
        <f>SUM(AE77,AG77)</f>
        <v>5929.950917402256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1557.6</v>
      </c>
      <c r="AD79" s="112"/>
      <c r="AE79" s="112">
        <f>AC79-AC74+AE65-AE70</f>
        <v>-778.8</v>
      </c>
      <c r="AF79" s="112"/>
      <c r="AG79" s="112">
        <f>AE79-AE74+AG65-AG70</f>
        <v>-778.8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0.71311027242793146</v>
      </c>
      <c r="J119" s="24">
        <f>SUM(J91:J118)</f>
        <v>0.71311027242793146</v>
      </c>
      <c r="K119" s="22">
        <f>SUM(K91:K118)</f>
        <v>3.7289371738255719</v>
      </c>
      <c r="L119" s="22">
        <f>SUM(L91:L118)</f>
        <v>0.90043911312152936</v>
      </c>
      <c r="M119" s="57">
        <f t="shared" si="49"/>
        <v>0.71311027242793146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0.71311027242793146</v>
      </c>
      <c r="J124" s="240">
        <f>IF(SUMPRODUCT($B$124:$B124,$H$124:$H124)&lt;J$119,($B124*$H124),J$119)</f>
        <v>0.71311027242793146</v>
      </c>
      <c r="K124" s="29">
        <f>(B124)</f>
        <v>1.6778043446805269</v>
      </c>
      <c r="L124" s="29">
        <f>IF(SUMPRODUCT($B$124:$B124,$H$124:$H124)&lt;L$119,($B124*$H124),L$119)</f>
        <v>0.90043911312152936</v>
      </c>
      <c r="M124" s="243">
        <f t="shared" si="66"/>
        <v>0.71311027242793146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0.71311027242793146</v>
      </c>
      <c r="J130" s="231">
        <f>(J119)</f>
        <v>0.71311027242793146</v>
      </c>
      <c r="K130" s="29">
        <f>(B130)</f>
        <v>3.7289371738255719</v>
      </c>
      <c r="L130" s="29">
        <f>(L119)</f>
        <v>0.90043911312152936</v>
      </c>
      <c r="M130" s="243">
        <f t="shared" si="66"/>
        <v>0.71311027242793146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1.9175032374236227</v>
      </c>
      <c r="J131" s="240">
        <f>IF(SUMPRODUCT($B124:$B125,$H124:$H125)&gt;(J119-J128),SUMPRODUCT($B124:$B125,$H124:$H125)+J128-J119,0)</f>
        <v>1.9175032374236227</v>
      </c>
      <c r="K131" s="29"/>
      <c r="L131" s="29">
        <f>IF(I131&lt;SUM(L126:L127),0,I131-(SUM(L126:L127)))</f>
        <v>1.9175032374236227</v>
      </c>
      <c r="M131" s="240">
        <f>IF(I131&lt;SUM(M126:M127),0,I131-(SUM(M126:M127)))</f>
        <v>1.9175032374236227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3846.1309801734415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350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0.60752795566218365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8.1003727421624483E-2</v>
      </c>
      <c r="AB8" s="125">
        <f>IF($Y8=0,0,AC8/$Y8)</f>
        <v>0.39247204433781635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5.2329605911708849E-2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0.60752795566218365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0.39166618865688568</v>
      </c>
      <c r="AB9" s="125">
        <f>IF($Y9=0,0,AC9/$Y9)</f>
        <v>0.39247204433781629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0.25302215038421011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0.3223441695205479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1.3808814601494395E-2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1.3808814601494395E-2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5.523525840597758E-2</v>
      </c>
      <c r="Z10" s="125">
        <f>IF($Y10=0,0,AA10/$Y10)</f>
        <v>0.60752795566218376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3.3556963619856009E-2</v>
      </c>
      <c r="AB10" s="125">
        <f>IF($Y10=0,0,AC10/$Y10)</f>
        <v>0.39247204433781624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2.1678294786121571E-2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1.3808814601494395E-2</v>
      </c>
      <c r="AJ10" s="120">
        <f t="shared" si="14"/>
        <v>2.761762920298879E-2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0.60752795566218365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1.821380916239972E-3</v>
      </c>
      <c r="AB11" s="125">
        <f>IF($Y11=0,0,AC11/$Y11)</f>
        <v>0.39247204433781635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1.1766390090402271E-3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1349.2261084479505</v>
      </c>
      <c r="T12" s="225">
        <f>IF($B$81=0,0,(SUMIF($N$6:$N$28,$U12,M$6:M$28)+SUMIF($N$91:$N$118,$U12,M$91:M$118))*$I$83*Poor!$B$81/$B$81)</f>
        <v>1386.8326355599381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2.731942714819427E-3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2.731942714819427E-3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1.0927770859277708E-2</v>
      </c>
      <c r="Z13" s="116">
        <v>1</v>
      </c>
      <c r="AA13" s="121">
        <f>$M13*Z13*4</f>
        <v>1.0927770859277708E-2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2.731942714819427E-3</v>
      </c>
      <c r="AJ13" s="120">
        <f t="shared" si="14"/>
        <v>5.4638854296388539E-3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1.9555572851805729E-3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1.9555572851805729E-3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7.8222291407222914E-3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7.8222291407222914E-3</v>
      </c>
      <c r="AH16" s="123">
        <f t="shared" si="12"/>
        <v>1</v>
      </c>
      <c r="AI16" s="184">
        <f t="shared" si="13"/>
        <v>1.9555572851805729E-3</v>
      </c>
      <c r="AJ16" s="120">
        <f t="shared" si="14"/>
        <v>0</v>
      </c>
      <c r="AK16" s="119">
        <f t="shared" si="15"/>
        <v>3.9111145703611457E-3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29234.453691766044</v>
      </c>
      <c r="T23" s="179">
        <f>SUM(T7:T22)</f>
        <v>29285.95852214047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2.3141257917278724E-2</v>
      </c>
      <c r="J30" s="234">
        <f>IF(I$32&lt;=1,I30,1-SUM(J6:J29))</f>
        <v>2.3141257917278724E-2</v>
      </c>
      <c r="K30" s="22">
        <f t="shared" si="4"/>
        <v>0.52739667515566635</v>
      </c>
      <c r="L30" s="22">
        <f>IF(L124=L119,0,IF(K30="",0,(L119-L124)/(B119-B124)*K30))</f>
        <v>2.657481273061348E-3</v>
      </c>
      <c r="M30" s="175">
        <f t="shared" si="6"/>
        <v>2.3141257917278724E-2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4255.4136248918876</v>
      </c>
      <c r="T30" s="237">
        <f t="shared" si="50"/>
        <v>4203.9087945174615</v>
      </c>
      <c r="V30" s="56"/>
      <c r="W30" s="110"/>
      <c r="X30" s="118"/>
      <c r="Y30" s="184">
        <f>M30*4</f>
        <v>9.2565031669114894E-2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1.3341589273887104</v>
      </c>
      <c r="AC30" s="188">
        <f>IF(AC79*4/$I$83+SUM(AC6:AC29)&lt;1,AC79*4/$I$83,1-SUM(AC6:AC29))</f>
        <v>0.12349646336536835</v>
      </c>
      <c r="AD30" s="122">
        <f>IF($Y30=0,0,AE30/($Y$30))</f>
        <v>5.1595953630247884</v>
      </c>
      <c r="AE30" s="188">
        <f>IF(AE79*4/$I$83+SUM(AE6:AE29)&lt;1,AE79*4/$I$83,1-SUM(AE6:AE29))</f>
        <v>0.47759810817820786</v>
      </c>
      <c r="AF30" s="122">
        <f>IF($Y30=0,0,AG30/($Y$30))</f>
        <v>-5.4937542904134951</v>
      </c>
      <c r="AG30" s="188">
        <f>IF(AG79*4/$I$83+SUM(AG6:AG29)&lt;1,AG79*4/$I$83,1-SUM(AG6:AG29))</f>
        <v>-0.50852953987446103</v>
      </c>
      <c r="AH30" s="123">
        <f t="shared" si="12"/>
        <v>1.0000000000000036</v>
      </c>
      <c r="AI30" s="184">
        <f t="shared" si="13"/>
        <v>2.3141257917278807E-2</v>
      </c>
      <c r="AJ30" s="120">
        <f t="shared" si="14"/>
        <v>6.1748231682684174E-2</v>
      </c>
      <c r="AK30" s="119">
        <f t="shared" si="15"/>
        <v>-1.5465715848126588E-2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0.27602991968404389</v>
      </c>
      <c r="K31" s="22" t="str">
        <f t="shared" si="4"/>
        <v/>
      </c>
      <c r="L31" s="22">
        <f>(1-SUM(L6:L30))</f>
        <v>0.23010298116689598</v>
      </c>
      <c r="M31" s="178">
        <f t="shared" si="6"/>
        <v>0.27602991968404389</v>
      </c>
      <c r="N31" s="167">
        <f>M31*I83</f>
        <v>4203.908794517466</v>
      </c>
      <c r="P31" s="22"/>
      <c r="Q31" s="241" t="s">
        <v>142</v>
      </c>
      <c r="R31" s="237">
        <f t="shared" si="50"/>
        <v>0</v>
      </c>
      <c r="S31" s="237">
        <f t="shared" si="50"/>
        <v>22638.240291558563</v>
      </c>
      <c r="T31" s="237">
        <f>IF(T25&gt;T$23,T25-T$23,0)</f>
        <v>22586.735461184137</v>
      </c>
      <c r="V31" s="56"/>
      <c r="W31" s="129" t="s">
        <v>84</v>
      </c>
      <c r="X31" s="130"/>
      <c r="Y31" s="121">
        <f>M31*4</f>
        <v>1.1041196787361756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2.7282735771203548E-3</v>
      </c>
      <c r="AF31" s="134"/>
      <c r="AG31" s="133">
        <f>1-AG32+IF($Y32&lt;0,$Y32/4,0)</f>
        <v>1.1013914051590548</v>
      </c>
      <c r="AH31" s="123"/>
      <c r="AI31" s="183">
        <f>SUM(AA31,AC31,AE31,AG31)/4</f>
        <v>0.27602991968404378</v>
      </c>
      <c r="AJ31" s="135">
        <f t="shared" si="14"/>
        <v>0</v>
      </c>
      <c r="AK31" s="136">
        <f t="shared" si="15"/>
        <v>0.55205983936808756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0.72397008031595611</v>
      </c>
      <c r="J32" s="17"/>
      <c r="L32" s="22">
        <f>SUM(L6:L30)</f>
        <v>0.76989701883310402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55376.160291558554</v>
      </c>
      <c r="T32" s="237">
        <f t="shared" si="50"/>
        <v>55324.655461184127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0.99727172642287965</v>
      </c>
      <c r="AF32" s="137"/>
      <c r="AG32" s="139">
        <f>SUM(AG6:AG30)</f>
        <v>-0.1013914051590547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-7.7937611366059159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0.22718235741140591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1930.1413085673046</v>
      </c>
      <c r="AB37" s="122">
        <f>IF($J37=0,0,AC37/($J37))</f>
        <v>0.28554986152336448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2426.0316235025048</v>
      </c>
      <c r="AD37" s="122">
        <f>IF($J37=0,0,AE37/($J37))</f>
        <v>0.44562374035010055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3786.0192980144543</v>
      </c>
      <c r="AF37" s="122">
        <f t="shared" ref="AF37:AF64" si="57">1-SUM(Z37,AB37,AD37)</f>
        <v>4.164404071512906E-2</v>
      </c>
      <c r="AG37" s="147">
        <f>$J37*AF37</f>
        <v>353.80776991573651</v>
      </c>
      <c r="AH37" s="123">
        <f>SUM(Z37,AB37,AD37,AF37)</f>
        <v>1</v>
      </c>
      <c r="AI37" s="112">
        <f>SUM(AA37,AC37,AE37,AG37)</f>
        <v>8496</v>
      </c>
      <c r="AJ37" s="148">
        <f>(AA37+AC37)</f>
        <v>4356.1729320698096</v>
      </c>
      <c r="AK37" s="147">
        <f>(AE37+AG37)</f>
        <v>4139.8270679301904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0.22718235741140591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193.01413085673045</v>
      </c>
      <c r="AB38" s="122">
        <f>IF($J38=0,0,AC38/($J38))</f>
        <v>0.28940962925151525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245.88242101208732</v>
      </c>
      <c r="AD38" s="122">
        <f>IF($J38=0,0,AE38/($J38))</f>
        <v>0.42953723625313545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364.93483592066383</v>
      </c>
      <c r="AF38" s="122">
        <f t="shared" si="57"/>
        <v>5.3870777083943389E-2</v>
      </c>
      <c r="AG38" s="147">
        <f t="shared" ref="AG38:AG64" si="60">$J38*AF38</f>
        <v>45.768612210518299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438.89655186881777</v>
      </c>
      <c r="AK38" s="147">
        <f t="shared" ref="AK38:AK64" si="63">(AE38+AG38)</f>
        <v>410.70344813118214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350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8.1925003511071574E-3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0.60752795566218365</v>
      </c>
      <c r="AA39" s="147">
        <f t="shared" ref="AA39:AA64" si="64">$J39*Z39</f>
        <v>212.63478448176429</v>
      </c>
      <c r="AB39" s="122">
        <f>AB8</f>
        <v>0.39247204433781635</v>
      </c>
      <c r="AC39" s="147">
        <f t="shared" ref="AC39:AC64" si="65">$J39*AB39</f>
        <v>137.36521551823571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350</v>
      </c>
      <c r="AJ39" s="148">
        <f t="shared" si="62"/>
        <v>350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0.60752795566218365</v>
      </c>
      <c r="AA40" s="147">
        <f t="shared" si="64"/>
        <v>0</v>
      </c>
      <c r="AB40" s="122">
        <f>AB9</f>
        <v>0.39247204433781629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0.60752795566218365</v>
      </c>
      <c r="AA41" s="147">
        <f t="shared" si="64"/>
        <v>0</v>
      </c>
      <c r="AB41" s="122">
        <f>AB11</f>
        <v>0.39247204433781635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22033.600000000002</v>
      </c>
      <c r="J65" s="39">
        <f>SUM(J37:J64)</f>
        <v>22033.600000000002</v>
      </c>
      <c r="K65" s="40">
        <f>SUM(K37:K64)</f>
        <v>0.99999999999999989</v>
      </c>
      <c r="L65" s="22">
        <f>SUM(L37:L64)</f>
        <v>0.51279434483404329</v>
      </c>
      <c r="M65" s="24">
        <f>SUM(M37:M64)</f>
        <v>0.51574364496044189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5420.2902239057994</v>
      </c>
      <c r="AB65" s="137"/>
      <c r="AC65" s="153">
        <f>SUM(AC37:AC64)</f>
        <v>5893.7792600328285</v>
      </c>
      <c r="AD65" s="137"/>
      <c r="AE65" s="153">
        <f>SUM(AE37:AE64)</f>
        <v>7235.4541339351181</v>
      </c>
      <c r="AF65" s="137"/>
      <c r="AG65" s="153">
        <f>SUM(AG37:AG64)</f>
        <v>3484.0763821262549</v>
      </c>
      <c r="AH65" s="137"/>
      <c r="AI65" s="153">
        <f>SUM(AI37:AI64)</f>
        <v>22033.600000000002</v>
      </c>
      <c r="AJ65" s="153">
        <f>SUM(AJ37:AJ64)</f>
        <v>11314.069483938627</v>
      </c>
      <c r="AK65" s="153">
        <f>SUM(AK37:AK64)</f>
        <v>10719.530516061373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352.43910437680177</v>
      </c>
      <c r="J71" s="51">
        <f t="shared" si="75"/>
        <v>352.43910437680177</v>
      </c>
      <c r="K71" s="40">
        <f t="shared" ref="K71:K72" si="78">B71/B$76</f>
        <v>0.36465209181842301</v>
      </c>
      <c r="L71" s="22">
        <f t="shared" si="76"/>
        <v>5.3002926917467092E-3</v>
      </c>
      <c r="M71" s="24">
        <f t="shared" ref="M71:M72" si="79">J71/B$76</f>
        <v>8.2495928181452599E-3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352.43910437680177</v>
      </c>
      <c r="J74" s="51">
        <f t="shared" si="75"/>
        <v>352.43910437680177</v>
      </c>
      <c r="K74" s="40">
        <f>B74/B$76</f>
        <v>0.1139459763119704</v>
      </c>
      <c r="L74" s="22">
        <f t="shared" si="76"/>
        <v>9.4736156966787979E-4</v>
      </c>
      <c r="M74" s="24">
        <f>J74/B$76</f>
        <v>8.2495928181452599E-3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470.20977746519168</v>
      </c>
      <c r="AD74" s="156"/>
      <c r="AE74" s="147">
        <f>AE30*$I$83/4</f>
        <v>1818.4431686911557</v>
      </c>
      <c r="AF74" s="156"/>
      <c r="AG74" s="147">
        <f>AG30*$I$83/4</f>
        <v>-1936.2138417795445</v>
      </c>
      <c r="AH74" s="155"/>
      <c r="AI74" s="147">
        <f>SUM(AA74,AC74,AE74,AG74)</f>
        <v>352.43910437680279</v>
      </c>
      <c r="AJ74" s="148">
        <f>(AA74+AC74)</f>
        <v>470.20977746519168</v>
      </c>
      <c r="AK74" s="147">
        <f>(AE74+AG74)</f>
        <v>-117.77067308838878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3.2792586618370478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3.2792586618361383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22033.600000000002</v>
      </c>
      <c r="J76" s="51">
        <f t="shared" si="75"/>
        <v>22033.600000000002</v>
      </c>
      <c r="K76" s="40">
        <f>SUM(K70:K75)</f>
        <v>1.5291234062904446</v>
      </c>
      <c r="L76" s="22">
        <f>SUM(L70:L75)</f>
        <v>0.51374170640371131</v>
      </c>
      <c r="M76" s="24">
        <f>SUM(M70:M75)</f>
        <v>0.52399323777858731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5420.2902239057994</v>
      </c>
      <c r="AB76" s="137"/>
      <c r="AC76" s="153">
        <f>AC65</f>
        <v>5893.7792600328285</v>
      </c>
      <c r="AD76" s="137"/>
      <c r="AE76" s="153">
        <f>AE65</f>
        <v>7235.4541339351181</v>
      </c>
      <c r="AF76" s="137"/>
      <c r="AG76" s="153">
        <f>AG65</f>
        <v>3484.0763821262549</v>
      </c>
      <c r="AH76" s="137"/>
      <c r="AI76" s="153">
        <f>SUM(AA76,AC76,AE76,AG76)</f>
        <v>22033.600000000002</v>
      </c>
      <c r="AJ76" s="154">
        <f>SUM(AA76,AC76)</f>
        <v>11314.069483938627</v>
      </c>
      <c r="AK76" s="154">
        <f>SUM(AE76,AG76)</f>
        <v>10719.530516061373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18382.826666666668</v>
      </c>
      <c r="K77" s="40"/>
      <c r="L77" s="22">
        <f>-(L131*G$37*F$9/F$7)/B$130</f>
        <v>-0.43028946834573928</v>
      </c>
      <c r="M77" s="24">
        <f>-J77/B$76</f>
        <v>-0.43028946834573917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10.387835218945002</v>
      </c>
      <c r="AF77" s="112"/>
      <c r="AG77" s="111">
        <f>AG31*$I$83/4</f>
        <v>4193.5209592985193</v>
      </c>
      <c r="AH77" s="110"/>
      <c r="AI77" s="154">
        <f>SUM(AA77,AC77,AE77,AG77)</f>
        <v>4203.9087945174642</v>
      </c>
      <c r="AJ77" s="153">
        <f>SUM(AA77,AC77)</f>
        <v>0</v>
      </c>
      <c r="AK77" s="160">
        <f>SUM(AE77,AG77)</f>
        <v>4203.9087945174642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3.2792586618370478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473.48903612702907</v>
      </c>
      <c r="AD79" s="112"/>
      <c r="AE79" s="112">
        <f>AC79-AC74+AE65-AE70</f>
        <v>1818.4431686911557</v>
      </c>
      <c r="AF79" s="112"/>
      <c r="AG79" s="112">
        <f>AE79-AE74+AG65-AG70</f>
        <v>-1936.2138417795445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2.2981105588068432E-2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2.2981105588068432E-2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1.4467328231007561</v>
      </c>
      <c r="J119" s="24">
        <f>SUM(J91:J118)</f>
        <v>1.4467328231007561</v>
      </c>
      <c r="K119" s="22">
        <f>SUM(K91:K118)</f>
        <v>4.6284800238291659</v>
      </c>
      <c r="L119" s="22">
        <f>SUM(L91:L118)</f>
        <v>1.4384596250890516</v>
      </c>
      <c r="M119" s="57">
        <f t="shared" si="80"/>
        <v>1.4467328231007561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2.3141257917278724E-2</v>
      </c>
      <c r="J125" s="240">
        <f>IF(SUMPRODUCT($B$124:$B125,$H$124:$H125)&lt;J$119,($B125*$H125),IF(SUMPRODUCT($B$124:$B124,$H$124:$H124)&lt;J$119,J$119-SUMPRODUCT($B$124:$B124,$H$124:$H124),0))</f>
        <v>2.3141257917278724E-2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1.486805990557416E-2</v>
      </c>
      <c r="M125" s="243">
        <f t="shared" si="93"/>
        <v>2.3141257917278724E-2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2.3141257917278724E-2</v>
      </c>
      <c r="J128" s="231">
        <f>(J30)</f>
        <v>2.3141257917278724E-2</v>
      </c>
      <c r="K128" s="29">
        <f>(B128)</f>
        <v>0.52739667515566635</v>
      </c>
      <c r="L128" s="29">
        <f>IF(L124=L119,0,(L119-L124)/(B119-B124)*K128)</f>
        <v>2.657481273061348E-3</v>
      </c>
      <c r="M128" s="243">
        <f t="shared" si="93"/>
        <v>2.3141257917278724E-2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1.4467328231007561</v>
      </c>
      <c r="J130" s="231">
        <f>(J119)</f>
        <v>1.4467328231007561</v>
      </c>
      <c r="K130" s="29">
        <f>(B130)</f>
        <v>4.6284800238291659</v>
      </c>
      <c r="L130" s="29">
        <f>(L119)</f>
        <v>1.4384596250890516</v>
      </c>
      <c r="M130" s="243">
        <f t="shared" si="93"/>
        <v>1.4467328231007561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1.2070219446680766</v>
      </c>
      <c r="J131" s="240">
        <f>IF(SUMPRODUCT($B124:$B125,$H124:$H125)&gt;(J119-J128),SUMPRODUCT($B124:$B125,$H124:$H125)+J128-J119,0)</f>
        <v>1.2070219446680766</v>
      </c>
      <c r="K131" s="29"/>
      <c r="L131" s="29">
        <f>IF(I131&lt;SUM(L126:L127),0,I131-(SUM(L126:L127)))</f>
        <v>1.2070219446680766</v>
      </c>
      <c r="M131" s="240">
        <f>IF(I131&lt;SUM(M126:M127),0,I131-(SUM(M126:M127)))</f>
        <v>1.2070219446680766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3502.166269082099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171.67639130262248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0.81002267435677699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0.10800302324757026</v>
      </c>
      <c r="AB8" s="125">
        <f>IF($Y8=0,0,AC8/$Y8)</f>
        <v>0.18997732564322303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2.5330310085763072E-2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0.81002267435677688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0.3580883468685922</v>
      </c>
      <c r="AB9" s="125">
        <f>IF($Y9=0,0,AC9/$Y9)</f>
        <v>0.18997732564322309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8.3983657045302085E-2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0.81002267435677688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4.0906799298557818E-2</v>
      </c>
      <c r="AB10" s="125">
        <f>IF($Y10=0,0,AC10/$Y10)</f>
        <v>0.18997732564322306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9.59400838690741E-3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14030.299406407663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6.1272959100730547E-3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6.1272959100730547E-3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239.22809767367661</v>
      </c>
      <c r="U12" s="226">
        <v>6</v>
      </c>
      <c r="V12" s="56"/>
      <c r="W12" s="117"/>
      <c r="X12" s="118"/>
      <c r="Y12" s="184">
        <f t="shared" si="9"/>
        <v>2.4509183640292219E-2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1.6421153038995787E-2</v>
      </c>
      <c r="AF12" s="122">
        <f>1-SUM(Z12,AB12,AD12)</f>
        <v>0.32999999999999996</v>
      </c>
      <c r="AG12" s="121">
        <f>$M12*AF12*4</f>
        <v>8.0880306012964306E-3</v>
      </c>
      <c r="AH12" s="123">
        <f t="shared" si="12"/>
        <v>1</v>
      </c>
      <c r="AI12" s="184">
        <f t="shared" si="13"/>
        <v>6.1272959100730547E-3</v>
      </c>
      <c r="AJ12" s="120">
        <f t="shared" si="14"/>
        <v>0</v>
      </c>
      <c r="AK12" s="119">
        <f t="shared" si="15"/>
        <v>1.2254591820146109E-2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59552.91428571428</v>
      </c>
      <c r="T13" s="225">
        <f>IF($B$81=0,0,(SUMIF($N$6:$N$28,$U13,M$6:M$28)+SUMIF($N$91:$N$118,$U13,M$91:M$118))*$I$83*Poor!$B$81/$B$81)</f>
        <v>59552.91428571428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9.7202717389815747E-4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9.7202717389815747E-4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3.8881086955926299E-3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3.8881086955926299E-3</v>
      </c>
      <c r="AH16" s="123">
        <f t="shared" si="12"/>
        <v>1</v>
      </c>
      <c r="AI16" s="184">
        <f t="shared" si="13"/>
        <v>9.7202717389815747E-4</v>
      </c>
      <c r="AJ16" s="120">
        <f t="shared" si="14"/>
        <v>0</v>
      </c>
      <c r="AK16" s="119">
        <f t="shared" si="15"/>
        <v>1.9440543477963149E-3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1.122005141706001E-2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1.122005141706001E-2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4.4880205668240039E-2</v>
      </c>
      <c r="Z17" s="156">
        <f>Poor!Z17</f>
        <v>0.29409999999999997</v>
      </c>
      <c r="AA17" s="121">
        <f t="shared" si="16"/>
        <v>1.3199268487029394E-2</v>
      </c>
      <c r="AB17" s="156">
        <f>Poor!AB17</f>
        <v>0.17649999999999999</v>
      </c>
      <c r="AC17" s="121">
        <f t="shared" si="7"/>
        <v>7.9213563004443665E-3</v>
      </c>
      <c r="AD17" s="156">
        <f>Poor!AD17</f>
        <v>0.23530000000000001</v>
      </c>
      <c r="AE17" s="121">
        <f t="shared" si="8"/>
        <v>1.0560312393736882E-2</v>
      </c>
      <c r="AF17" s="122">
        <f t="shared" si="10"/>
        <v>0.29410000000000003</v>
      </c>
      <c r="AG17" s="121">
        <f t="shared" si="11"/>
        <v>1.3199268487029396E-2</v>
      </c>
      <c r="AH17" s="123">
        <f t="shared" si="12"/>
        <v>1</v>
      </c>
      <c r="AI17" s="184">
        <f t="shared" si="13"/>
        <v>1.122005141706001E-2</v>
      </c>
      <c r="AJ17" s="120">
        <f t="shared" si="14"/>
        <v>1.056031239373688E-2</v>
      </c>
      <c r="AK17" s="119">
        <f t="shared" si="15"/>
        <v>1.1879790440383139E-2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1.5707789063632887E-2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1.5707789063632887E-2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80810.168006136912</v>
      </c>
      <c r="T23" s="179">
        <f>SUM(T7:T22)</f>
        <v>80901.227727401885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7.8384422957467503E-2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7.8384422957467503E-2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0.31353769182987001</v>
      </c>
      <c r="Z27" s="156">
        <f>Poor!Z27</f>
        <v>0.25</v>
      </c>
      <c r="AA27" s="121">
        <f t="shared" si="16"/>
        <v>7.8384422957467503E-2</v>
      </c>
      <c r="AB27" s="156">
        <f>Poor!AB27</f>
        <v>0.25</v>
      </c>
      <c r="AC27" s="121">
        <f t="shared" si="7"/>
        <v>7.8384422957467503E-2</v>
      </c>
      <c r="AD27" s="156">
        <f>Poor!AD27</f>
        <v>0.25</v>
      </c>
      <c r="AE27" s="121">
        <f t="shared" si="8"/>
        <v>7.8384422957467503E-2</v>
      </c>
      <c r="AF27" s="122">
        <f t="shared" si="10"/>
        <v>0.25</v>
      </c>
      <c r="AG27" s="121">
        <f t="shared" si="11"/>
        <v>7.8384422957467503E-2</v>
      </c>
      <c r="AH27" s="123">
        <f t="shared" si="12"/>
        <v>1</v>
      </c>
      <c r="AI27" s="184">
        <f t="shared" si="13"/>
        <v>7.8384422957467503E-2</v>
      </c>
      <c r="AJ27" s="120">
        <f t="shared" si="14"/>
        <v>7.8384422957467503E-2</v>
      </c>
      <c r="AK27" s="119">
        <f t="shared" si="15"/>
        <v>7.8384422957467503E-2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0.21660675711589314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0.21660675711589314</v>
      </c>
      <c r="N29" s="232"/>
      <c r="P29" s="22"/>
      <c r="V29" s="56"/>
      <c r="W29" s="110"/>
      <c r="X29" s="118"/>
      <c r="Y29" s="184">
        <f t="shared" si="9"/>
        <v>0.86642702846357256</v>
      </c>
      <c r="Z29" s="156">
        <f>Poor!Z29</f>
        <v>0.25</v>
      </c>
      <c r="AA29" s="121">
        <f t="shared" si="16"/>
        <v>0.21660675711589314</v>
      </c>
      <c r="AB29" s="156">
        <f>Poor!AB29</f>
        <v>0.25</v>
      </c>
      <c r="AC29" s="121">
        <f t="shared" si="7"/>
        <v>0.21660675711589314</v>
      </c>
      <c r="AD29" s="156">
        <f>Poor!AD29</f>
        <v>0.25</v>
      </c>
      <c r="AE29" s="121">
        <f t="shared" si="8"/>
        <v>0.21660675711589314</v>
      </c>
      <c r="AF29" s="122">
        <f t="shared" si="10"/>
        <v>0.25</v>
      </c>
      <c r="AG29" s="121">
        <f t="shared" si="11"/>
        <v>0.21660675711589314</v>
      </c>
      <c r="AH29" s="123">
        <f t="shared" si="12"/>
        <v>1</v>
      </c>
      <c r="AI29" s="184">
        <f t="shared" si="13"/>
        <v>0.21660675711589314</v>
      </c>
      <c r="AJ29" s="120">
        <f t="shared" si="14"/>
        <v>0.21660675711589314</v>
      </c>
      <c r="AK29" s="119">
        <f t="shared" si="15"/>
        <v>0.21660675711589314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3.4429849065941034</v>
      </c>
      <c r="J30" s="234">
        <f>IF(I$32&lt;=1,I30,1-SUM(J6:J29))</f>
        <v>0.23577813431455097</v>
      </c>
      <c r="K30" s="22">
        <f t="shared" si="4"/>
        <v>0.60906730012453303</v>
      </c>
      <c r="L30" s="22">
        <f>IF(L124=L119,0,IF(K30="",0,(L119-L124)/(B119-B124)*K30))</f>
        <v>0.26418420575599472</v>
      </c>
      <c r="M30" s="175">
        <f t="shared" si="6"/>
        <v>0.23577813431455097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0.94311253725820388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0.1937517226612869</v>
      </c>
      <c r="AC30" s="188">
        <f>IF(AC79*4/$I$84+SUM(AC6:AC29)&lt;1,AC79*4/$I$84,1-SUM(AC6:AC29))</f>
        <v>0.18272967875723412</v>
      </c>
      <c r="AD30" s="122">
        <f>IF($Y30=0,0,AE30/($Y$30))</f>
        <v>0.48459149826346543</v>
      </c>
      <c r="AE30" s="188">
        <f>IF(AE79*4/$I$84+SUM(AE6:AE29)&lt;1,AE79*4/$I$84,1-SUM(AE6:AE29))</f>
        <v>0.45702431746101135</v>
      </c>
      <c r="AF30" s="122">
        <f>IF($Y30=0,0,AG30/($Y$30))</f>
        <v>0.38827783835751872</v>
      </c>
      <c r="AG30" s="188">
        <f>IF(AG79*4/$I$84+SUM(AG6:AG29)&lt;1,AG79*4/$I$84,1-SUM(AG6:AG29))</f>
        <v>0.36618969729449025</v>
      </c>
      <c r="AH30" s="123">
        <f t="shared" si="12"/>
        <v>1.0666210592822711</v>
      </c>
      <c r="AI30" s="184">
        <f t="shared" si="13"/>
        <v>0.25148592337818393</v>
      </c>
      <c r="AJ30" s="120">
        <f t="shared" si="14"/>
        <v>9.1364839378617058E-2</v>
      </c>
      <c r="AK30" s="119">
        <f t="shared" si="15"/>
        <v>0.4116070073777508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-4.235014819125027E-2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4.141302836456501</v>
      </c>
      <c r="J32" s="17"/>
      <c r="L32" s="22">
        <f>SUM(L6:L30)</f>
        <v>1.0423501481912503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3800.4459771877009</v>
      </c>
      <c r="T32" s="237">
        <f t="shared" si="24"/>
        <v>3709.3862559227273</v>
      </c>
      <c r="V32" s="56"/>
      <c r="W32" s="110"/>
      <c r="X32" s="118"/>
      <c r="Y32" s="115">
        <f>SUM(Y6:Y31)</f>
        <v>3.9371688437454684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0.17463273412200736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948.51198060670492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1.2298850919409571E-2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948.51198060670492</v>
      </c>
      <c r="AH38" s="123">
        <f t="shared" ref="AH38:AI58" si="37">SUM(Z38,AB38,AD38,AF38)</f>
        <v>1</v>
      </c>
      <c r="AI38" s="112">
        <f t="shared" si="37"/>
        <v>948.51198060670492</v>
      </c>
      <c r="AJ38" s="148">
        <f t="shared" ref="AJ38:AJ64" si="38">(AA38+AC38)</f>
        <v>0</v>
      </c>
      <c r="AK38" s="147">
        <f t="shared" ref="AK38:AK64" si="39">(AE38+AG38)</f>
        <v>948.51198060670492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0.81002267435677699</v>
      </c>
      <c r="AA39" s="147">
        <f t="shared" ref="AA39:AA64" si="40">$J39*Z39</f>
        <v>0</v>
      </c>
      <c r="AB39" s="122">
        <f>AB8</f>
        <v>0.18997732564322303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28.887854305729746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3.7457345900948814E-4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0.81002267435677688</v>
      </c>
      <c r="AA40" s="147">
        <f t="shared" si="40"/>
        <v>23.399817001156141</v>
      </c>
      <c r="AB40" s="122">
        <f>AB9</f>
        <v>0.18997732564322309</v>
      </c>
      <c r="AC40" s="147">
        <f t="shared" si="41"/>
        <v>5.4880373045736039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28.887854305729746</v>
      </c>
      <c r="AJ40" s="148">
        <f t="shared" si="38"/>
        <v>28.887854305729746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28.887854305729746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3.7457345900948814E-4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7.2219635764324366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14.443927152864873</v>
      </c>
      <c r="AF42" s="122">
        <f t="shared" si="29"/>
        <v>0.25</v>
      </c>
      <c r="AG42" s="147">
        <f t="shared" si="36"/>
        <v>7.2219635764324366</v>
      </c>
      <c r="AH42" s="123">
        <f t="shared" si="37"/>
        <v>1</v>
      </c>
      <c r="AI42" s="112">
        <f t="shared" si="37"/>
        <v>28.887854305729746</v>
      </c>
      <c r="AJ42" s="148">
        <f t="shared" si="38"/>
        <v>7.2219635764324366</v>
      </c>
      <c r="AK42" s="147">
        <f t="shared" si="39"/>
        <v>21.66589072929731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92.441133778335185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1.1986350688303622E-3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23.110283444583796</v>
      </c>
      <c r="AB43" s="156">
        <f>Poor!AB43</f>
        <v>0.25</v>
      </c>
      <c r="AC43" s="147">
        <f t="shared" si="41"/>
        <v>23.110283444583796</v>
      </c>
      <c r="AD43" s="156">
        <f>Poor!AD43</f>
        <v>0.25</v>
      </c>
      <c r="AE43" s="147">
        <f t="shared" si="42"/>
        <v>23.110283444583796</v>
      </c>
      <c r="AF43" s="122">
        <f t="shared" si="29"/>
        <v>0.25</v>
      </c>
      <c r="AG43" s="147">
        <f t="shared" si="36"/>
        <v>23.110283444583796</v>
      </c>
      <c r="AH43" s="123">
        <f t="shared" si="37"/>
        <v>1</v>
      </c>
      <c r="AI43" s="112">
        <f t="shared" si="37"/>
        <v>92.441133778335185</v>
      </c>
      <c r="AJ43" s="148">
        <f t="shared" si="38"/>
        <v>46.220566889167593</v>
      </c>
      <c r="AK43" s="147">
        <f t="shared" si="39"/>
        <v>46.220566889167593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64852.799999999996</v>
      </c>
      <c r="J65" s="39">
        <f>SUM(J37:J64)</f>
        <v>64535.528822996494</v>
      </c>
      <c r="K65" s="40">
        <f>SUM(K37:K64)</f>
        <v>1</v>
      </c>
      <c r="L65" s="22">
        <f>SUM(L37:L64)</f>
        <v>0.83592749150696288</v>
      </c>
      <c r="M65" s="24">
        <f>SUM(M37:M64)</f>
        <v>0.83679791529001446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13080.93206402217</v>
      </c>
      <c r="AB65" s="137"/>
      <c r="AC65" s="153">
        <f>SUM(AC37:AC64)</f>
        <v>13055.798320749156</v>
      </c>
      <c r="AD65" s="137"/>
      <c r="AE65" s="153">
        <f>SUM(AE37:AE64)</f>
        <v>13064.754210597448</v>
      </c>
      <c r="AF65" s="137"/>
      <c r="AG65" s="153">
        <f>SUM(AG37:AG64)</f>
        <v>25334.044227627721</v>
      </c>
      <c r="AH65" s="137"/>
      <c r="AI65" s="153">
        <f>SUM(AI37:AI64)</f>
        <v>64535.528822996494</v>
      </c>
      <c r="AJ65" s="153">
        <f>SUM(AJ37:AJ64)</f>
        <v>26136.730384771326</v>
      </c>
      <c r="AK65" s="153">
        <f>SUM(AK37:AK64)</f>
        <v>38398.798438225167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26337.521435500224</v>
      </c>
      <c r="K72" s="40">
        <f t="shared" si="47"/>
        <v>0.31477399445035137</v>
      </c>
      <c r="L72" s="22">
        <f t="shared" si="45"/>
        <v>0.33572584507132286</v>
      </c>
      <c r="M72" s="24">
        <f t="shared" si="48"/>
        <v>0.34150464764269889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45881.784216329688</v>
      </c>
      <c r="J74" s="51">
        <f t="shared" si="44"/>
        <v>3142.0182704926278</v>
      </c>
      <c r="K74" s="40">
        <f>B74/B$76</f>
        <v>6.3783483598205459E-2</v>
      </c>
      <c r="L74" s="22">
        <f t="shared" si="45"/>
        <v>4.5649260384919954E-2</v>
      </c>
      <c r="M74" s="24">
        <f>J74/B$76</f>
        <v>4.0740881596595363E-2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1338.6609023364717</v>
      </c>
      <c r="AD74" s="156"/>
      <c r="AE74" s="147">
        <f>AE30*$I$84/4</f>
        <v>3348.1183208058746</v>
      </c>
      <c r="AF74" s="156"/>
      <c r="AG74" s="147">
        <f>AG30*$I$84/4</f>
        <v>2682.6722070574156</v>
      </c>
      <c r="AH74" s="155"/>
      <c r="AI74" s="147">
        <f>SUM(AA74,AC74,AE74,AG74)</f>
        <v>7369.4514301997624</v>
      </c>
      <c r="AJ74" s="148">
        <f>(AA74+AC74)</f>
        <v>1338.6609023364717</v>
      </c>
      <c r="AK74" s="147">
        <f>(AE74+AG74)</f>
        <v>6030.7905278632898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27709.492337668034</v>
      </c>
      <c r="AB75" s="158"/>
      <c r="AC75" s="149">
        <f>AA75+AC65-SUM(AC70,AC74)</f>
        <v>34683.875810163139</v>
      </c>
      <c r="AD75" s="158"/>
      <c r="AE75" s="149">
        <f>AC75+AE65-SUM(AE70,AE74)</f>
        <v>39657.757754037142</v>
      </c>
      <c r="AF75" s="158"/>
      <c r="AG75" s="149">
        <f>IF(SUM(AG6:AG29)+((AG65-AG70-$J$75)*4/I$83)&lt;1,0,AG65-AG70-$J$75-(1-SUM(AG6:AG29))*I$83/4)</f>
        <v>19371.314219563439</v>
      </c>
      <c r="AH75" s="134"/>
      <c r="AI75" s="149">
        <f>AI76-SUM(AI70,AI74)</f>
        <v>38195.061609126431</v>
      </c>
      <c r="AJ75" s="151">
        <f>AJ76-SUM(AJ70,AJ74)</f>
        <v>15312.561590599704</v>
      </c>
      <c r="AK75" s="149">
        <f>AJ75+AK76-SUM(AK70,AK74)</f>
        <v>38195.061609126431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64852.799999999996</v>
      </c>
      <c r="J76" s="51">
        <f t="shared" si="44"/>
        <v>64535.528822996494</v>
      </c>
      <c r="K76" s="40">
        <f>SUM(K70:K75)</f>
        <v>1</v>
      </c>
      <c r="L76" s="22">
        <f>SUM(L70:L75)</f>
        <v>0.83592749150696277</v>
      </c>
      <c r="M76" s="24">
        <f>SUM(M70:M75)</f>
        <v>0.83679791529001435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13080.93206402217</v>
      </c>
      <c r="AB76" s="137"/>
      <c r="AC76" s="153">
        <f>AC65</f>
        <v>13055.798320749156</v>
      </c>
      <c r="AD76" s="137"/>
      <c r="AE76" s="153">
        <f>AE65</f>
        <v>13064.754210597448</v>
      </c>
      <c r="AF76" s="137"/>
      <c r="AG76" s="153">
        <f>AG65</f>
        <v>25334.044227627721</v>
      </c>
      <c r="AH76" s="137"/>
      <c r="AI76" s="153">
        <f>SUM(AA76,AC76,AE76,AG76)</f>
        <v>64535.528822996494</v>
      </c>
      <c r="AJ76" s="154">
        <f>SUM(AA76,AC76)</f>
        <v>26136.730384771326</v>
      </c>
      <c r="AK76" s="154">
        <f>SUM(AE76,AG76)</f>
        <v>38398.798438225167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19371.314219563439</v>
      </c>
      <c r="AB78" s="112"/>
      <c r="AC78" s="112">
        <f>IF(AA75&lt;0,0,AA75)</f>
        <v>27709.492337668034</v>
      </c>
      <c r="AD78" s="112"/>
      <c r="AE78" s="112">
        <f>AC75</f>
        <v>34683.875810163139</v>
      </c>
      <c r="AF78" s="112"/>
      <c r="AG78" s="112">
        <f>AE75</f>
        <v>39657.757754037142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27709.492337668034</v>
      </c>
      <c r="AB79" s="112"/>
      <c r="AC79" s="112">
        <f>AA79-AA74+AC65-AC70</f>
        <v>36022.536712499612</v>
      </c>
      <c r="AD79" s="112"/>
      <c r="AE79" s="112">
        <f>AC79-AC74+AE65-AE70</f>
        <v>43005.876074843014</v>
      </c>
      <c r="AF79" s="112"/>
      <c r="AG79" s="112">
        <f>AE79-AE74+AG65-AG70</f>
        <v>60249.048035747284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7.1176666050189713E-2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7.1176666050189713E-2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2.1677545469802858E-3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2.1677545469802858E-3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2.1677545469802858E-3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2.1677545469802858E-3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6.9368145503369144E-3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6.9368145503369144E-3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4.8665764717775808</v>
      </c>
      <c r="J119" s="24">
        <f>SUM(J91:J118)</f>
        <v>4.8427683332673173</v>
      </c>
      <c r="K119" s="22">
        <f>SUM(K91:K118)</f>
        <v>9.5489814253680727</v>
      </c>
      <c r="L119" s="22">
        <f>SUM(L91:L118)</f>
        <v>4.8377309632451615</v>
      </c>
      <c r="M119" s="57">
        <f t="shared" si="49"/>
        <v>4.8427683332673173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1.9763766891012122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1.9429332476376131</v>
      </c>
      <c r="M126" s="57">
        <f t="shared" si="65"/>
        <v>1.9763766891012122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3.4429849065941034</v>
      </c>
      <c r="J128" s="231">
        <f>(J30)</f>
        <v>0.23577813431455097</v>
      </c>
      <c r="K128" s="22">
        <f>(B128)</f>
        <v>0.60906730012453303</v>
      </c>
      <c r="L128" s="22">
        <f>IF(L124=L119,0,(L119-L124)/(B119-B124)*K128)</f>
        <v>0.26418420575599472</v>
      </c>
      <c r="M128" s="57">
        <f t="shared" si="63"/>
        <v>0.23577813431455097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4.8665764717775808</v>
      </c>
      <c r="J130" s="231">
        <f>(J119)</f>
        <v>4.8427683332673173</v>
      </c>
      <c r="K130" s="22">
        <f>(B130)</f>
        <v>9.5489814253680727</v>
      </c>
      <c r="L130" s="22">
        <f>(L119)</f>
        <v>4.8377309632451615</v>
      </c>
      <c r="M130" s="57">
        <f t="shared" si="63"/>
        <v>4.8427683332673173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2909.7717401087516</v>
      </c>
      <c r="G72" s="109">
        <f>Poor!T7</f>
        <v>3846.1309801734415</v>
      </c>
      <c r="H72" s="109">
        <f>Middle!T7</f>
        <v>3502.166269082099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350</v>
      </c>
      <c r="H73" s="109">
        <f>Middle!T8</f>
        <v>171.67639130262248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14030.299406407663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1986.2326355599382</v>
      </c>
      <c r="G77" s="109">
        <f>Poor!T12</f>
        <v>1386.8326355599381</v>
      </c>
      <c r="H77" s="109">
        <f>Middle!T12</f>
        <v>239.22809767367661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59552.91428571428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16664.945544444341</v>
      </c>
      <c r="G88" s="109">
        <f>Poor!T23</f>
        <v>29285.95852214047</v>
      </c>
      <c r="H88" s="109">
        <f>Middle!T23</f>
        <v>80901.227727401885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16824.921772213598</v>
      </c>
      <c r="G98" s="242">
        <f t="shared" si="0"/>
        <v>4203.9087945174615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35207.74843888027</v>
      </c>
      <c r="G99" s="242">
        <f t="shared" si="0"/>
        <v>22586.735461184137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67945.668438880268</v>
      </c>
      <c r="G100" s="242">
        <f t="shared" si="0"/>
        <v>55324.655461184127</v>
      </c>
      <c r="H100" s="242">
        <f t="shared" si="0"/>
        <v>3709.3862559227273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2016-06-05T11:03:10Z</dcterms:modified>
  <cp:category/>
</cp:coreProperties>
</file>