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60" windowWidth="24120" windowHeight="1600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  <externalReference r:id="rId10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6" i="8" l="1"/>
  <c r="S56" i="8"/>
  <c r="R56" i="8"/>
  <c r="T55" i="8"/>
  <c r="S55" i="8"/>
  <c r="R55" i="8"/>
  <c r="T54" i="8"/>
  <c r="S54" i="8"/>
  <c r="R54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T56" i="7"/>
  <c r="S56" i="7"/>
  <c r="R56" i="7"/>
  <c r="T55" i="7"/>
  <c r="S55" i="7"/>
  <c r="R55" i="7"/>
  <c r="T54" i="7"/>
  <c r="S54" i="7"/>
  <c r="R54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T56" i="12"/>
  <c r="S56" i="12"/>
  <c r="R56" i="12"/>
  <c r="T55" i="12"/>
  <c r="S55" i="12"/>
  <c r="R55" i="12"/>
  <c r="T54" i="12"/>
  <c r="S54" i="12"/>
  <c r="R54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T56" i="1"/>
  <c r="S56" i="1"/>
  <c r="R56" i="1"/>
  <c r="T55" i="1"/>
  <c r="S55" i="1"/>
  <c r="R55" i="1"/>
  <c r="T54" i="1"/>
  <c r="S54" i="1"/>
  <c r="R54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T37" i="1"/>
  <c r="R37" i="1"/>
  <c r="S37" i="1"/>
  <c r="A126" i="9"/>
  <c r="F126" i="9"/>
  <c r="G126" i="9"/>
  <c r="H126" i="9"/>
  <c r="I126" i="9"/>
  <c r="A124" i="9"/>
  <c r="F124" i="9"/>
  <c r="G124" i="9"/>
  <c r="H124" i="9"/>
  <c r="I124" i="9"/>
  <c r="A125" i="9"/>
  <c r="F125" i="9"/>
  <c r="G125" i="9"/>
  <c r="H125" i="9"/>
  <c r="I125" i="9"/>
  <c r="I123" i="9"/>
  <c r="H123" i="9"/>
  <c r="G123" i="9"/>
  <c r="F123" i="9"/>
  <c r="A123" i="9"/>
  <c r="A122" i="9"/>
  <c r="B122" i="9"/>
  <c r="C122" i="9"/>
  <c r="D122" i="9"/>
  <c r="E122" i="9"/>
  <c r="F122" i="9"/>
  <c r="G122" i="9"/>
  <c r="H122" i="9"/>
  <c r="I12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02" i="9"/>
  <c r="B118" i="9"/>
  <c r="R53" i="1"/>
  <c r="C118" i="9"/>
  <c r="D118" i="9"/>
  <c r="E118" i="9"/>
  <c r="F118" i="9"/>
  <c r="T53" i="1"/>
  <c r="G118" i="9"/>
  <c r="H118" i="9"/>
  <c r="I118" i="9"/>
  <c r="B119" i="9"/>
  <c r="C119" i="9"/>
  <c r="D119" i="9"/>
  <c r="E119" i="9"/>
  <c r="F119" i="9"/>
  <c r="G119" i="9"/>
  <c r="H119" i="9"/>
  <c r="I119" i="9"/>
  <c r="B120" i="9"/>
  <c r="C120" i="9"/>
  <c r="D120" i="9"/>
  <c r="E120" i="9"/>
  <c r="F120" i="9"/>
  <c r="G120" i="9"/>
  <c r="H120" i="9"/>
  <c r="I120" i="9"/>
  <c r="B121" i="9"/>
  <c r="C121" i="9"/>
  <c r="D121" i="9"/>
  <c r="E121" i="9"/>
  <c r="F121" i="9"/>
  <c r="G121" i="9"/>
  <c r="H121" i="9"/>
  <c r="I121" i="9"/>
  <c r="B116" i="9"/>
  <c r="C116" i="9"/>
  <c r="D116" i="9"/>
  <c r="E116" i="9"/>
  <c r="F116" i="9"/>
  <c r="G116" i="9"/>
  <c r="H116" i="9"/>
  <c r="I116" i="9"/>
  <c r="B117" i="9"/>
  <c r="C117" i="9"/>
  <c r="D117" i="9"/>
  <c r="E117" i="9"/>
  <c r="F117" i="9"/>
  <c r="G117" i="9"/>
  <c r="H117" i="9"/>
  <c r="I117" i="9"/>
  <c r="B115" i="9"/>
  <c r="C115" i="9"/>
  <c r="D115" i="9"/>
  <c r="E115" i="9"/>
  <c r="F115" i="9"/>
  <c r="G115" i="9"/>
  <c r="H115" i="9"/>
  <c r="I115" i="9"/>
  <c r="B114" i="9"/>
  <c r="C114" i="9"/>
  <c r="D114" i="9"/>
  <c r="E114" i="9"/>
  <c r="F114" i="9"/>
  <c r="G114" i="9"/>
  <c r="H114" i="9"/>
  <c r="I114" i="9"/>
  <c r="B113" i="9"/>
  <c r="C113" i="9"/>
  <c r="D113" i="9"/>
  <c r="E113" i="9"/>
  <c r="F113" i="9"/>
  <c r="G113" i="9"/>
  <c r="H113" i="9"/>
  <c r="I113" i="9"/>
  <c r="B112" i="9"/>
  <c r="C112" i="9"/>
  <c r="D112" i="9"/>
  <c r="E112" i="9"/>
  <c r="F112" i="9"/>
  <c r="G112" i="9"/>
  <c r="H112" i="9"/>
  <c r="I112" i="9"/>
  <c r="B111" i="9"/>
  <c r="C111" i="9"/>
  <c r="D111" i="9"/>
  <c r="E111" i="9"/>
  <c r="F111" i="9"/>
  <c r="G111" i="9"/>
  <c r="H111" i="9"/>
  <c r="I111" i="9"/>
  <c r="B109" i="9"/>
  <c r="C109" i="9"/>
  <c r="D109" i="9"/>
  <c r="E109" i="9"/>
  <c r="F109" i="9"/>
  <c r="G109" i="9"/>
  <c r="H109" i="9"/>
  <c r="I109" i="9"/>
  <c r="B110" i="9"/>
  <c r="C110" i="9"/>
  <c r="D110" i="9"/>
  <c r="E110" i="9"/>
  <c r="F110" i="9"/>
  <c r="G110" i="9"/>
  <c r="H110" i="9"/>
  <c r="I110" i="9"/>
  <c r="B108" i="9"/>
  <c r="C108" i="9"/>
  <c r="D108" i="9"/>
  <c r="E108" i="9"/>
  <c r="F108" i="9"/>
  <c r="G108" i="9"/>
  <c r="H108" i="9"/>
  <c r="I108" i="9"/>
  <c r="B107" i="9"/>
  <c r="C107" i="9"/>
  <c r="D107" i="9"/>
  <c r="E107" i="9"/>
  <c r="F107" i="9"/>
  <c r="G107" i="9"/>
  <c r="H107" i="9"/>
  <c r="I107" i="9"/>
  <c r="B105" i="9"/>
  <c r="C105" i="9"/>
  <c r="D105" i="9"/>
  <c r="E105" i="9"/>
  <c r="F105" i="9"/>
  <c r="G105" i="9"/>
  <c r="H105" i="9"/>
  <c r="I105" i="9"/>
  <c r="B106" i="9"/>
  <c r="C106" i="9"/>
  <c r="D106" i="9"/>
  <c r="E106" i="9"/>
  <c r="F106" i="9"/>
  <c r="G106" i="9"/>
  <c r="H106" i="9"/>
  <c r="I106" i="9"/>
  <c r="B104" i="9"/>
  <c r="C104" i="9"/>
  <c r="D104" i="9"/>
  <c r="E104" i="9"/>
  <c r="F104" i="9"/>
  <c r="G104" i="9"/>
  <c r="H104" i="9"/>
  <c r="I104" i="9"/>
  <c r="B103" i="9"/>
  <c r="C103" i="9"/>
  <c r="D103" i="9"/>
  <c r="E103" i="9"/>
  <c r="F103" i="9"/>
  <c r="G103" i="9"/>
  <c r="H103" i="9"/>
  <c r="I103" i="9"/>
  <c r="I102" i="9"/>
  <c r="H102" i="9"/>
  <c r="G102" i="9"/>
  <c r="F102" i="9"/>
  <c r="E102" i="9"/>
  <c r="D102" i="9"/>
  <c r="C102" i="9"/>
  <c r="B102" i="9"/>
  <c r="I131" i="9"/>
  <c r="H131" i="9"/>
  <c r="G131" i="9"/>
  <c r="F131" i="9"/>
  <c r="E131" i="9"/>
  <c r="D131" i="9"/>
  <c r="C131" i="9"/>
  <c r="B131" i="9"/>
  <c r="I130" i="9"/>
  <c r="H130" i="9"/>
  <c r="G130" i="9"/>
  <c r="F130" i="9"/>
  <c r="E130" i="9"/>
  <c r="D130" i="9"/>
  <c r="C130" i="9"/>
  <c r="B130" i="9"/>
  <c r="I129" i="9"/>
  <c r="H129" i="9"/>
  <c r="G129" i="9"/>
  <c r="F129" i="9"/>
  <c r="E129" i="9"/>
  <c r="D129" i="9"/>
  <c r="C129" i="9"/>
  <c r="B129" i="9"/>
  <c r="I128" i="9"/>
  <c r="H128" i="9"/>
  <c r="G128" i="9"/>
  <c r="F128" i="9"/>
  <c r="E128" i="9"/>
  <c r="D128" i="9"/>
  <c r="C128" i="9"/>
  <c r="B128" i="9"/>
  <c r="S53" i="1"/>
  <c r="E43" i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E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E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E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<sst xmlns="http://schemas.openxmlformats.org/spreadsheetml/2006/main" count="874" uniqueCount="145">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</sst>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</borders>
  <cellStyleXfs count="16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7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" fontId="7" fillId="0" borderId="0" xfId="0" applyNumberFormat="1" applyFont="1" applyBorder="1" applyAlignment="1" applyProtection="1">
      <alignment horizontal="right"/>
      <protection locked="0"/>
    </xf>
    <xf numFmtId="0" fontId="0" fillId="0" borderId="34" xfId="0" applyBorder="1" applyAlignment="1"/>
    <xf numFmtId="3" fontId="0" fillId="0" borderId="34" xfId="1" applyNumberFormat="1" applyFont="1" applyBorder="1" applyAlignment="1"/>
  </cellXfs>
  <cellStyles count="16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0.00624109539227895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0.0527164893988521</c:v>
                </c:pt>
                <c:pt idx="2" formatCode="0.0%">
                  <c:v>0.213210329695446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087544"/>
        <c:axId val="-2077084200"/>
      </c:barChart>
      <c:catAx>
        <c:axId val="-207708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084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084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087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0.0724756178797166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-0.00160900078454185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-0.00111736165593184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971784"/>
        <c:axId val="-2085992120"/>
      </c:barChart>
      <c:catAx>
        <c:axId val="-208597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992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992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971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0.0222793167893135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0.00673404307634187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0.00053872344610735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922760"/>
        <c:axId val="-2078576552"/>
      </c:barChart>
      <c:catAx>
        <c:axId val="-207892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57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57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922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741544"/>
        <c:axId val="-2085738520"/>
      </c:barChart>
      <c:catAx>
        <c:axId val="-208574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73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738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74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 without Grants</a:t>
            </a:r>
          </a:p>
        </c:rich>
      </c:tx>
      <c:layout>
        <c:manualLayout>
          <c:xMode val="edge"/>
          <c:yMode val="edge"/>
          <c:x val="0.316717800171352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1351.960179676463</c:v>
                </c:pt>
                <c:pt idx="6">
                  <c:v>6814.063825363341</c:v>
                </c:pt>
                <c:pt idx="7">
                  <c:v>926.4055515339641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419.9999999999999</c:v>
                </c:pt>
                <c:pt idx="6">
                  <c:v>5252.442579698882</c:v>
                </c:pt>
                <c:pt idx="7">
                  <c:v>3241.768428563791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4277.5</c:v>
                </c:pt>
                <c:pt idx="6">
                  <c:v>20733.12149409287</c:v>
                </c:pt>
                <c:pt idx="7">
                  <c:v>19386.80504597076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904648"/>
        <c:axId val="-20769012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04648"/>
        <c:axId val="-2076901272"/>
      </c:lineChart>
      <c:catAx>
        <c:axId val="-207690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90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90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904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779736"/>
        <c:axId val="-207677650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779736"/>
        <c:axId val="-2076776504"/>
      </c:lineChart>
      <c:catAx>
        <c:axId val="-207677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7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77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79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686392"/>
        <c:axId val="-20766831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686392"/>
        <c:axId val="-2076683112"/>
      </c:lineChart>
      <c:catAx>
        <c:axId val="-20766863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68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68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68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Drought Area without Grants</a:t>
            </a:r>
          </a:p>
        </c:rich>
      </c:tx>
      <c:layout>
        <c:manualLayout>
          <c:xMode val="edge"/>
          <c:yMode val="edge"/>
          <c:x val="0.342624535922647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Income!$A$102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Income!$B$102:$I$102</c:f>
              <c:numCache>
                <c:formatCode>#,##0</c:formatCode>
                <c:ptCount val="8"/>
                <c:pt idx="0">
                  <c:v>984.254455906166</c:v>
                </c:pt>
                <c:pt idx="1">
                  <c:v>2704.266735645449</c:v>
                </c:pt>
                <c:pt idx="2">
                  <c:v>2492.85719023268</c:v>
                </c:pt>
                <c:pt idx="3">
                  <c:v>1745.920634604798</c:v>
                </c:pt>
                <c:pt idx="4">
                  <c:v>414.0773225620311</c:v>
                </c:pt>
                <c:pt idx="5">
                  <c:v>1351.960179676463</c:v>
                </c:pt>
                <c:pt idx="6">
                  <c:v>6814.063825363341</c:v>
                </c:pt>
                <c:pt idx="7">
                  <c:v>926.4055515339641</c:v>
                </c:pt>
              </c:numCache>
            </c:numRef>
          </c:val>
        </c:ser>
        <c:ser>
          <c:idx val="2"/>
          <c:order val="7"/>
          <c:tx>
            <c:strRef>
              <c:f>Income!$A$103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Income!$B$103:$I$103</c:f>
              <c:numCache>
                <c:formatCode>#,##0</c:formatCode>
                <c:ptCount val="8"/>
                <c:pt idx="0">
                  <c:v>0.0</c:v>
                </c:pt>
                <c:pt idx="1">
                  <c:v>1660.0</c:v>
                </c:pt>
                <c:pt idx="2">
                  <c:v>25314.28571428571</c:v>
                </c:pt>
                <c:pt idx="3">
                  <c:v>10032.0</c:v>
                </c:pt>
                <c:pt idx="4">
                  <c:v>0.0</c:v>
                </c:pt>
                <c:pt idx="5">
                  <c:v>419.9999999999999</c:v>
                </c:pt>
                <c:pt idx="6">
                  <c:v>5252.442579698882</c:v>
                </c:pt>
                <c:pt idx="7">
                  <c:v>3241.768428563791</c:v>
                </c:pt>
              </c:numCache>
            </c:numRef>
          </c:val>
        </c:ser>
        <c:ser>
          <c:idx val="5"/>
          <c:order val="8"/>
          <c:tx>
            <c:strRef>
              <c:f>Income!$A$104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Income!$B$104:$I$104</c:f>
              <c:numCache>
                <c:formatCode>#,##0</c:formatCode>
                <c:ptCount val="8"/>
                <c:pt idx="0">
                  <c:v>119.1850081059545</c:v>
                </c:pt>
                <c:pt idx="1">
                  <c:v>570.4354852515507</c:v>
                </c:pt>
                <c:pt idx="2">
                  <c:v>1656.364147132637</c:v>
                </c:pt>
                <c:pt idx="3">
                  <c:v>2032.202121774313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Income!$A$106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Income!$B$106:$I$106</c:f>
              <c:numCache>
                <c:formatCode>#,##0</c:formatCode>
                <c:ptCount val="8"/>
                <c:pt idx="0">
                  <c:v>1285.714285714286</c:v>
                </c:pt>
                <c:pt idx="1">
                  <c:v>9750.0</c:v>
                </c:pt>
                <c:pt idx="2">
                  <c:v>28457.14285714286</c:v>
                </c:pt>
                <c:pt idx="3">
                  <c:v>32750.0</c:v>
                </c:pt>
                <c:pt idx="4">
                  <c:v>758.5714285714286</c:v>
                </c:pt>
                <c:pt idx="5">
                  <c:v>4277.5</c:v>
                </c:pt>
                <c:pt idx="6">
                  <c:v>20733.12149409287</c:v>
                </c:pt>
                <c:pt idx="7">
                  <c:v>19386.80504597076</c:v>
                </c:pt>
              </c:numCache>
            </c:numRef>
          </c:val>
        </c:ser>
        <c:ser>
          <c:idx val="8"/>
          <c:order val="10"/>
          <c:tx>
            <c:strRef>
              <c:f>Income!$A$107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Income!$B$107:$I$107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Income!$A$108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Income!$B$108:$I$108</c:f>
              <c:numCache>
                <c:formatCode>#,##0</c:formatCode>
                <c:ptCount val="8"/>
                <c:pt idx="0">
                  <c:v>7428.571428571428</c:v>
                </c:pt>
                <c:pt idx="1">
                  <c:v>4960.0</c:v>
                </c:pt>
                <c:pt idx="2">
                  <c:v>0.0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Income!$A$109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Income!$B$109:$I$109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21942.85714285714</c:v>
                </c:pt>
                <c:pt idx="3">
                  <c:v>75600.0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Income!$A$110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Income!$B$110:$I$110</c:f>
              <c:numCache>
                <c:formatCode>#,##0</c:formatCode>
                <c:ptCount val="8"/>
                <c:pt idx="0">
                  <c:v>0.0</c:v>
                </c:pt>
                <c:pt idx="1">
                  <c:v>14916.0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Income!$A$111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Income!$B$111:$I$111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Income!$B$112:$I$112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62700.0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Income!$A$113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Income!$B$113:$I$113</c:f>
              <c:numCache>
                <c:formatCode>#,##0</c:formatCode>
                <c:ptCount val="8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Income!$A$114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Income!$B$114:$I$114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Income!$A$115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Income!$B$115:$I$115</c:f>
              <c:numCache>
                <c:formatCode>#,##0</c:formatCode>
                <c:ptCount val="8"/>
                <c:pt idx="0">
                  <c:v>23108.57142857143</c:v>
                </c:pt>
                <c:pt idx="1">
                  <c:v>22020.0</c:v>
                </c:pt>
                <c:pt idx="2">
                  <c:v>8708.57142857143</c:v>
                </c:pt>
                <c:pt idx="3">
                  <c:v>7620.0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Income!$A$116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Income!$B$116:$I$116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13714.28571428571</c:v>
                </c:pt>
                <c:pt idx="3">
                  <c:v>26040.0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Income!$A$117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Income!$B$117:$I$117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5695784"/>
        <c:axId val="-2085890600"/>
      </c:barChart>
      <c:lineChart>
        <c:grouping val="standard"/>
        <c:varyColors val="0"/>
        <c:ser>
          <c:idx val="13"/>
          <c:order val="0"/>
          <c:tx>
            <c:strRef>
              <c:f>Income!$A$119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Income!$B$119:$E$119</c:f>
              <c:numCache>
                <c:formatCode>#,##0</c:formatCode>
                <c:ptCount val="4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Income!$A$123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Income!$B$123:$I$123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Income!$A$120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Income!$B$120:$E$120</c:f>
              <c:numCache>
                <c:formatCode>#,##0</c:formatCode>
                <c:ptCount val="4"/>
                <c:pt idx="0">
                  <c:v>42445.47305073387</c:v>
                </c:pt>
                <c:pt idx="1">
                  <c:v>42445.47305073388</c:v>
                </c:pt>
                <c:pt idx="2">
                  <c:v>42445.47305073387</c:v>
                </c:pt>
                <c:pt idx="3">
                  <c:v>42445.47305073388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Income!$A$124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Income!$B$124:$I$124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Income!$A$121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Income!$B$121:$E$121</c:f>
              <c:numCache>
                <c:formatCode>#,##0</c:formatCode>
                <c:ptCount val="4"/>
                <c:pt idx="0">
                  <c:v>75183.39305073386</c:v>
                </c:pt>
                <c:pt idx="1">
                  <c:v>75183.39305073388</c:v>
                </c:pt>
                <c:pt idx="2">
                  <c:v>75183.39305073386</c:v>
                </c:pt>
                <c:pt idx="3">
                  <c:v>75183.39305073388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Income!$A$125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Income!$B$125:$I$125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95784"/>
        <c:axId val="-2085890600"/>
      </c:lineChart>
      <c:catAx>
        <c:axId val="-208569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890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89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69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0.10619454573156</c:v>
                </c:pt>
                <c:pt idx="2">
                  <c:v>0.0776836839148793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0.0192073766098115</c:v>
                </c:pt>
                <c:pt idx="2">
                  <c:v>0.0776836839148793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-0.344854738053252</c:v>
                </c:pt>
                <c:pt idx="2">
                  <c:v>-0.344854738053252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008728"/>
        <c:axId val="-2076005352"/>
      </c:barChart>
      <c:catAx>
        <c:axId val="-207600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05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005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08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0.0233408216059522</c:v>
                </c:pt>
                <c:pt idx="2">
                  <c:v>0.0567329722195422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0.0930796373970454</c:v>
                </c:pt>
                <c:pt idx="2">
                  <c:v>0.0683211023018879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-8.78889906676527E-17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0.0233408216059522</c:v>
                </c:pt>
                <c:pt idx="2">
                  <c:v>0.0567329722195422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-0.0942380909520094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620120"/>
        <c:axId val="-2076616712"/>
      </c:barChart>
      <c:catAx>
        <c:axId val="-207662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616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61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620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0.017179898883985</c:v>
                </c:pt>
                <c:pt idx="2">
                  <c:v>0.0388143998274708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0.258921375147643</c:v>
                </c:pt>
                <c:pt idx="2">
                  <c:v>0.237254805370555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0.017179898883985</c:v>
                </c:pt>
                <c:pt idx="2">
                  <c:v>0.0388143998274708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564328"/>
        <c:axId val="-2076560824"/>
      </c:barChart>
      <c:catAx>
        <c:axId val="-207656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56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56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56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0.250859304913911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0.0936676329286439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-0.0020766187234804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0.217383588493726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0.117937490753931</c:v>
                </c:pt>
                <c:pt idx="2" formatCode="0.0%">
                  <c:v>0.286662761900334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100440"/>
        <c:axId val="-2078059480"/>
      </c:barChart>
      <c:catAx>
        <c:axId val="-207810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059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059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10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0.153393787035374</c:v>
                </c:pt>
                <c:pt idx="2">
                  <c:v>0.153393787035374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-1.08134764537305</c:v>
                </c:pt>
                <c:pt idx="2">
                  <c:v>-1.08134764537305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503368"/>
        <c:axId val="-2076499992"/>
      </c:barChart>
      <c:catAx>
        <c:axId val="-207650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49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49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50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741368"/>
        <c:axId val="-20813062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741368"/>
        <c:axId val="-20813062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41368"/>
        <c:axId val="-2081306232"/>
      </c:scatterChart>
      <c:catAx>
        <c:axId val="-21047413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3062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13062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7413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885432"/>
        <c:axId val="-20758820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885432"/>
        <c:axId val="-2075882056"/>
      </c:lineChart>
      <c:catAx>
        <c:axId val="-2075885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882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5882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8854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702408"/>
        <c:axId val="-20756990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695448"/>
        <c:axId val="-2075692552"/>
      </c:scatterChart>
      <c:valAx>
        <c:axId val="-207570240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699064"/>
        <c:crosses val="autoZero"/>
        <c:crossBetween val="midCat"/>
      </c:valAx>
      <c:valAx>
        <c:axId val="-2075699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702408"/>
        <c:crosses val="autoZero"/>
        <c:crossBetween val="midCat"/>
      </c:valAx>
      <c:valAx>
        <c:axId val="-20756954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5692552"/>
        <c:crosses val="autoZero"/>
        <c:crossBetween val="midCat"/>
      </c:valAx>
      <c:valAx>
        <c:axId val="-20756925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6954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612200"/>
        <c:axId val="-20756064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612200"/>
        <c:axId val="-2075606456"/>
      </c:lineChart>
      <c:catAx>
        <c:axId val="-207561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606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5606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61220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0.0293472119285028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0.00730410035853244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0.031696311993687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0.456923340051697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0.189950277010233</c:v>
                </c:pt>
                <c:pt idx="2" formatCode="0.0%">
                  <c:v>0.429153049677544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688152"/>
        <c:axId val="-2077684808"/>
      </c:barChart>
      <c:catAx>
        <c:axId val="-207768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68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68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68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556568"/>
        <c:axId val="-2077553240"/>
      </c:barChart>
      <c:catAx>
        <c:axId val="-207755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55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55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556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0.0249643815691158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-0.0323019347790327</c:v>
                </c:pt>
                <c:pt idx="1">
                  <c:v>-0.934878909818274</c:v>
                </c:pt>
                <c:pt idx="2">
                  <c:v>-0.891629357106753</c:v>
                </c:pt>
                <c:pt idx="3">
                  <c:v>-0.913254133462513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534376"/>
        <c:axId val="-2077530968"/>
      </c:barChart>
      <c:catAx>
        <c:axId val="-20775343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5309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53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534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0.117170982090906</c:v>
                </c:pt>
                <c:pt idx="1">
                  <c:v>-0.0390569940303021</c:v>
                </c:pt>
                <c:pt idx="2">
                  <c:v>-0.0390569940303021</c:v>
                </c:pt>
                <c:pt idx="3">
                  <c:v>-0.0390569940303021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389960"/>
        <c:axId val="-2077386584"/>
      </c:barChart>
      <c:catAx>
        <c:axId val="-20773899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3865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38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389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0.468129669141311</c:v>
                </c:pt>
                <c:pt idx="1">
                  <c:v>0.468129669141311</c:v>
                </c:pt>
                <c:pt idx="2">
                  <c:v>0.0671778813730224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0.0117799728423861</c:v>
                </c:pt>
                <c:pt idx="1">
                  <c:v>0.0117799728423861</c:v>
                </c:pt>
                <c:pt idx="2">
                  <c:v>0.00169045815796041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0.174793588091873</c:v>
                </c:pt>
                <c:pt idx="1">
                  <c:v>0.174793588091873</c:v>
                </c:pt>
                <c:pt idx="2">
                  <c:v>0.0250833555308288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0.217383588493726</c:v>
                </c:pt>
                <c:pt idx="1">
                  <c:v>0.217383588493726</c:v>
                </c:pt>
                <c:pt idx="2">
                  <c:v>0.217383588493726</c:v>
                </c:pt>
                <c:pt idx="3">
                  <c:v>0.217383588493726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0.550453011619345</c:v>
                </c:pt>
                <c:pt idx="3">
                  <c:v>0.596198035981993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279384"/>
        <c:axId val="-2077276008"/>
      </c:barChart>
      <c:catAx>
        <c:axId val="-2077279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2760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27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279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0.117388847714011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0.0292164014341298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0.456923340051697</c:v>
                </c:pt>
                <c:pt idx="1">
                  <c:v>0.456923340051697</c:v>
                </c:pt>
                <c:pt idx="2">
                  <c:v>0.456923340051697</c:v>
                </c:pt>
                <c:pt idx="3">
                  <c:v>0.456923340051697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0.3090976019198</c:v>
                </c:pt>
                <c:pt idx="1">
                  <c:v>0.499891057792723</c:v>
                </c:pt>
                <c:pt idx="2">
                  <c:v>0.489077608228589</c:v>
                </c:pt>
                <c:pt idx="3">
                  <c:v>0.418545930769062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108664"/>
        <c:axId val="-2076105288"/>
      </c:barChart>
      <c:catAx>
        <c:axId val="-2076108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105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610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6108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0.00553408621918733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651320"/>
        <c:axId val="-2078648328"/>
      </c:barChart>
      <c:catAx>
        <c:axId val="-207865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4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64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51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635000</xdr:colOff>
      <xdr:row>133</xdr:row>
      <xdr:rowOff>63500</xdr:rowOff>
    </xdr:from>
    <xdr:to>
      <xdr:col>16</xdr:col>
      <xdr:colOff>673100</xdr:colOff>
      <xdr:row>153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19</xdr:col>
      <xdr:colOff>381000</xdr:colOff>
      <xdr:row>129</xdr:row>
      <xdr:rowOff>114300</xdr:rowOff>
    </xdr:to>
    <xdr:graphicFrame macro="">
      <xdr:nvGraphicFramePr>
        <xdr:cNvPr id="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.Poor"/>
      <sheetName val="Poor"/>
      <sheetName val="Middle"/>
      <sheetName val="Rich"/>
      <sheetName val="Food"/>
      <sheetName val="Income"/>
      <sheetName val="Expenditure"/>
      <sheetName val="Percentiles"/>
    </sheetNames>
    <sheetDataSet>
      <sheetData sheetId="0"/>
      <sheetData sheetId="1"/>
      <sheetData sheetId="2"/>
      <sheetData sheetId="3"/>
      <sheetData sheetId="4"/>
      <sheetData sheetId="5">
        <row r="71">
          <cell r="B71" t="str">
            <v>Baseline: v poor</v>
          </cell>
          <cell r="C71" t="str">
            <v>Baseline: poor</v>
          </cell>
          <cell r="D71" t="str">
            <v>Baseline: middle</v>
          </cell>
          <cell r="E71" t="str">
            <v>Baseline: b-off</v>
          </cell>
          <cell r="F71" t="str">
            <v>Current: v poor</v>
          </cell>
          <cell r="G71" t="str">
            <v>Current: poor</v>
          </cell>
          <cell r="H71" t="str">
            <v>Current: Middle</v>
          </cell>
          <cell r="I71" t="str">
            <v>Current: b-off</v>
          </cell>
        </row>
        <row r="82">
          <cell r="A82" t="str">
            <v>Small business/petty trading</v>
          </cell>
        </row>
        <row r="102">
          <cell r="A102" t="str">
            <v>Own crops Consumed</v>
          </cell>
          <cell r="B102">
            <v>984.25445590616596</v>
          </cell>
          <cell r="C102">
            <v>2704.266735645449</v>
          </cell>
          <cell r="D102">
            <v>2492.8571902326798</v>
          </cell>
          <cell r="E102">
            <v>1745.9206346047977</v>
          </cell>
          <cell r="F102">
            <v>414.0773225620311</v>
          </cell>
          <cell r="G102">
            <v>1305.9185369471618</v>
          </cell>
          <cell r="H102">
            <v>5379.2251456426266</v>
          </cell>
          <cell r="I102">
            <v>896.03977909982518</v>
          </cell>
        </row>
        <row r="103">
          <cell r="A103" t="str">
            <v>Own crops sold</v>
          </cell>
          <cell r="B103">
            <v>0</v>
          </cell>
          <cell r="C103">
            <v>1660</v>
          </cell>
          <cell r="D103">
            <v>25314.285714285714</v>
          </cell>
          <cell r="E103">
            <v>10032</v>
          </cell>
          <cell r="F103">
            <v>0</v>
          </cell>
          <cell r="G103">
            <v>444.24851808903816</v>
          </cell>
          <cell r="H103">
            <v>5795.8952412628869</v>
          </cell>
          <cell r="I103">
            <v>3250.9527515545969</v>
          </cell>
        </row>
        <row r="104">
          <cell r="A104" t="str">
            <v>Animal products consumed</v>
          </cell>
          <cell r="B104">
            <v>119.18500810595445</v>
          </cell>
          <cell r="C104">
            <v>570.43548525155074</v>
          </cell>
          <cell r="D104">
            <v>1656.3641471326373</v>
          </cell>
          <cell r="E104">
            <v>2032.2021217743129</v>
          </cell>
          <cell r="F104">
            <v>39.331052674964965</v>
          </cell>
          <cell r="G104">
            <v>188.24371013301172</v>
          </cell>
          <cell r="H104">
            <v>546.60016855377023</v>
          </cell>
          <cell r="I104">
            <v>670.6267001855233</v>
          </cell>
        </row>
        <row r="106">
          <cell r="A106" t="str">
            <v>Animals sold</v>
          </cell>
          <cell r="B106">
            <v>1285.7142857142858</v>
          </cell>
          <cell r="C106">
            <v>9750</v>
          </cell>
          <cell r="D106">
            <v>28457.142857142859</v>
          </cell>
          <cell r="E106">
            <v>32750</v>
          </cell>
          <cell r="F106">
            <v>758.57142857142856</v>
          </cell>
          <cell r="G106">
            <v>5075.8608076190048</v>
          </cell>
          <cell r="H106">
            <v>19982.215006217557</v>
          </cell>
          <cell r="I106">
            <v>19378.509143798357</v>
          </cell>
        </row>
        <row r="107">
          <cell r="A107" t="str">
            <v>Wild foods consumed and sold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A108" t="str">
            <v>Labour - casual</v>
          </cell>
          <cell r="B108">
            <v>7428.5714285714284</v>
          </cell>
          <cell r="C108">
            <v>4960</v>
          </cell>
          <cell r="D108">
            <v>21942.857142857141</v>
          </cell>
          <cell r="E108">
            <v>0</v>
          </cell>
          <cell r="F108">
            <v>4122.8571428571431</v>
          </cell>
          <cell r="G108">
            <v>2752.8000000000006</v>
          </cell>
          <cell r="H108">
            <v>10357.028571428571</v>
          </cell>
          <cell r="I108">
            <v>0</v>
          </cell>
        </row>
        <row r="109">
          <cell r="A109" t="str">
            <v>Labour - formal emp</v>
          </cell>
          <cell r="B109">
            <v>0</v>
          </cell>
          <cell r="C109">
            <v>0</v>
          </cell>
          <cell r="D109">
            <v>0</v>
          </cell>
          <cell r="E109">
            <v>75600</v>
          </cell>
          <cell r="F109">
            <v>0</v>
          </cell>
          <cell r="G109">
            <v>0</v>
          </cell>
          <cell r="H109">
            <v>0</v>
          </cell>
          <cell r="I109">
            <v>35683.199999999997</v>
          </cell>
        </row>
        <row r="110">
          <cell r="A110" t="str">
            <v>Labour - public works</v>
          </cell>
          <cell r="B110">
            <v>0</v>
          </cell>
          <cell r="C110">
            <v>14916</v>
          </cell>
          <cell r="D110">
            <v>0</v>
          </cell>
          <cell r="E110">
            <v>0</v>
          </cell>
          <cell r="F110">
            <v>0</v>
          </cell>
          <cell r="G110">
            <v>17600.879999999997</v>
          </cell>
          <cell r="H110">
            <v>0</v>
          </cell>
          <cell r="I110">
            <v>0</v>
          </cell>
        </row>
        <row r="111">
          <cell r="A111" t="str">
            <v>Self - employment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B112">
            <v>0</v>
          </cell>
          <cell r="C112">
            <v>0</v>
          </cell>
          <cell r="D112">
            <v>8708.5714285714294</v>
          </cell>
          <cell r="E112">
            <v>62700</v>
          </cell>
          <cell r="F112">
            <v>0</v>
          </cell>
          <cell r="G112">
            <v>0</v>
          </cell>
          <cell r="H112">
            <v>10276.114285714286</v>
          </cell>
          <cell r="I112">
            <v>59188.800000000003</v>
          </cell>
        </row>
        <row r="113">
          <cell r="A113" t="str">
            <v>Food transfer - official</v>
          </cell>
          <cell r="B113">
            <v>1401.3106912413493</v>
          </cell>
          <cell r="C113">
            <v>1401.3106912413493</v>
          </cell>
          <cell r="D113">
            <v>1401.3106912413493</v>
          </cell>
          <cell r="E113">
            <v>0</v>
          </cell>
          <cell r="F113">
            <v>2312.1626405482261</v>
          </cell>
          <cell r="G113">
            <v>2312.1626405482261</v>
          </cell>
          <cell r="H113">
            <v>2312.1626405482261</v>
          </cell>
          <cell r="I113">
            <v>0</v>
          </cell>
        </row>
        <row r="114">
          <cell r="A114" t="str">
            <v>Food transfer - gifts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A115" t="str">
            <v>Cash transfer - official</v>
          </cell>
          <cell r="B115">
            <v>23108.571428571428</v>
          </cell>
          <cell r="C115">
            <v>22020</v>
          </cell>
          <cell r="D115">
            <v>0</v>
          </cell>
          <cell r="E115">
            <v>7620</v>
          </cell>
          <cell r="F115">
            <v>27268.114285714288</v>
          </cell>
          <cell r="G115">
            <v>25983.599999999999</v>
          </cell>
          <cell r="H115">
            <v>0</v>
          </cell>
          <cell r="I115">
            <v>8991.6</v>
          </cell>
        </row>
        <row r="116">
          <cell r="A116" t="str">
            <v>Cash transfer - gifts</v>
          </cell>
          <cell r="B116">
            <v>0</v>
          </cell>
          <cell r="C116">
            <v>0</v>
          </cell>
          <cell r="D116">
            <v>13714.285714285714</v>
          </cell>
          <cell r="E116">
            <v>26040</v>
          </cell>
          <cell r="F116">
            <v>0</v>
          </cell>
          <cell r="G116">
            <v>0</v>
          </cell>
          <cell r="H116">
            <v>15222.857142857143</v>
          </cell>
          <cell r="I116">
            <v>27030.000000000004</v>
          </cell>
        </row>
        <row r="117">
          <cell r="A117" t="str">
            <v>Other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9">
          <cell r="A119" t="str">
            <v>Food Poverty line</v>
          </cell>
          <cell r="B119">
            <v>24062.646384067204</v>
          </cell>
          <cell r="C119">
            <v>24062.646384067204</v>
          </cell>
          <cell r="D119">
            <v>24062.6463840672</v>
          </cell>
          <cell r="E119">
            <v>24062.646384067208</v>
          </cell>
        </row>
        <row r="120">
          <cell r="A120" t="str">
            <v>Lower Bound Poverty line</v>
          </cell>
          <cell r="B120">
            <v>42445.473050733868</v>
          </cell>
          <cell r="C120">
            <v>42445.473050733875</v>
          </cell>
          <cell r="D120">
            <v>42445.473050733868</v>
          </cell>
          <cell r="E120">
            <v>42445.473050733883</v>
          </cell>
        </row>
        <row r="121">
          <cell r="A121" t="str">
            <v>Upper Bound Poverty line</v>
          </cell>
          <cell r="B121">
            <v>75183.393050733866</v>
          </cell>
          <cell r="C121">
            <v>75183.393050733881</v>
          </cell>
          <cell r="D121">
            <v>75183.393050733866</v>
          </cell>
          <cell r="E121">
            <v>75183.393050733881</v>
          </cell>
        </row>
        <row r="123">
          <cell r="A123" t="str">
            <v>Food Poverty line</v>
          </cell>
          <cell r="F123">
            <v>35969.406972062061</v>
          </cell>
          <cell r="G123">
            <v>35969.406972062054</v>
          </cell>
          <cell r="H123">
            <v>35969.406972062054</v>
          </cell>
          <cell r="I123">
            <v>35969.406972062061</v>
          </cell>
        </row>
        <row r="124">
          <cell r="A124" t="str">
            <v>Lower Bound Poverty line</v>
          </cell>
          <cell r="F124">
            <v>54352.233638728721</v>
          </cell>
          <cell r="G124">
            <v>54352.233638728729</v>
          </cell>
          <cell r="H124">
            <v>54352.233638728721</v>
          </cell>
          <cell r="I124">
            <v>54352.233638728729</v>
          </cell>
        </row>
        <row r="125">
          <cell r="A125" t="str">
            <v>Upper Bound Poverty line</v>
          </cell>
          <cell r="F125">
            <v>87090.153638728734</v>
          </cell>
          <cell r="G125">
            <v>87090.15363872872</v>
          </cell>
          <cell r="H125">
            <v>87090.153638728734</v>
          </cell>
          <cell r="I125">
            <v>87090.15363872872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J30" activePane="bottomRight" state="frozen"/>
      <selection pane="topRight" activeCell="B1" sqref="B1"/>
      <selection pane="bottomLeft" activeCell="A3" sqref="A3"/>
      <selection pane="bottomRight" activeCell="R37" sqref="R37:T5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0" t="str">
        <f>Poor!Z1</f>
        <v>Apr-Jun</v>
      </c>
      <c r="AA1" s="251"/>
      <c r="AB1" s="250" t="str">
        <f>Poor!AB1</f>
        <v>Jul-Sep</v>
      </c>
      <c r="AC1" s="251"/>
      <c r="AD1" s="250" t="str">
        <f>Poor!AD1</f>
        <v>Oct-Dec</v>
      </c>
      <c r="AE1" s="251"/>
      <c r="AF1" s="250" t="str">
        <f>Poor!AF1</f>
        <v>Jan-Mar</v>
      </c>
      <c r="AG1" s="251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1471.2865959745848</v>
      </c>
      <c r="S7" s="220">
        <f>IF($B$81=0,0,(SUMIF($N$6:$N$28,$U7,L$6:L$28)+SUMIF($N$91:$N$118,$U7,L$91:L$118))*$I$83*Poor!$B$81/$B$81)</f>
        <v>414.0773225620311</v>
      </c>
      <c r="T7" s="220">
        <f>IF($B$81=0,0,(SUMIF($N$6:$N$28,$U7,M$6:M$28)+SUMIF($N$91:$N$118,$U7,M$91:M$118))*$I$83*Poor!$B$81/$B$81)</f>
        <v>414.0773225620311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2">
        <f t="shared" si="6"/>
        <v>1.3789401956947162E-2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0</v>
      </c>
      <c r="S8" s="220">
        <f>IF($B$81=0,0,(SUMIF($N$6:$N$28,$U8,L$6:L$28)+SUMIF($N$91:$N$118,$U8,L$91:L$118))*$I$83*Poor!$B$81/$B$81)</f>
        <v>0</v>
      </c>
      <c r="T8" s="220">
        <f>IF($B$81=0,0,(SUMIF($N$6:$N$28,$U8,M$6:M$28)+SUMIF($N$91:$N$118,$U8,M$91:M$118))*$I$83*Poor!$B$81/$B$81)</f>
        <v>0</v>
      </c>
      <c r="U8" s="221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2">
        <f t="shared" si="6"/>
        <v>2.5250403842732617E-3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178.16053949785783</v>
      </c>
      <c r="S9" s="220">
        <f>IF($B$81=0,0,(SUMIF($N$6:$N$28,$U9,L$6:L$28)+SUMIF($N$91:$N$118,$U9,L$91:L$118))*$I$83*Poor!$B$81/$B$81)</f>
        <v>39.331052674964965</v>
      </c>
      <c r="T9" s="220">
        <f>IF($B$81=0,0,(SUMIF($N$6:$N$28,$U9,M$6:M$28)+SUMIF($N$91:$N$118,$U9,M$91:M$118))*$I$83*Poor!$B$81/$B$81)</f>
        <v>39.331052674964965</v>
      </c>
      <c r="U9" s="221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2">
        <f t="shared" si="6"/>
        <v>5.0053897882938979E-3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1921.9158048747584</v>
      </c>
      <c r="S11" s="220">
        <f>IF($B$81=0,0,(SUMIF($N$6:$N$28,$U11,L$6:L$28)+SUMIF($N$91:$N$118,$U11,L$91:L$118))*$I$83*Poor!$B$81/$B$81)</f>
        <v>758.57142857142856</v>
      </c>
      <c r="T11" s="220">
        <f>IF($B$81=0,0,(SUMIF($N$6:$N$28,$U11,M$6:M$28)+SUMIF($N$91:$N$118,$U11,M$91:M$118))*$I$83*Poor!$B$81/$B$81)</f>
        <v>758.57142857142856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11104.402428165269</v>
      </c>
      <c r="S13" s="220">
        <f>IF($B$81=0,0,(SUMIF($N$6:$N$28,$U13,L$6:L$28)+SUMIF($N$91:$N$118,$U13,L$91:L$118))*$I$83*Poor!$B$81/$B$81)</f>
        <v>4122.8571428571431</v>
      </c>
      <c r="T13" s="220">
        <f>IF($B$81=0,0,(SUMIF($N$6:$N$28,$U13,M$6:M$28)+SUMIF($N$91:$N$118,$U13,M$91:M$118))*$I$83*Poor!$B$81/$B$81)</f>
        <v>4122.8571428571431</v>
      </c>
      <c r="U13" s="221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128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4">
        <f t="shared" ref="M16:M25" si="23">J16</f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4">
        <f t="shared" si="23"/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2094.7120172507834</v>
      </c>
      <c r="S18" s="220">
        <f>IF($B$81=0,0,(SUMIF($N$6:$N$28,$U18,L$6:L$28)+SUMIF($N$91:$N$118,$U18,L$91:L$118))*$I$83*Poor!$B$81/$B$81)</f>
        <v>2312.1626405482261</v>
      </c>
      <c r="T18" s="220">
        <f>IF($B$81=0,0,(SUMIF($N$6:$N$28,$U18,M$6:M$28)+SUMIF($N$91:$N$118,$U18,M$91:M$118))*$I$83*Poor!$B$81/$B$81)</f>
        <v>2312.1626405482261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34543.233399615659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/>
      <c r="O23" s="2"/>
      <c r="P23" s="22"/>
      <c r="Q23" s="171" t="s">
        <v>100</v>
      </c>
      <c r="R23" s="179">
        <f>SUM(R7:R22)</f>
        <v>51313.710785378913</v>
      </c>
      <c r="S23" s="179">
        <f>SUM(S7:S22)</f>
        <v>7646.9995872137933</v>
      </c>
      <c r="T23" s="179">
        <f>SUM(T7:T22)</f>
        <v>7646.9995872137933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0.68939859227895406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28322.407384848266</v>
      </c>
      <c r="T30" s="232">
        <f t="shared" si="24"/>
        <v>28322.407384848266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0.11717098209090626</v>
      </c>
      <c r="AB30" s="122">
        <f>IF($Y30=0,0,AC30/($Y$30))</f>
        <v>0</v>
      </c>
      <c r="AC30" s="187">
        <f>IF(AC79*4/$I$83+SUM(AC6:AC29)&lt;1,AC79*4/$I$83,1-SUM(AC6:AC29))</f>
        <v>-3.9056994030302064E-2</v>
      </c>
      <c r="AD30" s="122">
        <f>IF($Y30=0,0,AE30/($Y$30))</f>
        <v>0</v>
      </c>
      <c r="AE30" s="187">
        <f>IF(AE79*4/$I$83+SUM(AE6:AE29)&lt;1,AE79*4/$I$83,1-SUM(AE6:AE29))</f>
        <v>-3.9056994030302064E-2</v>
      </c>
      <c r="AF30" s="122">
        <f>IF($Y30=0,0,AG30/($Y$30))</f>
        <v>0</v>
      </c>
      <c r="AG30" s="187">
        <f>IF(AG79*4/$I$83+SUM(AG6:AG29)&lt;1,AG79*4/$I$83,1-SUM(AG6:AG29))</f>
        <v>-3.9056994030302064E-2</v>
      </c>
      <c r="AH30" s="123">
        <f t="shared" si="12"/>
        <v>0</v>
      </c>
      <c r="AI30" s="183">
        <f t="shared" si="13"/>
        <v>1.7347234759768071E-17</v>
      </c>
      <c r="AJ30" s="120">
        <f t="shared" si="14"/>
        <v>3.9056994030302099E-2</v>
      </c>
      <c r="AK30" s="119">
        <f t="shared" si="15"/>
        <v>-3.9056994030302064E-2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0.63297071483817258</v>
      </c>
      <c r="K31" s="22" t="str">
        <f t="shared" si="4"/>
        <v/>
      </c>
      <c r="L31" s="22">
        <f>(1-SUM(L6:L30))</f>
        <v>0.61001945818063219</v>
      </c>
      <c r="M31" s="239">
        <f t="shared" si="6"/>
        <v>0.63297071483817258</v>
      </c>
      <c r="N31" s="167">
        <f>M31*I83</f>
        <v>10756.954609662967</v>
      </c>
      <c r="P31" s="22"/>
      <c r="Q31" s="236" t="s">
        <v>142</v>
      </c>
      <c r="R31" s="232">
        <f t="shared" si="24"/>
        <v>3038.5228533498084</v>
      </c>
      <c r="S31" s="232">
        <f t="shared" si="24"/>
        <v>46705.234051514926</v>
      </c>
      <c r="T31" s="232">
        <f>IF(T25&gt;T$23,T25-T$23,0)</f>
        <v>46705.234051514926</v>
      </c>
      <c r="V31" s="56"/>
      <c r="W31" s="129" t="s">
        <v>84</v>
      </c>
      <c r="X31" s="130"/>
      <c r="Y31" s="121">
        <f>M31*4</f>
        <v>2.5318828593526903</v>
      </c>
      <c r="Z31" s="131"/>
      <c r="AA31" s="132">
        <f>1-AA32+IF($Y32&lt;0,$Y32/4,0)</f>
        <v>0.45386529640142037</v>
      </c>
      <c r="AB31" s="131"/>
      <c r="AC31" s="133">
        <f>1-AC32+IF($Y32&lt;0,$Y32/4,0)</f>
        <v>0.69537260104068599</v>
      </c>
      <c r="AD31" s="134"/>
      <c r="AE31" s="133">
        <f>1-AE32+IF($Y32&lt;0,$Y32/4,0)</f>
        <v>0.69537260104068599</v>
      </c>
      <c r="AF31" s="134"/>
      <c r="AG31" s="133">
        <f>1-AG32+IF($Y32&lt;0,$Y32/4,0)</f>
        <v>0.68727236086989785</v>
      </c>
      <c r="AH31" s="123"/>
      <c r="AI31" s="182">
        <f>SUM(AA31,AC31,AE31,AG31)/4</f>
        <v>0.63297071483817247</v>
      </c>
      <c r="AJ31" s="135">
        <f t="shared" si="14"/>
        <v>0.57461894872105312</v>
      </c>
      <c r="AK31" s="136">
        <f t="shared" si="15"/>
        <v>0.69132248095529192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0.36702928516182742</v>
      </c>
      <c r="J32" s="17"/>
      <c r="L32" s="22">
        <f>SUM(L6:L30)</f>
        <v>0.38998054181936781</v>
      </c>
      <c r="M32" s="23"/>
      <c r="N32" s="56"/>
      <c r="O32" s="2"/>
      <c r="P32" s="22"/>
      <c r="Q32" s="232" t="s">
        <v>143</v>
      </c>
      <c r="R32" s="232">
        <f t="shared" si="24"/>
        <v>35776.442853349821</v>
      </c>
      <c r="S32" s="232">
        <f t="shared" si="24"/>
        <v>79443.154051514939</v>
      </c>
      <c r="T32" s="232">
        <f t="shared" si="24"/>
        <v>79443.154051514939</v>
      </c>
      <c r="V32" s="56"/>
      <c r="W32" s="110"/>
      <c r="X32" s="118"/>
      <c r="Y32" s="115">
        <f>SUM(Y6:Y31)</f>
        <v>4</v>
      </c>
      <c r="Z32" s="137"/>
      <c r="AA32" s="138">
        <f>SUM(AA6:AA30)</f>
        <v>0.54613470359857963</v>
      </c>
      <c r="AB32" s="137"/>
      <c r="AC32" s="139">
        <f>SUM(AC6:AC30)</f>
        <v>0.30462739895931401</v>
      </c>
      <c r="AD32" s="137"/>
      <c r="AE32" s="139">
        <f>SUM(AE6:AE30)</f>
        <v>0.30462739895931401</v>
      </c>
      <c r="AF32" s="137"/>
      <c r="AG32" s="139">
        <f>SUM(AG6:AG30)</f>
        <v>0.31272763913010215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-38.900999000188413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30110.125185412588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27">
        <v>5</v>
      </c>
      <c r="O37" s="2"/>
      <c r="P37" s="2"/>
      <c r="Q37" s="59" t="s">
        <v>71</v>
      </c>
      <c r="R37" s="220">
        <f>IF($B$81=0,0,(SUMIF($N$6:$N$28,$U7,K$6:K$28)*$B$83+SUMIF($N$37:$N$64,$U7,B$37:B$64))*Poor!$B$81/$B$81)</f>
        <v>984.25445590616596</v>
      </c>
      <c r="S37" s="220">
        <f>IF($B$81=0,0,(SUMIF($N$6:$N$28,$U7,L$6:L$28)+SUMIF($N$91:$N$118,$U7,L$91:L$118))*$I$83*Poor!$B$81/$B$81)</f>
        <v>414.0773225620311</v>
      </c>
      <c r="T37" s="220">
        <f>IF($B$81=0,0,(SUMIF($N$6:$N$28,$U7,M$6:M$28)+SUMIF($N$91:$N$118,$U7,M$91:M$118))*$I$83*Poor!$B$81/$B$81)</f>
        <v>414.0773225620311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27">
        <v>5</v>
      </c>
      <c r="O38" s="2"/>
      <c r="P38" s="2"/>
      <c r="Q38" s="59" t="s">
        <v>72</v>
      </c>
      <c r="R38" s="220">
        <f>IF($B$81=0,0,(SUMIF($N$6:$N$28,$U8,K$6:K$28)*$B$83+SUMIF($N$37:$N$64,$U8,B$37:B$64))*Poor!$B$81/$B$81)</f>
        <v>0</v>
      </c>
      <c r="S38" s="220">
        <f>IF($B$81=0,0,(SUMIF($N$6:$N$28,$U8,L$6:L$28)+SUMIF($N$91:$N$118,$U8,L$91:L$118))*$I$83*Poor!$B$81/$B$81)</f>
        <v>0</v>
      </c>
      <c r="T38" s="220">
        <f>IF($B$81=0,0,(SUMIF($N$6:$N$28,$U8,M$6:M$28)+SUMIF($N$91:$N$118,$U8,M$91:M$118))*$I$83*Poor!$B$81/$B$81)</f>
        <v>0</v>
      </c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663.75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663.75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27">
        <v>5</v>
      </c>
      <c r="O39" s="2"/>
      <c r="P39" s="2"/>
      <c r="Q39" s="59" t="s">
        <v>73</v>
      </c>
      <c r="R39" s="220">
        <f>IF($B$81=0,0,(SUMIF($N$6:$N$28,$U9,K$6:K$28)*$B$83+SUMIF($N$37:$N$64,$U9,B$37:B$64))*Poor!$B$81/$B$81)</f>
        <v>119.18500810595445</v>
      </c>
      <c r="S39" s="220">
        <f>IF($B$81=0,0,(SUMIF($N$6:$N$28,$U9,L$6:L$28)+SUMIF($N$91:$N$118,$U9,L$91:L$118))*$I$83*Poor!$B$81/$B$81)</f>
        <v>39.331052674964965</v>
      </c>
      <c r="T39" s="220">
        <f>IF($B$81=0,0,(SUMIF($N$6:$N$28,$U9,M$6:M$28)+SUMIF($N$91:$N$118,$U9,M$91:M$118))*$I$83*Poor!$B$81/$B$81)</f>
        <v>39.331052674964965</v>
      </c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27">
        <v>5</v>
      </c>
      <c r="O40" s="2"/>
      <c r="P40" s="2"/>
      <c r="Q40" s="59" t="s">
        <v>74</v>
      </c>
      <c r="R40" s="220">
        <f>IF($B$81=0,0,(SUMIF($N$6:$N$28,$U10,K$6:K$28)*$B$83+SUMIF($N$37:$N$64,$U10,B$37:B$64))*Poor!$B$81/$B$81)</f>
        <v>0</v>
      </c>
      <c r="S40" s="220">
        <f>IF($B$81=0,0,(SUMIF($N$6:$N$28,$U10,L$6:L$28)+SUMIF($N$91:$N$118,$U10,L$91:L$118))*$I$83*Poor!$B$81/$B$81)</f>
        <v>0</v>
      </c>
      <c r="T40" s="220">
        <f>IF($B$81=0,0,(SUMIF($N$6:$N$28,$U10,M$6:M$28)+SUMIF($N$91:$N$118,$U10,M$91:M$118))*$I$83*Poor!$B$81/$B$81)</f>
        <v>0</v>
      </c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27">
        <v>2</v>
      </c>
      <c r="O41" s="2"/>
      <c r="P41" s="2"/>
      <c r="Q41" s="59" t="s">
        <v>75</v>
      </c>
      <c r="R41" s="220">
        <f>IF($B$81=0,0,(SUMIF($N$6:$N$28,$U11,K$6:K$28)*$B$83+SUMIF($N$37:$N$64,$U11,B$37:B$64))*Poor!$B$81/$B$81)</f>
        <v>1285.7142857142858</v>
      </c>
      <c r="S41" s="220">
        <f>IF($B$81=0,0,(SUMIF($N$6:$N$28,$U11,L$6:L$28)+SUMIF($N$91:$N$118,$U11,L$91:L$118))*$I$83*Poor!$B$81/$B$81)</f>
        <v>758.57142857142856</v>
      </c>
      <c r="T41" s="220">
        <f>IF($B$81=0,0,(SUMIF($N$6:$N$28,$U11,M$6:M$28)+SUMIF($N$91:$N$118,$U11,M$91:M$118))*$I$83*Poor!$B$81/$B$81)</f>
        <v>758.57142857142856</v>
      </c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27">
        <v>2</v>
      </c>
      <c r="O42" s="2"/>
      <c r="P42" s="176"/>
      <c r="Q42" s="126" t="s">
        <v>124</v>
      </c>
      <c r="R42" s="220">
        <f>IF($B$81=0,0,(SUMIF($N$6:$N$28,$U12,K$6:K$28)*$B$83+SUMIF($N$37:$N$64,$U12,B$37:B$64))*Poor!$B$81/$B$81)</f>
        <v>0</v>
      </c>
      <c r="S42" s="220">
        <f>IF($B$81=0,0,(SUMIF($N$6:$N$28,$U12,L$6:L$28)+SUMIF($N$91:$N$118,$U12,L$91:L$118))*$I$83*Poor!$B$81/$B$81)</f>
        <v>0</v>
      </c>
      <c r="T42" s="220">
        <f>IF($B$81=0,0,(SUMIF($N$6:$N$28,$U12,M$6:M$28)+SUMIF($N$91:$N$118,$U12,M$91:M$118))*$I$83*Poor!$B$81/$B$81)</f>
        <v>0</v>
      </c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27">
        <v>2</v>
      </c>
      <c r="O43" s="2"/>
      <c r="P43" s="176"/>
      <c r="Q43" s="59" t="s">
        <v>76</v>
      </c>
      <c r="R43" s="220">
        <f>IF($B$81=0,0,(SUMIF($N$6:$N$28,$U13,K$6:K$28)*$B$83+SUMIF($N$37:$N$64,$U13,B$37:B$64))*Poor!$B$81/$B$81)</f>
        <v>7428.5714285714284</v>
      </c>
      <c r="S43" s="220">
        <f>IF($B$81=0,0,(SUMIF($N$6:$N$28,$U13,L$6:L$28)+SUMIF($N$91:$N$118,$U13,L$91:L$118))*$I$83*Poor!$B$81/$B$81)</f>
        <v>4122.8571428571431</v>
      </c>
      <c r="T43" s="220">
        <f>IF($B$81=0,0,(SUMIF($N$6:$N$28,$U13,M$6:M$28)+SUMIF($N$91:$N$118,$U13,M$91:M$118))*$I$83*Poor!$B$81/$B$81)</f>
        <v>4122.8571428571431</v>
      </c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27">
        <v>7</v>
      </c>
      <c r="O44" s="2"/>
      <c r="P44" s="2"/>
      <c r="Q44" s="126" t="s">
        <v>77</v>
      </c>
      <c r="R44" s="220">
        <f>IF($B$81=0,0,(SUMIF($N$6:$N$28,$U14,K$6:K$28)*$B$83+SUMIF($N$37:$N$64,$U14,B$37:B$64))*Poor!$B$81/$B$81)</f>
        <v>0</v>
      </c>
      <c r="S44" s="220">
        <f>IF($B$81=0,0,(SUMIF($N$6:$N$28,$U14,L$6:L$28)+SUMIF($N$91:$N$118,$U14,L$91:L$118))*$I$83*Poor!$B$81/$B$81)</f>
        <v>0</v>
      </c>
      <c r="T44" s="220">
        <f>IF($B$81=0,0,(SUMIF($N$6:$N$28,$U14,M$6:M$28)+SUMIF($N$91:$N$118,$U14,M$91:M$118))*$I$83*Poor!$B$81/$B$81)</f>
        <v>0</v>
      </c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27">
        <v>7</v>
      </c>
      <c r="O45" s="2"/>
      <c r="P45" s="2"/>
      <c r="Q45" s="59" t="s">
        <v>127</v>
      </c>
      <c r="R45" s="220">
        <f>IF($B$81=0,0,(SUMIF($N$6:$N$28,$U15,K$6:K$28)*$B$83+SUMIF($N$37:$N$64,$U15,B$37:B$64))*Poor!$B$81/$B$81)</f>
        <v>0</v>
      </c>
      <c r="S45" s="220">
        <f>IF($B$81=0,0,(SUMIF($N$6:$N$28,$U15,L$6:L$28)+SUMIF($N$91:$N$118,$U15,L$91:L$118))*$I$83*Poor!$B$81/$B$81)</f>
        <v>0</v>
      </c>
      <c r="T45" s="220">
        <f>IF($B$81=0,0,(SUMIF($N$6:$N$28,$U15,M$6:M$28)+SUMIF($N$91:$N$118,$U15,M$91:M$118))*$I$83*Poor!$B$81/$B$81)</f>
        <v>0</v>
      </c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27">
        <v>7</v>
      </c>
      <c r="O46" s="2"/>
      <c r="P46" s="2"/>
      <c r="Q46" s="126" t="s">
        <v>78</v>
      </c>
      <c r="R46" s="220">
        <f>IF($B$81=0,0,(SUMIF($N$6:$N$28,$U16,K$6:K$28)*$B$83+SUMIF($N$37:$N$64,$U16,B$37:B$64))*Poor!$B$81/$B$81)</f>
        <v>0</v>
      </c>
      <c r="S46" s="220">
        <f>IF($B$81=0,0,(SUMIF($N$6:$N$28,$U16,L$6:L$28)+SUMIF($N$91:$N$118,$U16,L$91:L$118))*$I$83*Poor!$B$81/$B$81)</f>
        <v>0</v>
      </c>
      <c r="T46" s="220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27">
        <v>8</v>
      </c>
      <c r="O47" s="2"/>
      <c r="P47" s="2"/>
      <c r="Q47" s="126" t="s">
        <v>125</v>
      </c>
      <c r="R47" s="220">
        <f>IF($B$81=0,0,(SUMIF($N$6:$N$28,$U17,K$6:K$28)*$B$83+SUMIF($N$37:$N$64,$U17,B$37:B$64))*Poor!$B$81/$B$81)</f>
        <v>0</v>
      </c>
      <c r="S47" s="220">
        <f>IF($B$81=0,0,(SUMIF($N$6:$N$28,$U17,L$6:L$28)+SUMIF($N$91:$N$118,$U17,L$91:L$118))*$I$83*Poor!$B$81/$B$81)</f>
        <v>0</v>
      </c>
      <c r="T47" s="220">
        <f>IF($B$81=0,0,(SUMIF($N$6:$N$28,$U17,M$6:M$28)+SUMIF($N$91:$N$118,$U17,M$91:M$118))*$I$83*Poor!$B$81/$B$81)</f>
        <v>0</v>
      </c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27">
        <v>11</v>
      </c>
      <c r="O48" s="2"/>
      <c r="P48" s="2"/>
      <c r="Q48" s="59" t="s">
        <v>79</v>
      </c>
      <c r="R48" s="220">
        <f>IF($B$81=0,0,(SUMIF($N$6:$N$28,$U18,K$6:K$28)*$B$83+SUMIF($N$37:$N$64,$U18,B$37:B$64))*Poor!$B$81/$B$81)</f>
        <v>1401.3106912413493</v>
      </c>
      <c r="S48" s="220">
        <f>IF($B$81=0,0,(SUMIF($N$6:$N$28,$U18,L$6:L$28)+SUMIF($N$91:$N$118,$U18,L$91:L$118))*$I$83*Poor!$B$81/$B$81)</f>
        <v>2312.1626405482261</v>
      </c>
      <c r="T48" s="220">
        <f>IF($B$81=0,0,(SUMIF($N$6:$N$28,$U18,M$6:M$28)+SUMIF($N$91:$N$118,$U18,M$91:M$118))*$I$83*Poor!$B$81/$B$81)</f>
        <v>2312.1626405482261</v>
      </c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0</v>
      </c>
      <c r="F49" s="75">
        <f>Poor!F49</f>
        <v>1.18</v>
      </c>
      <c r="G49" s="75">
        <f>Poor!G49</f>
        <v>1.65</v>
      </c>
      <c r="H49" s="24">
        <f t="shared" si="30"/>
        <v>0</v>
      </c>
      <c r="I49" s="39">
        <f t="shared" si="31"/>
        <v>0</v>
      </c>
      <c r="J49" s="38">
        <f t="shared" si="32"/>
        <v>0</v>
      </c>
      <c r="K49" s="40">
        <f t="shared" si="33"/>
        <v>0.72616268629915603</v>
      </c>
      <c r="L49" s="22">
        <f t="shared" si="34"/>
        <v>0</v>
      </c>
      <c r="M49" s="24">
        <f t="shared" si="35"/>
        <v>0</v>
      </c>
      <c r="N49" s="227">
        <v>14</v>
      </c>
      <c r="O49" s="2"/>
      <c r="P49" s="2"/>
      <c r="Q49" s="59" t="s">
        <v>80</v>
      </c>
      <c r="R49" s="220">
        <f>IF($B$81=0,0,(SUMIF($N$6:$N$28,$U19,K$6:K$28)*$B$83+SUMIF($N$37:$N$64,$U19,B$37:B$64))*Poor!$B$81/$B$81)</f>
        <v>0</v>
      </c>
      <c r="S49" s="220">
        <f>IF($B$81=0,0,(SUMIF($N$6:$N$28,$U19,L$6:L$28)+SUMIF($N$91:$N$118,$U19,L$91:L$118))*$I$83*Poor!$B$81/$B$81)</f>
        <v>0</v>
      </c>
      <c r="T49" s="220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27">
        <v>9</v>
      </c>
      <c r="O50" s="2"/>
      <c r="P50" s="2"/>
      <c r="Q50" s="59" t="s">
        <v>81</v>
      </c>
      <c r="R50" s="220">
        <f>IF($B$81=0,0,(SUMIF($N$6:$N$28,$U20,K$6:K$28)*$B$83+SUMIF($N$37:$N$64,$U20,B$37:B$64))*Poor!$B$81/$B$81)</f>
        <v>23108.571428571428</v>
      </c>
      <c r="S50" s="220">
        <f>IF($B$81=0,0,(SUMIF($N$6:$N$28,$U20,L$6:L$28)+SUMIF($N$91:$N$118,$U20,L$91:L$118))*$I$83*Poor!$B$81/$B$81)</f>
        <v>0</v>
      </c>
      <c r="T50" s="220">
        <f>IF($B$81=0,0,(SUMIF($N$6:$N$28,$U20,M$6:M$28)+SUMIF($N$91:$N$118,$U20,M$91:M$118))*$I$83*Poor!$B$81/$B$81)</f>
        <v>0</v>
      </c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27">
        <v>15</v>
      </c>
      <c r="O51" s="2"/>
      <c r="P51" s="2"/>
      <c r="Q51" s="59" t="s">
        <v>82</v>
      </c>
      <c r="R51" s="220">
        <f>IF($B$81=0,0,(SUMIF($N$6:$N$28,$U21,K$6:K$28)*$B$83+SUMIF($N$37:$N$64,$U21,B$37:B$64))*Poor!$B$81/$B$81)</f>
        <v>0</v>
      </c>
      <c r="S51" s="220">
        <f>IF($B$81=0,0,(SUMIF($N$6:$N$28,$U21,L$6:L$28)+SUMIF($N$91:$N$118,$U21,L$91:L$118))*$I$83*Poor!$B$81/$B$81)</f>
        <v>0</v>
      </c>
      <c r="T51" s="220">
        <f>IF($B$81=0,0,(SUMIF($N$6:$N$28,$U21,M$6:M$28)+SUMIF($N$91:$N$118,$U21,M$91:M$118))*$I$83*Poor!$B$81/$B$81)</f>
        <v>0</v>
      </c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27">
        <v>15</v>
      </c>
      <c r="O52" s="2"/>
      <c r="P52" s="2"/>
      <c r="Q52" s="59" t="s">
        <v>83</v>
      </c>
      <c r="R52" s="220">
        <f>IF($B$81=0,0,(SUMIF($N$6:$N$28,$U22,K$6:K$28)*$B$83+SUMIF($N$37:$N$64,$U22,B$37:B$64))*Poor!$B$81/$B$81)</f>
        <v>0</v>
      </c>
      <c r="S52" s="220">
        <f>IF($B$81=0,0,(SUMIF($N$6:$N$28,$U22,L$6:L$28)+SUMIF($N$91:$N$118,$U22,L$91:L$118))*$I$83*Poor!$B$81/$B$81)</f>
        <v>0</v>
      </c>
      <c r="T52" s="220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100</v>
      </c>
      <c r="R53" s="179">
        <f>SUM(R37:R52)</f>
        <v>34327.607298110612</v>
      </c>
      <c r="S53" s="179">
        <f>SUM(S37:S52)</f>
        <v>7646.9995872137933</v>
      </c>
      <c r="T53" s="179">
        <f>SUM(T37:T52)</f>
        <v>7646.9995872137933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137</v>
      </c>
      <c r="R54" s="41">
        <f>IF($B$81=0,0,(SUM(($B$70))+((1-$D$29)*$B$83))*Poor!$B$81/$B$81)</f>
        <v>24062.646384067204</v>
      </c>
      <c r="S54" s="41">
        <f>IF($B$81=0,0,(SUM(($B$70*$H$70))+((1-$D$29)*$I$83))*Poor!$B$81/$B$81)</f>
        <v>35969.406972062061</v>
      </c>
      <c r="T54" s="41">
        <f>IF($B$81=0,0,(SUM(($B$70*$H$70))+((1-$D$29)*$I$83))*Poor!$B$81/$B$81)</f>
        <v>35969.406972062061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138</v>
      </c>
      <c r="R55" s="41">
        <f>IF($B$81=0,0,(SUM(($B$70),($B$71*$H$71))+((1-$D$29)*$B$83))*Poor!$B$81/$B$81)</f>
        <v>42445.473050733868</v>
      </c>
      <c r="S55" s="41">
        <f>IF($B$81=0,0,(SUM(($B$70*$H$70),($B$71*$H$71))+((1-$D$29)*$I$83))*Poor!$B$81/$B$81)</f>
        <v>54352.233638728721</v>
      </c>
      <c r="T55" s="41">
        <f>IF($B$81=0,0,(SUM(($B$70*$H$70),($B$71*$H$71))+((1-$D$29)*$I$83))*Poor!$B$81/$B$81)</f>
        <v>54352.233638728721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139</v>
      </c>
      <c r="R56" s="41">
        <f>IF($B$81=0,0,(SUM(($B$70),($B$71*$H$71),($B$72*$H$72))+((1-$D$29)*$B$83))*Poor!$B$81/$B$81)</f>
        <v>75183.393050733866</v>
      </c>
      <c r="S56" s="41">
        <f>IF($B$81=0,0,(SUM(($B$70*$H$70),($B$71*$H$71),($B$72*$H$72))+((1-$D$29)*$I$83))*Poor!$B$81/$B$81)</f>
        <v>87090.153638728734</v>
      </c>
      <c r="T56" s="41">
        <f>IF($B$81=0,0,(SUM(($B$70*$H$70),($B$71*$H$71),($B$72*$H$72))+((1-$D$29)*$I$83))*Poor!$B$81/$B$81)</f>
        <v>87090.153638728734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4271.25</v>
      </c>
      <c r="J65" s="39">
        <f>SUM(J37:J64)</f>
        <v>4271.2500000000009</v>
      </c>
      <c r="K65" s="40">
        <f>SUM(K37:K64)</f>
        <v>1</v>
      </c>
      <c r="L65" s="22">
        <f>SUM(L37:L64)</f>
        <v>0.15339378703537437</v>
      </c>
      <c r="M65" s="24">
        <f>SUM(M37:M64)</f>
        <v>0.1533937870353744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1565.625</v>
      </c>
      <c r="AB65" s="137"/>
      <c r="AC65" s="153">
        <f>SUM(AC37:AC64)</f>
        <v>901.87500000000011</v>
      </c>
      <c r="AD65" s="137"/>
      <c r="AE65" s="153">
        <f>SUM(AE37:AE64)</f>
        <v>901.87500000000011</v>
      </c>
      <c r="AF65" s="137"/>
      <c r="AG65" s="153">
        <f>SUM(AG37:AG64)</f>
        <v>901.87500000000011</v>
      </c>
      <c r="AH65" s="137"/>
      <c r="AI65" s="153">
        <f>SUM(AI37:AI64)</f>
        <v>4271.2500000000009</v>
      </c>
      <c r="AJ65" s="153">
        <f>SUM(AJ37:AJ64)</f>
        <v>2467.5</v>
      </c>
      <c r="AK65" s="153">
        <f>SUM(AK37:AK64)</f>
        <v>1803.7500000000002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4271.25</v>
      </c>
      <c r="J70" s="51">
        <f t="shared" ref="J70:J77" si="44">J124*I$83</f>
        <v>4271.25</v>
      </c>
      <c r="K70" s="40">
        <f>B70/B$76</f>
        <v>0.46934309447911304</v>
      </c>
      <c r="L70" s="22">
        <f t="shared" ref="L70:L74" si="45">(L124*G$37*F$9/F$7)/B$130</f>
        <v>0.1533937870353744</v>
      </c>
      <c r="M70" s="24">
        <f>J70/B$76</f>
        <v>0.1533937870353744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1067.8125</v>
      </c>
      <c r="AB70" s="156">
        <f>Poor!AB70</f>
        <v>0.25</v>
      </c>
      <c r="AC70" s="147">
        <f>$J70*AB70</f>
        <v>1067.8125</v>
      </c>
      <c r="AD70" s="156">
        <f>Poor!AD70</f>
        <v>0.25</v>
      </c>
      <c r="AE70" s="147">
        <f>$J70*AD70</f>
        <v>1067.8125</v>
      </c>
      <c r="AF70" s="156">
        <f>Poor!AF70</f>
        <v>0.25</v>
      </c>
      <c r="AG70" s="147">
        <f>$J70*AF70</f>
        <v>1067.8125</v>
      </c>
      <c r="AH70" s="155">
        <f>SUM(Z70,AB70,AD70,AF70)</f>
        <v>1</v>
      </c>
      <c r="AI70" s="147">
        <f>SUM(AA70,AC70,AE70,AG70)</f>
        <v>4271.25</v>
      </c>
      <c r="AJ70" s="148">
        <f>(AA70+AC70)</f>
        <v>2135.625</v>
      </c>
      <c r="AK70" s="147">
        <f>(AE70+AG70)</f>
        <v>2135.625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0.48954330520141259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0.2550027973234395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497.8125</v>
      </c>
      <c r="AB74" s="156"/>
      <c r="AC74" s="147">
        <f>AC30*$I$83/4</f>
        <v>-165.93749999999989</v>
      </c>
      <c r="AD74" s="156"/>
      <c r="AE74" s="147">
        <f>AE30*$I$83/4</f>
        <v>-165.93749999999989</v>
      </c>
      <c r="AF74" s="156"/>
      <c r="AG74" s="147">
        <f>AG30*$I$83/4</f>
        <v>-165.93749999999989</v>
      </c>
      <c r="AH74" s="155"/>
      <c r="AI74" s="147">
        <f>SUM(AA74,AC74,AE74,AG74)</f>
        <v>3.4106051316484809E-13</v>
      </c>
      <c r="AJ74" s="148">
        <f>(AA74+AC74)</f>
        <v>331.87500000000011</v>
      </c>
      <c r="AK74" s="147">
        <f>(AE74+AG74)</f>
        <v>-331.87499999999977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4271.25</v>
      </c>
      <c r="J76" s="51">
        <f t="shared" si="44"/>
        <v>4271.25</v>
      </c>
      <c r="K76" s="40">
        <f>SUM(K70:K75)</f>
        <v>2.2319893945259621</v>
      </c>
      <c r="L76" s="22">
        <f>SUM(L70:L75)</f>
        <v>0.1533937870353744</v>
      </c>
      <c r="M76" s="24">
        <f>SUM(M70:M75)</f>
        <v>0.1533937870353744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1565.625</v>
      </c>
      <c r="AB76" s="137"/>
      <c r="AC76" s="153">
        <f>AC65</f>
        <v>901.87500000000011</v>
      </c>
      <c r="AD76" s="137"/>
      <c r="AE76" s="153">
        <f>AE65</f>
        <v>901.87500000000011</v>
      </c>
      <c r="AF76" s="137"/>
      <c r="AG76" s="153">
        <f>AG65</f>
        <v>901.87500000000011</v>
      </c>
      <c r="AH76" s="137"/>
      <c r="AI76" s="153">
        <f>SUM(AA76,AC76,AE76,AG76)</f>
        <v>4271.25</v>
      </c>
      <c r="AJ76" s="154">
        <f>SUM(AA76,AC76)</f>
        <v>2467.5</v>
      </c>
      <c r="AK76" s="154">
        <f>SUM(AE76,AG76)</f>
        <v>1803.7500000000002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30110.125185412591</v>
      </c>
      <c r="J77" s="100">
        <f t="shared" si="44"/>
        <v>30110.125185412591</v>
      </c>
      <c r="K77" s="40"/>
      <c r="L77" s="22">
        <f>-(L131*G$37*F$9/F$7)/B$130</f>
        <v>-1.0813476453730504</v>
      </c>
      <c r="M77" s="24">
        <f>-J77/B$76</f>
        <v>-1.0813476453730504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1928.2915772570575</v>
      </c>
      <c r="AB77" s="112"/>
      <c r="AC77" s="111">
        <f>AC31*$I$83/4</f>
        <v>2954.3592344988347</v>
      </c>
      <c r="AD77" s="112"/>
      <c r="AE77" s="111">
        <f>AE31*$I$83/4</f>
        <v>2954.3592344988347</v>
      </c>
      <c r="AF77" s="112"/>
      <c r="AG77" s="111">
        <f>AG31*$I$83/4</f>
        <v>2919.9445634082404</v>
      </c>
      <c r="AH77" s="110"/>
      <c r="AI77" s="154">
        <f>SUM(AA77,AC77,AE77,AG77)</f>
        <v>10756.954609662967</v>
      </c>
      <c r="AJ77" s="153">
        <f>SUM(AA77,AC77)</f>
        <v>4882.6508117558924</v>
      </c>
      <c r="AK77" s="160">
        <f>SUM(AE77,AG77)</f>
        <v>5874.303797907075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497.8125</v>
      </c>
      <c r="AB79" s="112"/>
      <c r="AC79" s="112">
        <f>AA79-AA74+AC65-AC70</f>
        <v>-165.93749999999989</v>
      </c>
      <c r="AD79" s="112"/>
      <c r="AE79" s="112">
        <f>AC79-AC74+AE65-AE70</f>
        <v>-165.93749999999989</v>
      </c>
      <c r="AF79" s="112"/>
      <c r="AG79" s="112">
        <f>AE79-AE74+AG65-AG70</f>
        <v>-165.93749999999989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21054.815586058805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5">
        <f t="shared" si="49"/>
        <v>3.9056994030302085E-2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6">
        <f t="shared" si="49"/>
        <v>0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6">
        <f t="shared" si="49"/>
        <v>0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6">
        <f t="shared" si="49"/>
        <v>2.4819947392815702E-2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6">
        <f t="shared" si="49"/>
        <v>3.0698355985850998E-2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6">
        <f t="shared" si="49"/>
        <v>0.15675756248094128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1.9631766355298961</v>
      </c>
      <c r="L103" s="22">
        <f t="shared" si="57"/>
        <v>0</v>
      </c>
      <c r="M103" s="226">
        <f t="shared" si="49"/>
        <v>0</v>
      </c>
      <c r="N103" s="227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6">
        <f t="shared" si="49"/>
        <v>0</v>
      </c>
      <c r="N104" s="227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6">
        <f>(J106)</f>
        <v>0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6">
        <f t="shared" ref="M107:M118" si="65">(J107)</f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6">
        <f t="shared" si="65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6">
        <f t="shared" si="65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6">
        <f t="shared" si="65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6">
        <f t="shared" si="65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0.25133285988991005</v>
      </c>
      <c r="J119" s="24">
        <f>SUM(J91:J118)</f>
        <v>0.25133285988991005</v>
      </c>
      <c r="K119" s="22">
        <f>SUM(K91:K118)</f>
        <v>2.7034942342398596</v>
      </c>
      <c r="L119" s="22">
        <f>SUM(L91:L118)</f>
        <v>0.25133285988991005</v>
      </c>
      <c r="M119" s="57">
        <f t="shared" si="49"/>
        <v>0.25133285988991005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0.25133285988991005</v>
      </c>
      <c r="J124" s="235">
        <f>IF(SUMPRODUCT($B$124:$B124,$H$124:$H124)&lt;J$119,($B124*$H124),J$119)</f>
        <v>0.25133285988991005</v>
      </c>
      <c r="K124" s="29">
        <f>(B124)</f>
        <v>1.2688663498045756</v>
      </c>
      <c r="L124" s="29">
        <f>IF(SUMPRODUCT($B$124:$B124,$H$124:$H124)&lt;L$119,($B124*$H124),L$119)</f>
        <v>0.25133285988991005</v>
      </c>
      <c r="M124" s="238">
        <f t="shared" si="66"/>
        <v>0.25133285988991005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0.68939859227895406</v>
      </c>
      <c r="L128" s="29">
        <f>IF(L124=L119,0,(L119-L124)/(B119-B124)*K128)</f>
        <v>0</v>
      </c>
      <c r="M128" s="238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0.25133285988991005</v>
      </c>
      <c r="J130" s="226">
        <f>(J119)</f>
        <v>0.25133285988991005</v>
      </c>
      <c r="K130" s="29">
        <f>(B130)</f>
        <v>2.7034942342398596</v>
      </c>
      <c r="L130" s="29">
        <f>(L119)</f>
        <v>0.25133285988991005</v>
      </c>
      <c r="M130" s="238">
        <f t="shared" si="66"/>
        <v>0.25133285988991005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1.7717679542272062</v>
      </c>
      <c r="J131" s="235">
        <f>IF(SUMPRODUCT($B124:$B125,$H124:$H125)&gt;(J119-J128),SUMPRODUCT($B124:$B125,$H124:$H125)+J128-J119,0)</f>
        <v>1.7717679542272062</v>
      </c>
      <c r="K131" s="29"/>
      <c r="L131" s="29">
        <f>IF(I131&lt;SUM(L126:L127),0,I131-(SUM(L126:L127)))</f>
        <v>1.7717679542272062</v>
      </c>
      <c r="M131" s="235">
        <f>IF(I131&lt;SUM(M126:M127),0,I131-(SUM(M126:M127)))</f>
        <v>1.7717679542272062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32" operator="equal">
      <formula>16</formula>
    </cfRule>
    <cfRule type="cellIs" dxfId="570" priority="133" operator="equal">
      <formula>15</formula>
    </cfRule>
    <cfRule type="cellIs" dxfId="569" priority="134" operator="equal">
      <formula>14</formula>
    </cfRule>
    <cfRule type="cellIs" dxfId="568" priority="135" operator="equal">
      <formula>13</formula>
    </cfRule>
    <cfRule type="cellIs" dxfId="567" priority="136" operator="equal">
      <formula>12</formula>
    </cfRule>
    <cfRule type="cellIs" dxfId="566" priority="137" operator="equal">
      <formula>11</formula>
    </cfRule>
    <cfRule type="cellIs" dxfId="565" priority="138" operator="equal">
      <formula>10</formula>
    </cfRule>
    <cfRule type="cellIs" dxfId="564" priority="139" operator="equal">
      <formula>9</formula>
    </cfRule>
    <cfRule type="cellIs" dxfId="563" priority="140" operator="equal">
      <formula>8</formula>
    </cfRule>
    <cfRule type="cellIs" dxfId="562" priority="141" operator="equal">
      <formula>7</formula>
    </cfRule>
    <cfRule type="cellIs" dxfId="561" priority="142" operator="equal">
      <formula>6</formula>
    </cfRule>
    <cfRule type="cellIs" dxfId="560" priority="143" operator="equal">
      <formula>5</formula>
    </cfRule>
    <cfRule type="cellIs" dxfId="559" priority="144" operator="equal">
      <formula>4</formula>
    </cfRule>
    <cfRule type="cellIs" dxfId="558" priority="145" operator="equal">
      <formula>3</formula>
    </cfRule>
    <cfRule type="cellIs" dxfId="557" priority="146" operator="equal">
      <formula>2</formula>
    </cfRule>
    <cfRule type="cellIs" dxfId="556" priority="147" operator="equal">
      <formula>1</formula>
    </cfRule>
  </conditionalFormatting>
  <conditionalFormatting sqref="N29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9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91:N104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05:N112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27:N28">
    <cfRule type="cellIs" dxfId="491" priority="52" operator="equal">
      <formula>16</formula>
    </cfRule>
    <cfRule type="cellIs" dxfId="490" priority="53" operator="equal">
      <formula>15</formula>
    </cfRule>
    <cfRule type="cellIs" dxfId="489" priority="54" operator="equal">
      <formula>14</formula>
    </cfRule>
    <cfRule type="cellIs" dxfId="488" priority="55" operator="equal">
      <formula>13</formula>
    </cfRule>
    <cfRule type="cellIs" dxfId="487" priority="56" operator="equal">
      <formula>12</formula>
    </cfRule>
    <cfRule type="cellIs" dxfId="486" priority="57" operator="equal">
      <formula>11</formula>
    </cfRule>
    <cfRule type="cellIs" dxfId="485" priority="58" operator="equal">
      <formula>10</formula>
    </cfRule>
    <cfRule type="cellIs" dxfId="484" priority="59" operator="equal">
      <formula>9</formula>
    </cfRule>
    <cfRule type="cellIs" dxfId="483" priority="60" operator="equal">
      <formula>8</formula>
    </cfRule>
    <cfRule type="cellIs" dxfId="482" priority="61" operator="equal">
      <formula>7</formula>
    </cfRule>
    <cfRule type="cellIs" dxfId="481" priority="62" operator="equal">
      <formula>6</formula>
    </cfRule>
    <cfRule type="cellIs" dxfId="480" priority="63" operator="equal">
      <formula>5</formula>
    </cfRule>
    <cfRule type="cellIs" dxfId="479" priority="64" operator="equal">
      <formula>4</formula>
    </cfRule>
    <cfRule type="cellIs" dxfId="478" priority="65" operator="equal">
      <formula>3</formula>
    </cfRule>
    <cfRule type="cellIs" dxfId="477" priority="66" operator="equal">
      <formula>2</formula>
    </cfRule>
    <cfRule type="cellIs" dxfId="476" priority="67" operator="equal">
      <formula>1</formula>
    </cfRule>
  </conditionalFormatting>
  <conditionalFormatting sqref="N6:N26">
    <cfRule type="cellIs" dxfId="475" priority="36" operator="equal">
      <formula>16</formula>
    </cfRule>
    <cfRule type="cellIs" dxfId="474" priority="37" operator="equal">
      <formula>15</formula>
    </cfRule>
    <cfRule type="cellIs" dxfId="473" priority="38" operator="equal">
      <formula>14</formula>
    </cfRule>
    <cfRule type="cellIs" dxfId="472" priority="39" operator="equal">
      <formula>13</formula>
    </cfRule>
    <cfRule type="cellIs" dxfId="471" priority="40" operator="equal">
      <formula>12</formula>
    </cfRule>
    <cfRule type="cellIs" dxfId="470" priority="41" operator="equal">
      <formula>11</formula>
    </cfRule>
    <cfRule type="cellIs" dxfId="469" priority="42" operator="equal">
      <formula>10</formula>
    </cfRule>
    <cfRule type="cellIs" dxfId="468" priority="43" operator="equal">
      <formula>9</formula>
    </cfRule>
    <cfRule type="cellIs" dxfId="467" priority="44" operator="equal">
      <formula>8</formula>
    </cfRule>
    <cfRule type="cellIs" dxfId="466" priority="45" operator="equal">
      <formula>7</formula>
    </cfRule>
    <cfRule type="cellIs" dxfId="465" priority="46" operator="equal">
      <formula>6</formula>
    </cfRule>
    <cfRule type="cellIs" dxfId="464" priority="47" operator="equal">
      <formula>5</formula>
    </cfRule>
    <cfRule type="cellIs" dxfId="463" priority="48" operator="equal">
      <formula>4</formula>
    </cfRule>
    <cfRule type="cellIs" dxfId="462" priority="49" operator="equal">
      <formula>3</formula>
    </cfRule>
    <cfRule type="cellIs" dxfId="461" priority="50" operator="equal">
      <formula>2</formula>
    </cfRule>
    <cfRule type="cellIs" dxfId="460" priority="51" operator="equal">
      <formula>1</formula>
    </cfRule>
  </conditionalFormatting>
  <conditionalFormatting sqref="R31:T31">
    <cfRule type="cellIs" dxfId="459" priority="35" operator="greaterThan">
      <formula>0</formula>
    </cfRule>
  </conditionalFormatting>
  <conditionalFormatting sqref="R32:T32">
    <cfRule type="cellIs" dxfId="458" priority="34" operator="greaterThan">
      <formula>0</formula>
    </cfRule>
  </conditionalFormatting>
  <conditionalFormatting sqref="R30:T30">
    <cfRule type="cellIs" dxfId="457" priority="33" operator="greaterThan">
      <formula>0</formula>
    </cfRule>
  </conditionalFormatting>
  <conditionalFormatting sqref="N37:N50">
    <cfRule type="cellIs" dxfId="127" priority="17" operator="equal">
      <formula>16</formula>
    </cfRule>
    <cfRule type="cellIs" dxfId="126" priority="18" operator="equal">
      <formula>15</formula>
    </cfRule>
    <cfRule type="cellIs" dxfId="125" priority="19" operator="equal">
      <formula>14</formula>
    </cfRule>
    <cfRule type="cellIs" dxfId="124" priority="20" operator="equal">
      <formula>13</formula>
    </cfRule>
    <cfRule type="cellIs" dxfId="123" priority="21" operator="equal">
      <formula>12</formula>
    </cfRule>
    <cfRule type="cellIs" dxfId="122" priority="22" operator="equal">
      <formula>11</formula>
    </cfRule>
    <cfRule type="cellIs" dxfId="121" priority="23" operator="equal">
      <formula>10</formula>
    </cfRule>
    <cfRule type="cellIs" dxfId="120" priority="24" operator="equal">
      <formula>9</formula>
    </cfRule>
    <cfRule type="cellIs" dxfId="119" priority="25" operator="equal">
      <formula>8</formula>
    </cfRule>
    <cfRule type="cellIs" dxfId="118" priority="26" operator="equal">
      <formula>7</formula>
    </cfRule>
    <cfRule type="cellIs" dxfId="117" priority="27" operator="equal">
      <formula>6</formula>
    </cfRule>
    <cfRule type="cellIs" dxfId="116" priority="28" operator="equal">
      <formula>5</formula>
    </cfRule>
    <cfRule type="cellIs" dxfId="115" priority="29" operator="equal">
      <formula>4</formula>
    </cfRule>
    <cfRule type="cellIs" dxfId="114" priority="30" operator="equal">
      <formula>3</formula>
    </cfRule>
    <cfRule type="cellIs" dxfId="113" priority="31" operator="equal">
      <formula>2</formula>
    </cfRule>
    <cfRule type="cellIs" dxfId="112" priority="32" operator="equal">
      <formula>1</formula>
    </cfRule>
  </conditionalFormatting>
  <conditionalFormatting sqref="N51:N52">
    <cfRule type="cellIs" dxfId="111" priority="1" operator="equal">
      <formula>16</formula>
    </cfRule>
    <cfRule type="cellIs" dxfId="110" priority="2" operator="equal">
      <formula>15</formula>
    </cfRule>
    <cfRule type="cellIs" dxfId="109" priority="3" operator="equal">
      <formula>14</formula>
    </cfRule>
    <cfRule type="cellIs" dxfId="108" priority="4" operator="equal">
      <formula>13</formula>
    </cfRule>
    <cfRule type="cellIs" dxfId="107" priority="5" operator="equal">
      <formula>12</formula>
    </cfRule>
    <cfRule type="cellIs" dxfId="106" priority="6" operator="equal">
      <formula>11</formula>
    </cfRule>
    <cfRule type="cellIs" dxfId="105" priority="7" operator="equal">
      <formula>10</formula>
    </cfRule>
    <cfRule type="cellIs" dxfId="104" priority="8" operator="equal">
      <formula>9</formula>
    </cfRule>
    <cfRule type="cellIs" dxfId="103" priority="9" operator="equal">
      <formula>8</formula>
    </cfRule>
    <cfRule type="cellIs" dxfId="102" priority="10" operator="equal">
      <formula>7</formula>
    </cfRule>
    <cfRule type="cellIs" dxfId="101" priority="11" operator="equal">
      <formula>6</formula>
    </cfRule>
    <cfRule type="cellIs" dxfId="100" priority="12" operator="equal">
      <formula>5</formula>
    </cfRule>
    <cfRule type="cellIs" dxfId="99" priority="13" operator="equal">
      <formula>4</formula>
    </cfRule>
    <cfRule type="cellIs" dxfId="98" priority="14" operator="equal">
      <formula>3</formula>
    </cfRule>
    <cfRule type="cellIs" dxfId="97" priority="15" operator="equal">
      <formula>2</formula>
    </cfRule>
    <cfRule type="cellIs" dxfId="9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F23" activePane="bottomRight" state="frozen"/>
      <selection pane="topRight" activeCell="B1" sqref="B1"/>
      <selection pane="bottomLeft" activeCell="A3" sqref="A3"/>
      <selection pane="bottomRight" activeCell="R37" sqref="R37:T5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1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4" t="s">
        <v>105</v>
      </c>
      <c r="AA1" s="255"/>
      <c r="AB1" s="254" t="s">
        <v>106</v>
      </c>
      <c r="AC1" s="255"/>
      <c r="AD1" s="254" t="s">
        <v>107</v>
      </c>
      <c r="AE1" s="255"/>
      <c r="AF1" s="254" t="s">
        <v>108</v>
      </c>
      <c r="AG1" s="255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2" t="s">
        <v>109</v>
      </c>
      <c r="AA2" s="256"/>
      <c r="AB2" s="252" t="s">
        <v>110</v>
      </c>
      <c r="AC2" s="256"/>
      <c r="AD2" s="252" t="s">
        <v>111</v>
      </c>
      <c r="AE2" s="256"/>
      <c r="AF2" s="252" t="s">
        <v>112</v>
      </c>
      <c r="AG2" s="256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2">
        <f t="shared" ref="M6:M31" si="6">J6</f>
        <v>4.6933374844333742E-3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2">
        <f t="shared" si="6"/>
        <v>4.9988723536737237E-3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4042.401206537601</v>
      </c>
      <c r="S7" s="220">
        <f>IF($B$81=0,0,(SUMIF($N$6:$N$28,$U7,L$6:L$28)+SUMIF($N$91:$N$118,$U7,L$91:L$118))*$I$83*Poor!$B$81/$B$81)</f>
        <v>1266.8966064428832</v>
      </c>
      <c r="T7" s="220">
        <f>IF($B$81=0,0,(SUMIF($N$6:$N$28,$U7,M$6:M$28)+SUMIF($N$91:$N$118,$U7,M$91:M$118))*$I$83*Poor!$B$81/$B$81)</f>
        <v>1351.9601796764625</v>
      </c>
      <c r="U7" s="221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2">
        <f t="shared" si="6"/>
        <v>5.7844513356164376E-2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2481.4068502938544</v>
      </c>
      <c r="S8" s="220">
        <f>IF($B$81=0,0,(SUMIF($N$6:$N$28,$U8,L$6:L$28)+SUMIF($N$91:$N$118,$U8,L$91:L$118))*$I$83*Poor!$B$81/$B$81)</f>
        <v>464.79999999999984</v>
      </c>
      <c r="T8" s="220">
        <f>IF($B$81=0,0,(SUMIF($N$6:$N$28,$U8,M$6:M$28)+SUMIF($N$91:$N$118,$U8,M$91:M$118))*$I$83*Poor!$B$81/$B$81)</f>
        <v>419.99999999999989</v>
      </c>
      <c r="U8" s="221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2">
        <f t="shared" si="6"/>
        <v>5.5235258405977586E-3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852.70031370716697</v>
      </c>
      <c r="S9" s="220">
        <f>IF($B$81=0,0,(SUMIF($N$6:$N$28,$U9,L$6:L$28)+SUMIF($N$91:$N$118,$U9,L$91:L$118))*$I$83*Poor!$B$81/$B$81)</f>
        <v>188.24371013301172</v>
      </c>
      <c r="T9" s="220">
        <f>IF($B$81=0,0,(SUMIF($N$6:$N$28,$U9,M$6:M$28)+SUMIF($N$91:$N$118,$U9,M$91:M$118))*$I$83*Poor!$B$81/$B$81)</f>
        <v>188.24371013301172</v>
      </c>
      <c r="U9" s="221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6.2410953922789544E-3</v>
      </c>
      <c r="K10" s="22">
        <f t="shared" si="4"/>
        <v>9.3068966376089659E-3</v>
      </c>
      <c r="L10" s="22">
        <f t="shared" si="5"/>
        <v>1.8613793275217934E-3</v>
      </c>
      <c r="M10" s="222">
        <f t="shared" si="6"/>
        <v>6.2410953922789544E-3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2.4964381569115818E-2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2.4964381569115818E-2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6.2410953922789544E-3</v>
      </c>
      <c r="AJ10" s="120">
        <f t="shared" si="14"/>
        <v>1.2482190784557909E-2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14574.528186966918</v>
      </c>
      <c r="S11" s="220">
        <f>IF($B$81=0,0,(SUMIF($N$6:$N$28,$U11,L$6:L$28)+SUMIF($N$91:$N$118,$U11,L$91:L$118))*$I$83*Poor!$B$81/$B$81)</f>
        <v>5752.5</v>
      </c>
      <c r="T11" s="220">
        <f>IF($B$81=0,0,(SUMIF($N$6:$N$28,$U11,M$6:M$28)+SUMIF($N$91:$N$118,$U11,M$91:M$118))*$I$83*Poor!$B$81/$B$81)</f>
        <v>4277.5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7414.3240828057342</v>
      </c>
      <c r="S13" s="220">
        <f>IF($B$81=0,0,(SUMIF($N$6:$N$28,$U13,L$6:L$28)+SUMIF($N$91:$N$118,$U13,L$91:L$118))*$I$83*Poor!$B$81/$B$81)</f>
        <v>2752.8000000000006</v>
      </c>
      <c r="T13" s="220">
        <f>IF($B$81=0,0,(SUMIF($N$6:$N$28,$U13,M$6:M$28)+SUMIF($N$91:$N$118,$U13,M$91:M$118))*$I$83*Poor!$B$81/$B$81)</f>
        <v>2752.8000000000006</v>
      </c>
      <c r="U13" s="221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127</v>
      </c>
      <c r="R15" s="220">
        <f>IF($B$81=0,0,(SUMIF($N$6:$N$28,$U15,K$6:K$28)+SUMIF($N$91:$N$118,$U15,K$91:K$118))*$B$83*$H$84*Poor!$B$81/$B$81)</f>
        <v>22296.785890953695</v>
      </c>
      <c r="S15" s="220">
        <f>IF($B$81=0,0,(SUMIF($N$6:$N$28,$U15,L$6:L$28)+SUMIF($N$91:$N$118,$U15,L$91:L$118))*$I$83*Poor!$B$81/$B$81)</f>
        <v>17600.879999999997</v>
      </c>
      <c r="T15" s="220">
        <f>IF($B$81=0,0,(SUMIF($N$6:$N$28,$U15,M$6:M$28)+SUMIF($N$91:$N$118,$U15,M$91:M$118))*$I$83*Poor!$B$81/$B$81)</f>
        <v>17600.879999999997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2">
        <f t="shared" si="6"/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3">
        <f t="shared" ref="M18:M20" si="23">J18</f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2094.7120172507839</v>
      </c>
      <c r="S18" s="220">
        <f>IF($B$81=0,0,(SUMIF($N$6:$N$28,$U18,L$6:L$28)+SUMIF($N$91:$N$118,$U18,L$91:L$118))*$I$83*Poor!$B$81/$B$81)</f>
        <v>2312.1626405482261</v>
      </c>
      <c r="T18" s="220">
        <f>IF($B$81=0,0,(SUMIF($N$6:$N$28,$U18,M$6:M$28)+SUMIF($N$91:$N$118,$U18,M$91:M$118))*$I$83*Poor!$B$81/$B$81)</f>
        <v>2312.1626405482261</v>
      </c>
      <c r="U18" s="221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3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3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32916.011351488363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3">
        <f t="shared" si="39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/>
      <c r="O23" s="2"/>
      <c r="P23" s="22"/>
      <c r="Q23" s="171" t="s">
        <v>100</v>
      </c>
      <c r="R23" s="179">
        <f>SUM(R7:R22)</f>
        <v>86672.869900004123</v>
      </c>
      <c r="S23" s="179">
        <f>SUM(S7:S22)</f>
        <v>30338.28295712412</v>
      </c>
      <c r="T23" s="179">
        <f>SUM(T7:T22)</f>
        <v>28903.5465303577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1.2151756849315068E-2</v>
      </c>
      <c r="L27" s="22">
        <f t="shared" si="5"/>
        <v>1.2151756849315068E-2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0.19629046653175591</v>
      </c>
      <c r="L29" s="22">
        <f t="shared" si="5"/>
        <v>0.19629046653175591</v>
      </c>
      <c r="M29" s="222">
        <f t="shared" si="6"/>
        <v>0.22463677394199708</v>
      </c>
      <c r="N29" s="227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0.21321032969544618</v>
      </c>
      <c r="J30" s="229">
        <f>IF(I$32&lt;=1,I30,1-SUM(J6:J29))</f>
        <v>0.21321032969544618</v>
      </c>
      <c r="K30" s="22">
        <f t="shared" si="4"/>
        <v>0.58958408107098381</v>
      </c>
      <c r="L30" s="22">
        <f>IF(L124=L119,0,IF(K30="",0,(L119-L124)/(B119-B124)*K30))</f>
        <v>5.2716489398852068E-2</v>
      </c>
      <c r="M30" s="175">
        <f t="shared" si="6"/>
        <v>0.21321032969544618</v>
      </c>
      <c r="N30" s="166" t="s">
        <v>86</v>
      </c>
      <c r="O30" s="2"/>
      <c r="P30" s="22"/>
      <c r="Q30" s="232" t="s">
        <v>141</v>
      </c>
      <c r="R30" s="232">
        <f t="shared" ref="R30:T32" si="50">IF(R24&gt;R$23,R24-R$23,0)</f>
        <v>0</v>
      </c>
      <c r="S30" s="232">
        <f t="shared" si="50"/>
        <v>5631.1240149379337</v>
      </c>
      <c r="T30" s="232">
        <f t="shared" si="50"/>
        <v>7065.8604417043534</v>
      </c>
      <c r="V30" s="56"/>
      <c r="W30" s="110"/>
      <c r="X30" s="118"/>
      <c r="Y30" s="183">
        <f>M30*4</f>
        <v>0.85284131878178471</v>
      </c>
      <c r="Z30" s="122">
        <f>IF($Y30=0,0,AA30/($Y$30))</f>
        <v>-3.7875668154978004E-2</v>
      </c>
      <c r="AA30" s="187">
        <f>IF(AA79*4/$I$83+SUM(AA6:AA29)&lt;1,AA79*4/$I$83,1-SUM(AA6:AA29))</f>
        <v>-3.230193477903269E-2</v>
      </c>
      <c r="AB30" s="122">
        <f>IF($Y30=0,0,AC30/($Y$30))</f>
        <v>-1.0961932650656196</v>
      </c>
      <c r="AC30" s="187">
        <f>IF(AC79*4/$I$83+SUM(AC6:AC29)&lt;1,AC79*4/$I$83,1-SUM(AC6:AC29))</f>
        <v>-0.9348789098182736</v>
      </c>
      <c r="AD30" s="122">
        <f>IF($Y30=0,0,AE30/($Y$30))</f>
        <v>-1.0454809558012192</v>
      </c>
      <c r="AE30" s="187">
        <f>IF(AE79*4/$I$83+SUM(AE6:AE29)&lt;1,AE79*4/$I$83,1-SUM(AE6:AE29))</f>
        <v>-0.89162935710675262</v>
      </c>
      <c r="AF30" s="122">
        <f>IF($Y30=0,0,AG30/($Y$30))</f>
        <v>-1.0708371104334196</v>
      </c>
      <c r="AG30" s="187">
        <f>IF(AG79*4/$I$83+SUM(AG6:AG29)&lt;1,AG79*4/$I$83,1-SUM(AG6:AG29))</f>
        <v>-0.91325413346251316</v>
      </c>
      <c r="AH30" s="123">
        <f t="shared" si="12"/>
        <v>-3.2503869994552366</v>
      </c>
      <c r="AI30" s="183">
        <f t="shared" si="13"/>
        <v>-0.69301608379164303</v>
      </c>
      <c r="AJ30" s="120">
        <f t="shared" si="14"/>
        <v>-0.48359042229865312</v>
      </c>
      <c r="AK30" s="119">
        <f t="shared" si="15"/>
        <v>-0.90244174528463295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0.36380393288778956</v>
      </c>
      <c r="K31" s="22" t="str">
        <f t="shared" si="4"/>
        <v/>
      </c>
      <c r="L31" s="22">
        <f>(1-SUM(L6:L30))</f>
        <v>0.54487203981006682</v>
      </c>
      <c r="M31" s="178">
        <f t="shared" si="6"/>
        <v>0.36380393288778956</v>
      </c>
      <c r="N31" s="167">
        <f>M31*I83</f>
        <v>7065.8604417043543</v>
      </c>
      <c r="P31" s="22"/>
      <c r="Q31" s="236" t="s">
        <v>142</v>
      </c>
      <c r="R31" s="232">
        <f t="shared" si="50"/>
        <v>0</v>
      </c>
      <c r="S31" s="232">
        <f t="shared" si="50"/>
        <v>24013.950681604609</v>
      </c>
      <c r="T31" s="232">
        <f>IF(T25&gt;T$23,T25-T$23,0)</f>
        <v>25448.687108371028</v>
      </c>
      <c r="V31" s="56"/>
      <c r="W31" s="129" t="s">
        <v>84</v>
      </c>
      <c r="X31" s="130"/>
      <c r="Y31" s="121">
        <f>M31*4</f>
        <v>1.4552157315511582</v>
      </c>
      <c r="Z31" s="131"/>
      <c r="AA31" s="132">
        <f>1-AA32+IF($Y32&lt;0,$Y32/4,0)</f>
        <v>0.40698953394383741</v>
      </c>
      <c r="AB31" s="131"/>
      <c r="AC31" s="133">
        <f>1-AC32+IF($Y32&lt;0,$Y32/4,0)</f>
        <v>1.5880030473392428</v>
      </c>
      <c r="AD31" s="134"/>
      <c r="AE31" s="133">
        <f>1-AE32+IF($Y32&lt;0,$Y32/4,0)</f>
        <v>1.5417497586376845</v>
      </c>
      <c r="AF31" s="134"/>
      <c r="AG31" s="133">
        <f>1-AG32+IF($Y32&lt;0,$Y32/4,0)</f>
        <v>1.5433790455787502</v>
      </c>
      <c r="AH31" s="123"/>
      <c r="AI31" s="182">
        <f>SUM(AA31,AC31,AE31,AG31)/4</f>
        <v>1.2700303463748788</v>
      </c>
      <c r="AJ31" s="135">
        <f t="shared" si="14"/>
        <v>0.99749629064154011</v>
      </c>
      <c r="AK31" s="136">
        <f t="shared" si="15"/>
        <v>1.5425644021082174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0.63619606711221044</v>
      </c>
      <c r="J32" s="17"/>
      <c r="L32" s="22">
        <f>SUM(L6:L30)</f>
        <v>0.45512796018993318</v>
      </c>
      <c r="M32" s="23"/>
      <c r="N32" s="56"/>
      <c r="O32" s="2"/>
      <c r="P32" s="22"/>
      <c r="Q32" s="232" t="s">
        <v>143</v>
      </c>
      <c r="R32" s="232">
        <f t="shared" si="50"/>
        <v>417.28373872459633</v>
      </c>
      <c r="S32" s="232">
        <f t="shared" si="50"/>
        <v>56751.870681604603</v>
      </c>
      <c r="T32" s="232">
        <f t="shared" si="50"/>
        <v>58186.607108371019</v>
      </c>
      <c r="V32" s="56"/>
      <c r="W32" s="110"/>
      <c r="X32" s="118"/>
      <c r="Y32" s="115">
        <f>SUM(Y6:Y31)</f>
        <v>4</v>
      </c>
      <c r="Z32" s="137"/>
      <c r="AA32" s="138">
        <f>SUM(AA6:AA30)</f>
        <v>0.59301046605616259</v>
      </c>
      <c r="AB32" s="137"/>
      <c r="AC32" s="139">
        <f>SUM(AC6:AC30)</f>
        <v>-0.5880030473392428</v>
      </c>
      <c r="AD32" s="137"/>
      <c r="AE32" s="139">
        <f>SUM(AE6:AE30)</f>
        <v>-0.54174975863768449</v>
      </c>
      <c r="AF32" s="137"/>
      <c r="AG32" s="139">
        <f>SUM(AG6:AG30)</f>
        <v>-0.54337904557875016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4.5714777861395692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18382.826666666671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1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27">
        <v>5</v>
      </c>
      <c r="O37" s="2"/>
      <c r="Q37" s="59" t="s">
        <v>71</v>
      </c>
      <c r="R37" s="220">
        <f>IF($B$81=0,0,(SUMIF($N$6:$N$28,$U7,K$6:K$28)*$B$83+SUMIF($N$37:$N$64,$U7,B$37:B$64))*Poor!$B$81/$B$81)</f>
        <v>2704.266735645449</v>
      </c>
      <c r="S37" s="220">
        <f>IF($B$81=0,0,(SUMIF($N$6:$N$28,$U7,L$6:L$28)+SUMIF($N$91:$N$118,$U7,L$91:L$118))*$I$83*Poor!$B$81/$B$81)</f>
        <v>1266.8966064428832</v>
      </c>
      <c r="T37" s="220">
        <f>IF($B$81=0,0,(SUMIF($N$6:$N$28,$U7,M$6:M$28)+SUMIF($N$91:$N$118,$U7,M$91:M$118))*$I$83*Poor!$B$81/$B$81)</f>
        <v>1351.9601796764625</v>
      </c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3982.5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3982.5</v>
      </c>
      <c r="AJ37" s="148">
        <f>(AA37+AC37)</f>
        <v>3982.5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294.99999999999983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5.5340862191873303E-3</v>
      </c>
      <c r="N38" s="227">
        <v>5</v>
      </c>
      <c r="O38" s="2"/>
      <c r="P38" s="2"/>
      <c r="Q38" s="59" t="s">
        <v>72</v>
      </c>
      <c r="R38" s="220">
        <f>IF($B$81=0,0,(SUMIF($N$6:$N$28,$U8,K$6:K$28)*$B$83+SUMIF($N$37:$N$64,$U8,B$37:B$64))*Poor!$B$81/$B$81)</f>
        <v>1660</v>
      </c>
      <c r="S38" s="220">
        <f>IF($B$81=0,0,(SUMIF($N$6:$N$28,$U8,L$6:L$28)+SUMIF($N$91:$N$118,$U8,L$91:L$118))*$I$83*Poor!$B$81/$B$81)</f>
        <v>464.79999999999984</v>
      </c>
      <c r="T38" s="220">
        <f>IF($B$81=0,0,(SUMIF($N$6:$N$28,$U8,M$6:M$28)+SUMIF($N$91:$N$118,$U8,M$91:M$118))*$I$83*Poor!$B$81/$B$81)</f>
        <v>419.99999999999989</v>
      </c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294.99999999999983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294.99999999999983</v>
      </c>
      <c r="AJ38" s="148">
        <f t="shared" ref="AJ38:AJ64" si="62">(AA38+AC38)</f>
        <v>294.99999999999983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27">
        <v>5</v>
      </c>
      <c r="O39" s="2"/>
      <c r="P39" s="2"/>
      <c r="Q39" s="59" t="s">
        <v>73</v>
      </c>
      <c r="R39" s="220">
        <f>IF($B$81=0,0,(SUMIF($N$6:$N$28,$U9,K$6:K$28)*$B$83+SUMIF($N$37:$N$64,$U9,B$37:B$64))*Poor!$B$81/$B$81)</f>
        <v>570.43548525155074</v>
      </c>
      <c r="S39" s="220">
        <f>IF($B$81=0,0,(SUMIF($N$6:$N$28,$U9,L$6:L$28)+SUMIF($N$91:$N$118,$U9,L$91:L$118))*$I$83*Poor!$B$81/$B$81)</f>
        <v>188.24371013301172</v>
      </c>
      <c r="T39" s="220">
        <f>IF($B$81=0,0,(SUMIF($N$6:$N$28,$U9,M$6:M$28)+SUMIF($N$91:$N$118,$U9,M$91:M$118))*$I$83*Poor!$B$81/$B$81)</f>
        <v>188.24371013301172</v>
      </c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27">
        <v>5</v>
      </c>
      <c r="O40" s="2"/>
      <c r="P40" s="2"/>
      <c r="Q40" s="59" t="s">
        <v>74</v>
      </c>
      <c r="R40" s="220">
        <f>IF($B$81=0,0,(SUMIF($N$6:$N$28,$U10,K$6:K$28)*$B$83+SUMIF($N$37:$N$64,$U10,B$37:B$64))*Poor!$B$81/$B$81)</f>
        <v>0</v>
      </c>
      <c r="S40" s="220">
        <f>IF($B$81=0,0,(SUMIF($N$6:$N$28,$U10,L$6:L$28)+SUMIF($N$91:$N$118,$U10,L$91:L$118))*$I$83*Poor!$B$81/$B$81)</f>
        <v>0</v>
      </c>
      <c r="T40" s="220">
        <f>IF($B$81=0,0,(SUMIF($N$6:$N$28,$U10,M$6:M$28)+SUMIF($N$91:$N$118,$U10,M$91:M$118))*$I$83*Poor!$B$81/$B$81)</f>
        <v>0</v>
      </c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27">
        <v>2</v>
      </c>
      <c r="O41" s="2"/>
      <c r="P41" s="2"/>
      <c r="Q41" s="59" t="s">
        <v>75</v>
      </c>
      <c r="R41" s="220">
        <f>IF($B$81=0,0,(SUMIF($N$6:$N$28,$U11,K$6:K$28)*$B$83+SUMIF($N$37:$N$64,$U11,B$37:B$64))*Poor!$B$81/$B$81)</f>
        <v>9750</v>
      </c>
      <c r="S41" s="220">
        <f>IF($B$81=0,0,(SUMIF($N$6:$N$28,$U11,L$6:L$28)+SUMIF($N$91:$N$118,$U11,L$91:L$118))*$I$83*Poor!$B$81/$B$81)</f>
        <v>5752.5</v>
      </c>
      <c r="T41" s="220">
        <f>IF($B$81=0,0,(SUMIF($N$6:$N$28,$U11,M$6:M$28)+SUMIF($N$91:$N$118,$U11,M$91:M$118))*$I$83*Poor!$B$81/$B$81)</f>
        <v>4277.5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27">
        <v>2</v>
      </c>
      <c r="O42" s="2"/>
      <c r="P42" s="56"/>
      <c r="Q42" s="126" t="s">
        <v>124</v>
      </c>
      <c r="R42" s="220">
        <f>IF($B$81=0,0,(SUMIF($N$6:$N$28,$U12,K$6:K$28)*$B$83+SUMIF($N$37:$N$64,$U12,B$37:B$64))*Poor!$B$81/$B$81)</f>
        <v>0</v>
      </c>
      <c r="S42" s="220">
        <f>IF($B$81=0,0,(SUMIF($N$6:$N$28,$U12,L$6:L$28)+SUMIF($N$91:$N$118,$U12,L$91:L$118))*$I$83*Poor!$B$81/$B$81)</f>
        <v>0</v>
      </c>
      <c r="T42" s="220">
        <f>IF($B$81=0,0,(SUMIF($N$6:$N$28,$U12,M$6:M$28)+SUMIF($N$91:$N$118,$U12,M$91:M$118))*$I$83*Poor!$B$81/$B$81)</f>
        <v>0</v>
      </c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0</v>
      </c>
      <c r="N43" s="227">
        <v>2</v>
      </c>
      <c r="O43" s="2"/>
      <c r="P43" s="59"/>
      <c r="Q43" s="59" t="s">
        <v>76</v>
      </c>
      <c r="R43" s="220">
        <f>IF($B$81=0,0,(SUMIF($N$6:$N$28,$U13,K$6:K$28)*$B$83+SUMIF($N$37:$N$64,$U13,B$37:B$64))*Poor!$B$81/$B$81)</f>
        <v>4960</v>
      </c>
      <c r="S43" s="220">
        <f>IF($B$81=0,0,(SUMIF($N$6:$N$28,$U13,L$6:L$28)+SUMIF($N$91:$N$118,$U13,L$91:L$118))*$I$83*Poor!$B$81/$B$81)</f>
        <v>2752.8000000000006</v>
      </c>
      <c r="T43" s="220">
        <f>IF($B$81=0,0,(SUMIF($N$6:$N$28,$U13,M$6:M$28)+SUMIF($N$91:$N$118,$U13,M$91:M$118))*$I$83*Poor!$B$81/$B$81)</f>
        <v>2752.8000000000006</v>
      </c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27">
        <v>7</v>
      </c>
      <c r="O44" s="2"/>
      <c r="P44" s="2"/>
      <c r="Q44" s="126" t="s">
        <v>77</v>
      </c>
      <c r="R44" s="220">
        <f>IF($B$81=0,0,(SUMIF($N$6:$N$28,$U14,K$6:K$28)*$B$83+SUMIF($N$37:$N$64,$U14,B$37:B$64))*Poor!$B$81/$B$81)</f>
        <v>0</v>
      </c>
      <c r="S44" s="220">
        <f>IF($B$81=0,0,(SUMIF($N$6:$N$28,$U14,L$6:L$28)+SUMIF($N$91:$N$118,$U14,L$91:L$118))*$I$83*Poor!$B$81/$B$81)</f>
        <v>0</v>
      </c>
      <c r="T44" s="220">
        <f>IF($B$81=0,0,(SUMIF($N$6:$N$28,$U14,M$6:M$28)+SUMIF($N$91:$N$118,$U14,M$91:M$118))*$I$83*Poor!$B$81/$B$81)</f>
        <v>0</v>
      </c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27">
        <v>7</v>
      </c>
      <c r="O45" s="2"/>
      <c r="P45" s="56"/>
      <c r="Q45" s="59" t="s">
        <v>127</v>
      </c>
      <c r="R45" s="220">
        <f>IF($B$81=0,0,(SUMIF($N$6:$N$28,$U15,K$6:K$28)*$B$83+SUMIF($N$37:$N$64,$U15,B$37:B$64))*Poor!$B$81/$B$81)</f>
        <v>14916</v>
      </c>
      <c r="S45" s="220">
        <f>IF($B$81=0,0,(SUMIF($N$6:$N$28,$U15,L$6:L$28)+SUMIF($N$91:$N$118,$U15,L$91:L$118))*$I$83*Poor!$B$81/$B$81)</f>
        <v>17600.879999999997</v>
      </c>
      <c r="T45" s="220">
        <f>IF($B$81=0,0,(SUMIF($N$6:$N$28,$U15,M$6:M$28)+SUMIF($N$91:$N$118,$U15,M$91:M$118))*$I$83*Poor!$B$81/$B$81)</f>
        <v>17600.879999999997</v>
      </c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27">
        <v>7</v>
      </c>
      <c r="O46" s="2"/>
      <c r="P46" s="2"/>
      <c r="Q46" s="126" t="s">
        <v>78</v>
      </c>
      <c r="R46" s="220">
        <f>IF($B$81=0,0,(SUMIF($N$6:$N$28,$U16,K$6:K$28)*$B$83+SUMIF($N$37:$N$64,$U16,B$37:B$64))*Poor!$B$81/$B$81)</f>
        <v>0</v>
      </c>
      <c r="S46" s="220">
        <f>IF($B$81=0,0,(SUMIF($N$6:$N$28,$U16,L$6:L$28)+SUMIF($N$91:$N$118,$U16,L$91:L$118))*$I$83*Poor!$B$81/$B$81)</f>
        <v>0</v>
      </c>
      <c r="T46" s="220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27">
        <v>8</v>
      </c>
      <c r="O47" s="2"/>
      <c r="P47" s="59"/>
      <c r="Q47" s="126" t="s">
        <v>125</v>
      </c>
      <c r="R47" s="220">
        <f>IF($B$81=0,0,(SUMIF($N$6:$N$28,$U17,K$6:K$28)*$B$83+SUMIF($N$37:$N$64,$U17,B$37:B$64))*Poor!$B$81/$B$81)</f>
        <v>0</v>
      </c>
      <c r="S47" s="220">
        <f>IF($B$81=0,0,(SUMIF($N$6:$N$28,$U17,L$6:L$28)+SUMIF($N$91:$N$118,$U17,L$91:L$118))*$I$83*Poor!$B$81/$B$81)</f>
        <v>0</v>
      </c>
      <c r="T47" s="220">
        <f>IF($B$81=0,0,(SUMIF($N$6:$N$28,$U17,M$6:M$28)+SUMIF($N$91:$N$118,$U17,M$91:M$118))*$I$83*Poor!$B$81/$B$81)</f>
        <v>0</v>
      </c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27">
        <v>11</v>
      </c>
      <c r="O48" s="2"/>
      <c r="P48" s="59"/>
      <c r="Q48" s="59" t="s">
        <v>79</v>
      </c>
      <c r="R48" s="220">
        <f>IF($B$81=0,0,(SUMIF($N$6:$N$28,$U18,K$6:K$28)*$B$83+SUMIF($N$37:$N$64,$U18,B$37:B$64))*Poor!$B$81/$B$81)</f>
        <v>1401.3106912413493</v>
      </c>
      <c r="S48" s="220">
        <f>IF($B$81=0,0,(SUMIF($N$6:$N$28,$U18,L$6:L$28)+SUMIF($N$91:$N$118,$U18,L$91:L$118))*$I$83*Poor!$B$81/$B$81)</f>
        <v>2312.1626405482261</v>
      </c>
      <c r="T48" s="220">
        <f>IF($B$81=0,0,(SUMIF($N$6:$N$28,$U18,M$6:M$28)+SUMIF($N$91:$N$118,$U18,M$91:M$118))*$I$83*Poor!$B$81/$B$81)</f>
        <v>2312.1626405482261</v>
      </c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0</v>
      </c>
      <c r="F49" s="26">
        <v>1.18</v>
      </c>
      <c r="G49" s="22">
        <f t="shared" si="59"/>
        <v>1.65</v>
      </c>
      <c r="H49" s="24">
        <f t="shared" si="51"/>
        <v>0</v>
      </c>
      <c r="I49" s="39">
        <f t="shared" si="52"/>
        <v>0</v>
      </c>
      <c r="J49" s="38">
        <f t="shared" si="53"/>
        <v>0</v>
      </c>
      <c r="K49" s="40">
        <f t="shared" si="54"/>
        <v>0.41308670693730537</v>
      </c>
      <c r="L49" s="22">
        <f t="shared" si="55"/>
        <v>0</v>
      </c>
      <c r="M49" s="24">
        <f t="shared" si="56"/>
        <v>0</v>
      </c>
      <c r="N49" s="227">
        <v>14</v>
      </c>
      <c r="O49" s="2"/>
      <c r="P49" s="56"/>
      <c r="Q49" s="59" t="s">
        <v>80</v>
      </c>
      <c r="R49" s="220">
        <f>IF($B$81=0,0,(SUMIF($N$6:$N$28,$U19,K$6:K$28)*$B$83+SUMIF($N$37:$N$64,$U19,B$37:B$64))*Poor!$B$81/$B$81)</f>
        <v>0</v>
      </c>
      <c r="S49" s="220">
        <f>IF($B$81=0,0,(SUMIF($N$6:$N$28,$U19,L$6:L$28)+SUMIF($N$91:$N$118,$U19,L$91:L$118))*$I$83*Poor!$B$81/$B$81)</f>
        <v>0</v>
      </c>
      <c r="T49" s="220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27">
        <v>9</v>
      </c>
      <c r="P50" s="64"/>
      <c r="Q50" s="59" t="s">
        <v>81</v>
      </c>
      <c r="R50" s="220">
        <f>IF($B$81=0,0,(SUMIF($N$6:$N$28,$U20,K$6:K$28)*$B$83+SUMIF($N$37:$N$64,$U20,B$37:B$64))*Poor!$B$81/$B$81)</f>
        <v>22020</v>
      </c>
      <c r="S50" s="220">
        <f>IF($B$81=0,0,(SUMIF($N$6:$N$28,$U20,L$6:L$28)+SUMIF($N$91:$N$118,$U20,L$91:L$118))*$I$83*Poor!$B$81/$B$81)</f>
        <v>0</v>
      </c>
      <c r="T50" s="220">
        <f>IF($B$81=0,0,(SUMIF($N$6:$N$28,$U20,M$6:M$28)+SUMIF($N$91:$N$118,$U20,M$91:M$118))*$I$83*Poor!$B$81/$B$81)</f>
        <v>0</v>
      </c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27">
        <v>15</v>
      </c>
      <c r="O51" s="2"/>
      <c r="P51" s="59"/>
      <c r="Q51" s="59" t="s">
        <v>82</v>
      </c>
      <c r="R51" s="220">
        <f>IF($B$81=0,0,(SUMIF($N$6:$N$28,$U21,K$6:K$28)*$B$83+SUMIF($N$37:$N$64,$U21,B$37:B$64))*Poor!$B$81/$B$81)</f>
        <v>0</v>
      </c>
      <c r="S51" s="220">
        <f>IF($B$81=0,0,(SUMIF($N$6:$N$28,$U21,L$6:L$28)+SUMIF($N$91:$N$118,$U21,L$91:L$118))*$I$83*Poor!$B$81/$B$81)</f>
        <v>0</v>
      </c>
      <c r="T51" s="220">
        <f>IF($B$81=0,0,(SUMIF($N$6:$N$28,$U21,M$6:M$28)+SUMIF($N$91:$N$118,$U21,M$91:M$118))*$I$83*Poor!$B$81/$B$81)</f>
        <v>0</v>
      </c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27">
        <v>15</v>
      </c>
      <c r="O52" s="2"/>
      <c r="P52" s="59"/>
      <c r="Q52" s="59" t="s">
        <v>83</v>
      </c>
      <c r="R52" s="220">
        <f>IF($B$81=0,0,(SUMIF($N$6:$N$28,$U22,K$6:K$28)*$B$83+SUMIF($N$37:$N$64,$U22,B$37:B$64))*Poor!$B$81/$B$81)</f>
        <v>0</v>
      </c>
      <c r="S52" s="220">
        <f>IF($B$81=0,0,(SUMIF($N$6:$N$28,$U22,L$6:L$28)+SUMIF($N$91:$N$118,$U22,L$91:L$118))*$I$83*Poor!$B$81/$B$81)</f>
        <v>0</v>
      </c>
      <c r="T52" s="220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171" t="s">
        <v>100</v>
      </c>
      <c r="R53" s="179">
        <f>SUM(R37:R52)</f>
        <v>57982.012912138351</v>
      </c>
      <c r="S53" s="179">
        <f>SUM(S37:S52)</f>
        <v>30338.28295712412</v>
      </c>
      <c r="T53" s="179">
        <f>SUM(T37:T52)</f>
        <v>28903.5465303577</v>
      </c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9" t="s">
        <v>137</v>
      </c>
      <c r="R54" s="41">
        <f>IF($B$81=0,0,(SUM(($B$70))+((1-$D$29)*$B$83))*Poor!$B$81/$B$81)</f>
        <v>24062.646384067204</v>
      </c>
      <c r="S54" s="41">
        <f>IF($B$81=0,0,(SUM(($B$70*$H$70))+((1-$D$29)*$I$83))*Poor!$B$81/$B$81)</f>
        <v>35969.406972062054</v>
      </c>
      <c r="T54" s="41">
        <f>IF($B$81=0,0,(SUM(($B$70*$H$70))+((1-$D$29)*$I$83))*Poor!$B$81/$B$81)</f>
        <v>35969.406972062054</v>
      </c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142" t="s">
        <v>138</v>
      </c>
      <c r="R55" s="41">
        <f>IF($B$81=0,0,(SUM(($B$70),($B$71*$H$71))+((1-$D$29)*$B$83))*Poor!$B$81/$B$81)</f>
        <v>42445.473050733875</v>
      </c>
      <c r="S55" s="41">
        <f>IF($B$81=0,0,(SUM(($B$70*$H$70),($B$71*$H$71))+((1-$D$29)*$I$83))*Poor!$B$81/$B$81)</f>
        <v>54352.233638728729</v>
      </c>
      <c r="T55" s="41">
        <f>IF($B$81=0,0,(SUM(($B$70*$H$70),($B$71*$H$71))+((1-$D$29)*$I$83))*Poor!$B$81/$B$81)</f>
        <v>54352.233638728729</v>
      </c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9" t="s">
        <v>139</v>
      </c>
      <c r="R56" s="41">
        <f>IF($B$81=0,0,(SUM(($B$70),($B$71*$H$71),($B$72*$H$72))+((1-$D$29)*$B$83))*Poor!$B$81/$B$81)</f>
        <v>75183.393050733881</v>
      </c>
      <c r="S56" s="41">
        <f>IF($B$81=0,0,(SUM(($B$70*$H$70),($B$71*$H$71),($B$72*$H$72))+((1-$D$29)*$I$83))*Poor!$B$81/$B$81)</f>
        <v>87090.15363872872</v>
      </c>
      <c r="T56" s="41">
        <f>IF($B$81=0,0,(SUM(($B$70*$H$70),($B$71*$H$71),($B$72*$H$72))+((1-$D$29)*$I$83))*Poor!$B$81/$B$81)</f>
        <v>87090.15363872872</v>
      </c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25051.179999999997</v>
      </c>
      <c r="J65" s="39">
        <f>SUM(J37:J64)</f>
        <v>25051.179999999997</v>
      </c>
      <c r="K65" s="40">
        <f>SUM(K37:K64)</f>
        <v>1</v>
      </c>
      <c r="L65" s="22">
        <f>SUM(L37:L64)</f>
        <v>0.49846133643492285</v>
      </c>
      <c r="M65" s="24">
        <f>SUM(M37:M64)</f>
        <v>0.4699504746182418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5070.7</v>
      </c>
      <c r="AB65" s="137"/>
      <c r="AC65" s="153">
        <f>SUM(AC37:AC64)</f>
        <v>688.2</v>
      </c>
      <c r="AD65" s="137"/>
      <c r="AE65" s="153">
        <f>SUM(AE37:AE64)</f>
        <v>898.2</v>
      </c>
      <c r="AF65" s="137"/>
      <c r="AG65" s="153">
        <f>SUM(AG37:AG64)</f>
        <v>793.2</v>
      </c>
      <c r="AH65" s="137"/>
      <c r="AI65" s="153">
        <f>SUM(AI37:AI64)</f>
        <v>7450.3</v>
      </c>
      <c r="AJ65" s="153">
        <f>SUM(AJ37:AJ64)</f>
        <v>5758.9</v>
      </c>
      <c r="AK65" s="153">
        <f>SUM(AK37:AK64)</f>
        <v>1691.4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4141.0064547665579</v>
      </c>
      <c r="J71" s="51">
        <f t="shared" si="75"/>
        <v>4141.0064547665579</v>
      </c>
      <c r="K71" s="40">
        <f t="shared" ref="K71:K72" si="78">B71/B$76</f>
        <v>0.29224977801123075</v>
      </c>
      <c r="L71" s="22">
        <f t="shared" si="76"/>
        <v>0.1061945457315604</v>
      </c>
      <c r="M71" s="24">
        <f t="shared" ref="M71:M72" si="79">J71/B$76</f>
        <v>7.7683683914879342E-2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0.52046673920384201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4141.0064547665579</v>
      </c>
      <c r="J74" s="51">
        <f t="shared" si="75"/>
        <v>4141.0064547665579</v>
      </c>
      <c r="K74" s="40">
        <f>B74/B$76</f>
        <v>0.1301917232581698</v>
      </c>
      <c r="L74" s="22">
        <f t="shared" si="76"/>
        <v>1.9207376609811505E-2</v>
      </c>
      <c r="M74" s="24">
        <f>J74/B$76</f>
        <v>7.7683683914879342E-2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-156.8433863083601</v>
      </c>
      <c r="AB74" s="156"/>
      <c r="AC74" s="147">
        <f>AC30*$I$83/4</f>
        <v>-4539.3433863083601</v>
      </c>
      <c r="AD74" s="156"/>
      <c r="AE74" s="147">
        <f>AE30*$I$83/4</f>
        <v>-4329.3433863083601</v>
      </c>
      <c r="AF74" s="156"/>
      <c r="AG74" s="147">
        <f>AG30*$I$83/4</f>
        <v>-4434.3433863083601</v>
      </c>
      <c r="AH74" s="155"/>
      <c r="AI74" s="147">
        <f>SUM(AA74,AC74,AE74,AG74)</f>
        <v>-13459.87354523344</v>
      </c>
      <c r="AJ74" s="148">
        <f>(AA74+AC74)</f>
        <v>-4696.1867726167202</v>
      </c>
      <c r="AK74" s="147">
        <f>(AE74+AG74)</f>
        <v>-8763.6867726167202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25051.18</v>
      </c>
      <c r="J76" s="51">
        <f t="shared" si="75"/>
        <v>25051.18</v>
      </c>
      <c r="K76" s="40">
        <f>SUM(K70:K75)</f>
        <v>1.310443569453007</v>
      </c>
      <c r="L76" s="22">
        <f>SUM(L70:L75)</f>
        <v>0.51766871304473439</v>
      </c>
      <c r="M76" s="24">
        <f>SUM(M70:M75)</f>
        <v>0.54763415853312114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5070.7</v>
      </c>
      <c r="AB76" s="137"/>
      <c r="AC76" s="153">
        <f>AC65</f>
        <v>688.2</v>
      </c>
      <c r="AD76" s="137"/>
      <c r="AE76" s="153">
        <f>AE65</f>
        <v>898.2</v>
      </c>
      <c r="AF76" s="137"/>
      <c r="AG76" s="153">
        <f>AG65</f>
        <v>793.2</v>
      </c>
      <c r="AH76" s="137"/>
      <c r="AI76" s="153">
        <f>SUM(AA76,AC76,AE76,AG76)</f>
        <v>7450.2999999999993</v>
      </c>
      <c r="AJ76" s="154">
        <f>SUM(AA76,AC76)</f>
        <v>5758.9</v>
      </c>
      <c r="AK76" s="154">
        <f>SUM(AE76,AG76)</f>
        <v>1691.4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18382.826666666671</v>
      </c>
      <c r="J77" s="100">
        <f t="shared" si="75"/>
        <v>18382.826666666671</v>
      </c>
      <c r="K77" s="40"/>
      <c r="L77" s="22">
        <f>-(L131*G$37*F$9/F$7)/B$130</f>
        <v>-0.3448547380532524</v>
      </c>
      <c r="M77" s="24">
        <f>-J77/B$76</f>
        <v>-0.3448547380532524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1976.1545905060577</v>
      </c>
      <c r="AB77" s="112"/>
      <c r="AC77" s="111">
        <f>AC31*$I$83/4</f>
        <v>7710.6147701825212</v>
      </c>
      <c r="AD77" s="112"/>
      <c r="AE77" s="111">
        <f>AE31*$I$83/4</f>
        <v>7486.0300052922285</v>
      </c>
      <c r="AF77" s="112"/>
      <c r="AG77" s="111">
        <f>AG31*$I$83/4</f>
        <v>7493.9410757235455</v>
      </c>
      <c r="AH77" s="110"/>
      <c r="AI77" s="154">
        <f>SUM(AA77,AC77,AE77,AG77)</f>
        <v>24666.740441704351</v>
      </c>
      <c r="AJ77" s="153">
        <f>SUM(AA77,AC77)</f>
        <v>9686.7693606885787</v>
      </c>
      <c r="AK77" s="160">
        <f>SUM(AE77,AG77)</f>
        <v>14979.971081015774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-156.8433863083601</v>
      </c>
      <c r="AB79" s="112"/>
      <c r="AC79" s="112">
        <f>AA79-AA74+AC65-AC70</f>
        <v>-4539.3433863083601</v>
      </c>
      <c r="AD79" s="112"/>
      <c r="AE79" s="112">
        <f>AC79-AC74+AE65-AE70</f>
        <v>-4329.3433863083601</v>
      </c>
      <c r="AF79" s="112"/>
      <c r="AG79" s="112">
        <f>AE79-AE74+AG65-AG70</f>
        <v>-4434.3433863083601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24062.646384067204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5">
        <f t="shared" si="80"/>
        <v>0.20504921865908596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1.5188831011784138E-2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5">
        <f t="shared" ref="M92:M118" si="92">(J92)</f>
        <v>1.5188831011784138E-2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5">
        <f t="shared" si="92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5">
        <f t="shared" si="92"/>
        <v>0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5">
        <f t="shared" si="92"/>
        <v>0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5">
        <f t="shared" si="92"/>
        <v>2.1624776355760471E-2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1.3592716566478013E-2</v>
      </c>
      <c r="L97" s="22">
        <f t="shared" si="91"/>
        <v>2.3066428112811172E-3</v>
      </c>
      <c r="M97" s="225">
        <f t="shared" si="9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5">
        <f t="shared" si="92"/>
        <v>7.8868648623223583E-2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5">
        <f t="shared" si="92"/>
        <v>0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5">
        <f t="shared" si="92"/>
        <v>6.2866314119960826E-2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5">
        <f t="shared" si="92"/>
        <v>0</v>
      </c>
      <c r="N101" s="227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5">
        <f t="shared" si="92"/>
        <v>0</v>
      </c>
      <c r="N102" s="227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</v>
      </c>
      <c r="I103" s="22">
        <f t="shared" si="88"/>
        <v>0</v>
      </c>
      <c r="J103" s="24">
        <f t="shared" si="89"/>
        <v>0</v>
      </c>
      <c r="K103" s="22">
        <f t="shared" si="90"/>
        <v>1.8706976174615366</v>
      </c>
      <c r="L103" s="22">
        <f t="shared" si="91"/>
        <v>0</v>
      </c>
      <c r="M103" s="225">
        <f t="shared" si="92"/>
        <v>0</v>
      </c>
      <c r="N103" s="227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5">
        <f t="shared" si="92"/>
        <v>0.90622641348708921</v>
      </c>
      <c r="N104" s="227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5">
        <f t="shared" si="92"/>
        <v>0</v>
      </c>
      <c r="N105" s="227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5">
        <f t="shared" si="92"/>
        <v>0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5">
        <f t="shared" si="9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5">
        <f t="shared" si="9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5">
        <f t="shared" si="9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5">
        <f t="shared" si="9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5">
        <f t="shared" si="9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5">
        <f t="shared" si="9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5">
        <f t="shared" si="9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5">
        <f t="shared" si="9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5">
        <f t="shared" si="9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5">
        <f t="shared" si="9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5">
        <f t="shared" si="9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5">
        <f t="shared" si="9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1.2898242022569042</v>
      </c>
      <c r="J119" s="24">
        <f>SUM(J91:J118)</f>
        <v>1.2898242022569042</v>
      </c>
      <c r="K119" s="22">
        <f>SUM(K91:K118)</f>
        <v>4.5285834330792314</v>
      </c>
      <c r="L119" s="22">
        <f>SUM(L91:L118)</f>
        <v>1.368075000127106</v>
      </c>
      <c r="M119" s="57">
        <f t="shared" si="80"/>
        <v>1.2898242022569042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5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8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0.21321032969544618</v>
      </c>
      <c r="J125" s="235">
        <f>IF(SUMPRODUCT($B$124:$B125,$H$124:$H125)&lt;J$119,($B125*$H125),IF(SUMPRODUCT($B$124:$B124,$H$124:$H124)&lt;J$119,J$119-SUMPRODUCT($B$124:$B124,$H$124:$H124),0))</f>
        <v>0.21321032969544618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0.29146112756564801</v>
      </c>
      <c r="M125" s="238">
        <f t="shared" si="93"/>
        <v>0.21321032969544618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0.21321032969544618</v>
      </c>
      <c r="J128" s="226">
        <f>(J30)</f>
        <v>0.21321032969544618</v>
      </c>
      <c r="K128" s="29">
        <f>(B128)</f>
        <v>0.58958408107098381</v>
      </c>
      <c r="L128" s="29">
        <f>IF(L124=L119,0,(L119-L124)/(B119-B124)*K128)</f>
        <v>5.2716489398852068E-2</v>
      </c>
      <c r="M128" s="238">
        <f t="shared" si="93"/>
        <v>0.21321032969544618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1.2898242022569042</v>
      </c>
      <c r="J130" s="226">
        <f>(J119)</f>
        <v>1.2898242022569042</v>
      </c>
      <c r="K130" s="29">
        <f>(B130)</f>
        <v>4.5285834330792314</v>
      </c>
      <c r="L130" s="29">
        <f>(L119)</f>
        <v>1.368075000127106</v>
      </c>
      <c r="M130" s="238">
        <f t="shared" si="93"/>
        <v>1.2898242022569042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0.94648694155565871</v>
      </c>
      <c r="J131" s="235">
        <f>IF(SUMPRODUCT($B124:$B125,$H124:$H125)&gt;(J119-J128),SUMPRODUCT($B124:$B125,$H124:$H125)+J128-J119,0)</f>
        <v>0.94648694155565871</v>
      </c>
      <c r="K131" s="29"/>
      <c r="L131" s="29">
        <f>IF(I131&lt;SUM(L126:L127),0,I131-(SUM(L126:L127)))</f>
        <v>0.94648694155565871</v>
      </c>
      <c r="M131" s="235">
        <f>IF(I131&lt;SUM(M126:M127),0,I131-(SUM(M126:M127)))</f>
        <v>0.94648694155565871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56" priority="148" operator="equal">
      <formula>16</formula>
    </cfRule>
    <cfRule type="cellIs" dxfId="455" priority="149" operator="equal">
      <formula>15</formula>
    </cfRule>
    <cfRule type="cellIs" dxfId="454" priority="150" operator="equal">
      <formula>14</formula>
    </cfRule>
    <cfRule type="cellIs" dxfId="453" priority="151" operator="equal">
      <formula>13</formula>
    </cfRule>
    <cfRule type="cellIs" dxfId="452" priority="152" operator="equal">
      <formula>12</formula>
    </cfRule>
    <cfRule type="cellIs" dxfId="451" priority="153" operator="equal">
      <formula>11</formula>
    </cfRule>
    <cfRule type="cellIs" dxfId="450" priority="154" operator="equal">
      <formula>10</formula>
    </cfRule>
    <cfRule type="cellIs" dxfId="449" priority="155" operator="equal">
      <formula>9</formula>
    </cfRule>
    <cfRule type="cellIs" dxfId="448" priority="156" operator="equal">
      <formula>8</formula>
    </cfRule>
    <cfRule type="cellIs" dxfId="447" priority="157" operator="equal">
      <formula>7</formula>
    </cfRule>
    <cfRule type="cellIs" dxfId="446" priority="158" operator="equal">
      <formula>6</formula>
    </cfRule>
    <cfRule type="cellIs" dxfId="445" priority="159" operator="equal">
      <formula>5</formula>
    </cfRule>
    <cfRule type="cellIs" dxfId="444" priority="160" operator="equal">
      <formula>4</formula>
    </cfRule>
    <cfRule type="cellIs" dxfId="443" priority="161" operator="equal">
      <formula>3</formula>
    </cfRule>
    <cfRule type="cellIs" dxfId="442" priority="162" operator="equal">
      <formula>2</formula>
    </cfRule>
    <cfRule type="cellIs" dxfId="441" priority="163" operator="equal">
      <formula>1</formula>
    </cfRule>
  </conditionalFormatting>
  <conditionalFormatting sqref="N112:N118">
    <cfRule type="cellIs" dxfId="440" priority="84" operator="equal">
      <formula>16</formula>
    </cfRule>
    <cfRule type="cellIs" dxfId="439" priority="85" operator="equal">
      <formula>15</formula>
    </cfRule>
    <cfRule type="cellIs" dxfId="438" priority="86" operator="equal">
      <formula>14</formula>
    </cfRule>
    <cfRule type="cellIs" dxfId="437" priority="87" operator="equal">
      <formula>13</formula>
    </cfRule>
    <cfRule type="cellIs" dxfId="436" priority="88" operator="equal">
      <formula>12</formula>
    </cfRule>
    <cfRule type="cellIs" dxfId="435" priority="89" operator="equal">
      <formula>11</formula>
    </cfRule>
    <cfRule type="cellIs" dxfId="434" priority="90" operator="equal">
      <formula>10</formula>
    </cfRule>
    <cfRule type="cellIs" dxfId="433" priority="91" operator="equal">
      <formula>9</formula>
    </cfRule>
    <cfRule type="cellIs" dxfId="432" priority="92" operator="equal">
      <formula>8</formula>
    </cfRule>
    <cfRule type="cellIs" dxfId="431" priority="93" operator="equal">
      <formula>7</formula>
    </cfRule>
    <cfRule type="cellIs" dxfId="430" priority="94" operator="equal">
      <formula>6</formula>
    </cfRule>
    <cfRule type="cellIs" dxfId="429" priority="95" operator="equal">
      <formula>5</formula>
    </cfRule>
    <cfRule type="cellIs" dxfId="428" priority="96" operator="equal">
      <formula>4</formula>
    </cfRule>
    <cfRule type="cellIs" dxfId="427" priority="97" operator="equal">
      <formula>3</formula>
    </cfRule>
    <cfRule type="cellIs" dxfId="426" priority="98" operator="equal">
      <formula>2</formula>
    </cfRule>
    <cfRule type="cellIs" dxfId="425" priority="99" operator="equal">
      <formula>1</formula>
    </cfRule>
  </conditionalFormatting>
  <conditionalFormatting sqref="N91:N104">
    <cfRule type="cellIs" dxfId="424" priority="68" operator="equal">
      <formula>16</formula>
    </cfRule>
    <cfRule type="cellIs" dxfId="423" priority="69" operator="equal">
      <formula>15</formula>
    </cfRule>
    <cfRule type="cellIs" dxfId="422" priority="70" operator="equal">
      <formula>14</formula>
    </cfRule>
    <cfRule type="cellIs" dxfId="421" priority="71" operator="equal">
      <formula>13</formula>
    </cfRule>
    <cfRule type="cellIs" dxfId="420" priority="72" operator="equal">
      <formula>12</formula>
    </cfRule>
    <cfRule type="cellIs" dxfId="419" priority="73" operator="equal">
      <formula>11</formula>
    </cfRule>
    <cfRule type="cellIs" dxfId="418" priority="74" operator="equal">
      <formula>10</formula>
    </cfRule>
    <cfRule type="cellIs" dxfId="417" priority="75" operator="equal">
      <formula>9</formula>
    </cfRule>
    <cfRule type="cellIs" dxfId="416" priority="76" operator="equal">
      <formula>8</formula>
    </cfRule>
    <cfRule type="cellIs" dxfId="415" priority="77" operator="equal">
      <formula>7</formula>
    </cfRule>
    <cfRule type="cellIs" dxfId="414" priority="78" operator="equal">
      <formula>6</formula>
    </cfRule>
    <cfRule type="cellIs" dxfId="413" priority="79" operator="equal">
      <formula>5</formula>
    </cfRule>
    <cfRule type="cellIs" dxfId="412" priority="80" operator="equal">
      <formula>4</formula>
    </cfRule>
    <cfRule type="cellIs" dxfId="411" priority="81" operator="equal">
      <formula>3</formula>
    </cfRule>
    <cfRule type="cellIs" dxfId="410" priority="82" operator="equal">
      <formula>2</formula>
    </cfRule>
    <cfRule type="cellIs" dxfId="409" priority="83" operator="equal">
      <formula>1</formula>
    </cfRule>
  </conditionalFormatting>
  <conditionalFormatting sqref="N105:N111">
    <cfRule type="cellIs" dxfId="408" priority="52" operator="equal">
      <formula>16</formula>
    </cfRule>
    <cfRule type="cellIs" dxfId="407" priority="53" operator="equal">
      <formula>15</formula>
    </cfRule>
    <cfRule type="cellIs" dxfId="406" priority="54" operator="equal">
      <formula>14</formula>
    </cfRule>
    <cfRule type="cellIs" dxfId="405" priority="55" operator="equal">
      <formula>13</formula>
    </cfRule>
    <cfRule type="cellIs" dxfId="404" priority="56" operator="equal">
      <formula>12</formula>
    </cfRule>
    <cfRule type="cellIs" dxfId="403" priority="57" operator="equal">
      <formula>11</formula>
    </cfRule>
    <cfRule type="cellIs" dxfId="402" priority="58" operator="equal">
      <formula>10</formula>
    </cfRule>
    <cfRule type="cellIs" dxfId="401" priority="59" operator="equal">
      <formula>9</formula>
    </cfRule>
    <cfRule type="cellIs" dxfId="400" priority="60" operator="equal">
      <formula>8</formula>
    </cfRule>
    <cfRule type="cellIs" dxfId="399" priority="61" operator="equal">
      <formula>7</formula>
    </cfRule>
    <cfRule type="cellIs" dxfId="398" priority="62" operator="equal">
      <formula>6</formula>
    </cfRule>
    <cfRule type="cellIs" dxfId="397" priority="63" operator="equal">
      <formula>5</formula>
    </cfRule>
    <cfRule type="cellIs" dxfId="396" priority="64" operator="equal">
      <formula>4</formula>
    </cfRule>
    <cfRule type="cellIs" dxfId="395" priority="65" operator="equal">
      <formula>3</formula>
    </cfRule>
    <cfRule type="cellIs" dxfId="394" priority="66" operator="equal">
      <formula>2</formula>
    </cfRule>
    <cfRule type="cellIs" dxfId="393" priority="67" operator="equal">
      <formula>1</formula>
    </cfRule>
  </conditionalFormatting>
  <conditionalFormatting sqref="N6:N26">
    <cfRule type="cellIs" dxfId="392" priority="36" operator="equal">
      <formula>16</formula>
    </cfRule>
    <cfRule type="cellIs" dxfId="391" priority="37" operator="equal">
      <formula>15</formula>
    </cfRule>
    <cfRule type="cellIs" dxfId="390" priority="38" operator="equal">
      <formula>14</formula>
    </cfRule>
    <cfRule type="cellIs" dxfId="389" priority="39" operator="equal">
      <formula>13</formula>
    </cfRule>
    <cfRule type="cellIs" dxfId="388" priority="40" operator="equal">
      <formula>12</formula>
    </cfRule>
    <cfRule type="cellIs" dxfId="387" priority="41" operator="equal">
      <formula>11</formula>
    </cfRule>
    <cfRule type="cellIs" dxfId="386" priority="42" operator="equal">
      <formula>10</formula>
    </cfRule>
    <cfRule type="cellIs" dxfId="385" priority="43" operator="equal">
      <formula>9</formula>
    </cfRule>
    <cfRule type="cellIs" dxfId="384" priority="44" operator="equal">
      <formula>8</formula>
    </cfRule>
    <cfRule type="cellIs" dxfId="383" priority="45" operator="equal">
      <formula>7</formula>
    </cfRule>
    <cfRule type="cellIs" dxfId="382" priority="46" operator="equal">
      <formula>6</formula>
    </cfRule>
    <cfRule type="cellIs" dxfId="381" priority="47" operator="equal">
      <formula>5</formula>
    </cfRule>
    <cfRule type="cellIs" dxfId="380" priority="48" operator="equal">
      <formula>4</formula>
    </cfRule>
    <cfRule type="cellIs" dxfId="379" priority="49" operator="equal">
      <formula>3</formula>
    </cfRule>
    <cfRule type="cellIs" dxfId="378" priority="50" operator="equal">
      <formula>2</formula>
    </cfRule>
    <cfRule type="cellIs" dxfId="377" priority="51" operator="equal">
      <formula>1</formula>
    </cfRule>
  </conditionalFormatting>
  <conditionalFormatting sqref="R31:T31">
    <cfRule type="cellIs" dxfId="376" priority="35" operator="greaterThan">
      <formula>0</formula>
    </cfRule>
  </conditionalFormatting>
  <conditionalFormatting sqref="R32:T32">
    <cfRule type="cellIs" dxfId="375" priority="34" operator="greaterThan">
      <formula>0</formula>
    </cfRule>
  </conditionalFormatting>
  <conditionalFormatting sqref="R30:T30">
    <cfRule type="cellIs" dxfId="374" priority="33" operator="greaterThan">
      <formula>0</formula>
    </cfRule>
  </conditionalFormatting>
  <conditionalFormatting sqref="N37:N50">
    <cfRule type="cellIs" dxfId="95" priority="17" operator="equal">
      <formula>16</formula>
    </cfRule>
    <cfRule type="cellIs" dxfId="94" priority="18" operator="equal">
      <formula>15</formula>
    </cfRule>
    <cfRule type="cellIs" dxfId="93" priority="19" operator="equal">
      <formula>14</formula>
    </cfRule>
    <cfRule type="cellIs" dxfId="92" priority="20" operator="equal">
      <formula>13</formula>
    </cfRule>
    <cfRule type="cellIs" dxfId="91" priority="21" operator="equal">
      <formula>12</formula>
    </cfRule>
    <cfRule type="cellIs" dxfId="90" priority="22" operator="equal">
      <formula>11</formula>
    </cfRule>
    <cfRule type="cellIs" dxfId="89" priority="23" operator="equal">
      <formula>10</formula>
    </cfRule>
    <cfRule type="cellIs" dxfId="88" priority="24" operator="equal">
      <formula>9</formula>
    </cfRule>
    <cfRule type="cellIs" dxfId="87" priority="25" operator="equal">
      <formula>8</formula>
    </cfRule>
    <cfRule type="cellIs" dxfId="86" priority="26" operator="equal">
      <formula>7</formula>
    </cfRule>
    <cfRule type="cellIs" dxfId="85" priority="27" operator="equal">
      <formula>6</formula>
    </cfRule>
    <cfRule type="cellIs" dxfId="84" priority="28" operator="equal">
      <formula>5</formula>
    </cfRule>
    <cfRule type="cellIs" dxfId="83" priority="29" operator="equal">
      <formula>4</formula>
    </cfRule>
    <cfRule type="cellIs" dxfId="82" priority="30" operator="equal">
      <formula>3</formula>
    </cfRule>
    <cfRule type="cellIs" dxfId="81" priority="31" operator="equal">
      <formula>2</formula>
    </cfRule>
    <cfRule type="cellIs" dxfId="80" priority="32" operator="equal">
      <formula>1</formula>
    </cfRule>
  </conditionalFormatting>
  <conditionalFormatting sqref="N51:N52">
    <cfRule type="cellIs" dxfId="79" priority="1" operator="equal">
      <formula>16</formula>
    </cfRule>
    <cfRule type="cellIs" dxfId="78" priority="2" operator="equal">
      <formula>15</formula>
    </cfRule>
    <cfRule type="cellIs" dxfId="77" priority="3" operator="equal">
      <formula>14</formula>
    </cfRule>
    <cfRule type="cellIs" dxfId="76" priority="4" operator="equal">
      <formula>13</formula>
    </cfRule>
    <cfRule type="cellIs" dxfId="75" priority="5" operator="equal">
      <formula>12</formula>
    </cfRule>
    <cfRule type="cellIs" dxfId="74" priority="6" operator="equal">
      <formula>11</formula>
    </cfRule>
    <cfRule type="cellIs" dxfId="73" priority="7" operator="equal">
      <formula>10</formula>
    </cfRule>
    <cfRule type="cellIs" dxfId="72" priority="8" operator="equal">
      <formula>9</formula>
    </cfRule>
    <cfRule type="cellIs" dxfId="71" priority="9" operator="equal">
      <formula>8</formula>
    </cfRule>
    <cfRule type="cellIs" dxfId="70" priority="10" operator="equal">
      <formula>7</formula>
    </cfRule>
    <cfRule type="cellIs" dxfId="69" priority="11" operator="equal">
      <formula>6</formula>
    </cfRule>
    <cfRule type="cellIs" dxfId="68" priority="12" operator="equal">
      <formula>5</formula>
    </cfRule>
    <cfRule type="cellIs" dxfId="67" priority="13" operator="equal">
      <formula>4</formula>
    </cfRule>
    <cfRule type="cellIs" dxfId="66" priority="14" operator="equal">
      <formula>3</formula>
    </cfRule>
    <cfRule type="cellIs" dxfId="65" priority="15" operator="equal">
      <formula>2</formula>
    </cfRule>
    <cfRule type="cellIs" dxfId="6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M25" activePane="bottomRight" state="frozen"/>
      <selection pane="topRight" activeCell="B1" sqref="B1"/>
      <selection pane="bottomLeft" activeCell="A3" sqref="A3"/>
      <selection pane="bottomRight" activeCell="R37" sqref="R37:T5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2">
        <f t="shared" ref="M6:M31" si="6">J6</f>
        <v>1.6091442803771571E-2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2">
        <f t="shared" si="6"/>
        <v>1.2051667674790961E-2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3726.3812702696764</v>
      </c>
      <c r="S7" s="220">
        <f>IF($B$81=0,0,(SUMIF($N$6:$N$28,$U7,L$6:L$28)+SUMIF($N$91:$N$118,$U7,L$91:L$118))*$I$83*Poor!$B$81/$B$81)</f>
        <v>953.92721411942591</v>
      </c>
      <c r="T7" s="220">
        <f>IF($B$81=0,0,(SUMIF($N$6:$N$28,$U7,M$6:M$28)+SUMIF($N$91:$N$118,$U7,M$91:M$118))*$I$83*Poor!$B$81/$B$81)</f>
        <v>6814.0638253633415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0.25085930491391095</v>
      </c>
      <c r="K8" s="22">
        <f t="shared" si="4"/>
        <v>6.759510763209392E-2</v>
      </c>
      <c r="L8" s="22">
        <f t="shared" si="5"/>
        <v>2.0278532289628174E-2</v>
      </c>
      <c r="M8" s="222">
        <f t="shared" si="6"/>
        <v>0.25085930491391095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37840.38673597858</v>
      </c>
      <c r="S8" s="220">
        <f>IF($B$81=0,0,(SUMIF($N$6:$N$28,$U8,L$6:L$28)+SUMIF($N$91:$N$118,$U8,L$91:L$118))*$I$83*Poor!$B$81/$B$81)</f>
        <v>7471.9999999999982</v>
      </c>
      <c r="T8" s="220">
        <f>IF($B$81=0,0,(SUMIF($N$6:$N$28,$U8,M$6:M$28)+SUMIF($N$91:$N$118,$U8,M$91:M$118))*$I$83*Poor!$B$81/$B$81)</f>
        <v>5252.4425796988826</v>
      </c>
      <c r="U8" s="221">
        <v>2</v>
      </c>
      <c r="V8" s="56"/>
      <c r="W8" s="115"/>
      <c r="X8" s="118">
        <f>Poor!X8</f>
        <v>1</v>
      </c>
      <c r="Y8" s="183">
        <f t="shared" si="9"/>
        <v>1.0034372196556438</v>
      </c>
      <c r="Z8" s="125">
        <f>IF($Y8=0,0,AA8/$Y8)</f>
        <v>0.46652611640413527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0.46812966914131071</v>
      </c>
      <c r="AB8" s="125">
        <f>IF($Y8=0,0,AC8/$Y8)</f>
        <v>0.46652611640413527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0.46812966914131071</v>
      </c>
      <c r="AD8" s="125">
        <f>IF($Y8=0,0,AE8/$Y8)</f>
        <v>6.6947767191729513E-2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6.7177881373022386E-2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0.25085930491391095</v>
      </c>
      <c r="AJ8" s="120">
        <f t="shared" si="14"/>
        <v>0.46812966914131071</v>
      </c>
      <c r="AK8" s="119">
        <f t="shared" si="15"/>
        <v>3.3588940686511193E-2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2">
        <f t="shared" si="6"/>
        <v>6.3126009606831526E-3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2475.9718923349787</v>
      </c>
      <c r="S9" s="220">
        <f>IF($B$81=0,0,(SUMIF($N$6:$N$28,$U9,L$6:L$28)+SUMIF($N$91:$N$118,$U9,L$91:L$118))*$I$83*Poor!$B$81/$B$81)</f>
        <v>546.60016855377023</v>
      </c>
      <c r="T9" s="220">
        <f>IF($B$81=0,0,(SUMIF($N$6:$N$28,$U9,M$6:M$28)+SUMIF($N$91:$N$118,$U9,M$91:M$118))*$I$83*Poor!$B$81/$B$81)</f>
        <v>546.60016855377023</v>
      </c>
      <c r="U9" s="221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0.46652611640413527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1.1779972842386098E-2</v>
      </c>
      <c r="AB9" s="125">
        <f>IF($Y9=0,0,AC9/$Y9)</f>
        <v>0.46652611640413527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1.1779972842386098E-2</v>
      </c>
      <c r="AD9" s="125">
        <f>IF($Y9=0,0,AE9/$Y9)</f>
        <v>6.6947767191729485E-2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1.6904581579604144E-3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1.1779972842386098E-2</v>
      </c>
      <c r="AK9" s="119">
        <f t="shared" si="15"/>
        <v>8.4522907898020722E-4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9.366763292864394E-2</v>
      </c>
      <c r="K10" s="22">
        <f t="shared" si="4"/>
        <v>0.11262127023661268</v>
      </c>
      <c r="L10" s="22">
        <f t="shared" si="5"/>
        <v>2.2524254047322539E-2</v>
      </c>
      <c r="M10" s="222">
        <f t="shared" si="6"/>
        <v>9.366763292864394E-2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0.37467053171457576</v>
      </c>
      <c r="Z10" s="125">
        <f>IF($Y10=0,0,AA10/$Y10)</f>
        <v>0.46652611640413533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0.17479358809187345</v>
      </c>
      <c r="AB10" s="125">
        <f>IF($Y10=0,0,AC10/$Y10)</f>
        <v>0.46652611640413533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0.17479358809187345</v>
      </c>
      <c r="AD10" s="125">
        <f>IF($Y10=0,0,AE10/$Y10)</f>
        <v>6.6947767191729318E-2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2.5083355530828855E-2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9.366763292864394E-2</v>
      </c>
      <c r="AJ10" s="120">
        <f t="shared" si="14"/>
        <v>0.17479358809187345</v>
      </c>
      <c r="AK10" s="119">
        <f t="shared" si="15"/>
        <v>1.2541677765414427E-2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42538.403147894649</v>
      </c>
      <c r="S11" s="220">
        <f>IF($B$81=0,0,(SUMIF($N$6:$N$28,$U11,L$6:L$28)+SUMIF($N$91:$N$118,$U11,L$91:L$118))*$I$83*Poor!$B$81/$B$81)</f>
        <v>17666.285714285714</v>
      </c>
      <c r="T11" s="220">
        <f>IF($B$81=0,0,(SUMIF($N$6:$N$28,$U11,M$6:M$28)+SUMIF($N$91:$N$118,$U11,M$91:M$118))*$I$83*Poor!$B$81/$B$81)</f>
        <v>20733.121494092873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32800.696403195871</v>
      </c>
      <c r="S13" s="220">
        <f>IF($B$81=0,0,(SUMIF($N$6:$N$28,$U13,L$6:L$28)+SUMIF($N$91:$N$118,$U13,L$91:L$118))*$I$83*Poor!$B$81/$B$81)</f>
        <v>10357.028571428571</v>
      </c>
      <c r="T13" s="220">
        <f>IF($B$81=0,0,(SUMIF($N$6:$N$28,$U13,M$6:M$28)+SUMIF($N$91:$N$118,$U13,M$91:M$118))*$I$83*Poor!$B$81/$B$81)</f>
        <v>10357.028571428571</v>
      </c>
      <c r="U13" s="221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2">
        <f t="shared" si="6"/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13017.776385018364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2094.7120172507834</v>
      </c>
      <c r="S18" s="220">
        <f>IF($B$81=0,0,(SUMIF($N$6:$N$28,$U18,L$6:L$28)+SUMIF($N$91:$N$118,$U18,L$91:L$118))*$I$83*Poor!$B$81/$B$81)</f>
        <v>2312.1626405482261</v>
      </c>
      <c r="T18" s="220">
        <f>IF($B$81=0,0,(SUMIF($N$6:$N$28,$U18,M$6:M$28)+SUMIF($N$91:$N$118,$U18,M$91:M$118))*$I$83*Poor!$B$81/$B$81)</f>
        <v>2312.1626405482261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3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3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20500.435251997424</v>
      </c>
      <c r="S21" s="220">
        <f>IF($B$81=0,0,(SUMIF($N$6:$N$28,$U21,L$6:L$28)+SUMIF($N$91:$N$118,$U21,L$91:L$118))*$I$83*Poor!$B$81/$B$81)</f>
        <v>15222.857142857143</v>
      </c>
      <c r="T21" s="220">
        <f>IF($B$81=0,0,(SUMIF($N$6:$N$28,$U21,M$6:M$28)+SUMIF($N$91:$N$118,$U21,M$91:M$118))*$I$83*Poor!$B$81/$B$81)</f>
        <v>15222.857142857143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154994.76310394032</v>
      </c>
      <c r="S23" s="179">
        <f>SUM(S7:S22)</f>
        <v>54530.861451792851</v>
      </c>
      <c r="T23" s="179">
        <f>SUM(T7:T22)</f>
        <v>61238.276422542811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-2.0766187234804011E-3</v>
      </c>
      <c r="K27" s="22">
        <f t="shared" si="4"/>
        <v>1.5150242305639565E-2</v>
      </c>
      <c r="L27" s="22">
        <f t="shared" si="5"/>
        <v>1.5150242305639565E-2</v>
      </c>
      <c r="M27" s="224">
        <f t="shared" si="6"/>
        <v>-2.0766187234804011E-3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-8.3064748939216046E-3</v>
      </c>
      <c r="Z27" s="156">
        <f>Poor!Z27</f>
        <v>0.25</v>
      </c>
      <c r="AA27" s="121">
        <f t="shared" si="16"/>
        <v>-2.0766187234804011E-3</v>
      </c>
      <c r="AB27" s="156">
        <f>Poor!AB27</f>
        <v>0.25</v>
      </c>
      <c r="AC27" s="121">
        <f t="shared" si="7"/>
        <v>-2.0766187234804011E-3</v>
      </c>
      <c r="AD27" s="156">
        <f>Poor!AD27</f>
        <v>0.25</v>
      </c>
      <c r="AE27" s="121">
        <f t="shared" si="8"/>
        <v>-2.0766187234804011E-3</v>
      </c>
      <c r="AF27" s="122">
        <f t="shared" si="10"/>
        <v>0.25</v>
      </c>
      <c r="AG27" s="121">
        <f t="shared" si="11"/>
        <v>-2.0766187234804011E-3</v>
      </c>
      <c r="AH27" s="123">
        <f t="shared" si="12"/>
        <v>1</v>
      </c>
      <c r="AI27" s="183">
        <f t="shared" si="13"/>
        <v>-2.0766187234804011E-3</v>
      </c>
      <c r="AJ27" s="120">
        <f t="shared" si="14"/>
        <v>-2.0766187234804011E-3</v>
      </c>
      <c r="AK27" s="119">
        <f t="shared" si="15"/>
        <v>-2.0766187234804011E-3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0.21738358849372641</v>
      </c>
      <c r="K29" s="22">
        <f t="shared" si="4"/>
        <v>0.27755333285892192</v>
      </c>
      <c r="L29" s="22">
        <f t="shared" si="5"/>
        <v>0.27755333285892192</v>
      </c>
      <c r="M29" s="222">
        <f t="shared" si="6"/>
        <v>0.21738358849372641</v>
      </c>
      <c r="N29" s="227"/>
      <c r="P29" s="22"/>
      <c r="V29" s="56"/>
      <c r="W29" s="110"/>
      <c r="X29" s="118"/>
      <c r="Y29" s="183">
        <f t="shared" si="9"/>
        <v>0.86953435397490564</v>
      </c>
      <c r="Z29" s="156">
        <f>Poor!Z29</f>
        <v>0.25</v>
      </c>
      <c r="AA29" s="121">
        <f t="shared" si="16"/>
        <v>0.21738358849372641</v>
      </c>
      <c r="AB29" s="156">
        <f>Poor!AB29</f>
        <v>0.25</v>
      </c>
      <c r="AC29" s="121">
        <f t="shared" si="7"/>
        <v>0.21738358849372641</v>
      </c>
      <c r="AD29" s="156">
        <f>Poor!AD29</f>
        <v>0.25</v>
      </c>
      <c r="AE29" s="121">
        <f t="shared" si="8"/>
        <v>0.21738358849372641</v>
      </c>
      <c r="AF29" s="122">
        <f t="shared" si="10"/>
        <v>0.25</v>
      </c>
      <c r="AG29" s="121">
        <f t="shared" si="11"/>
        <v>0.21738358849372641</v>
      </c>
      <c r="AH29" s="123">
        <f t="shared" si="12"/>
        <v>1</v>
      </c>
      <c r="AI29" s="183">
        <f t="shared" si="13"/>
        <v>0.21738358849372641</v>
      </c>
      <c r="AJ29" s="120">
        <f t="shared" si="14"/>
        <v>0.21738358849372641</v>
      </c>
      <c r="AK29" s="119">
        <f t="shared" si="15"/>
        <v>0.21738358849372641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1.5731067511404102</v>
      </c>
      <c r="J30" s="229">
        <f>IF(I$32&lt;=1,I30,1-SUM(J6:J29))</f>
        <v>0.28666276190033435</v>
      </c>
      <c r="K30" s="22">
        <f t="shared" si="4"/>
        <v>0.54316672549368428</v>
      </c>
      <c r="L30" s="22">
        <f>IF(L124=L119,0,IF(K30="",0,(L119-L124)/(B119-B124)*K30))</f>
        <v>0.11793749075393085</v>
      </c>
      <c r="M30" s="175">
        <f t="shared" si="6"/>
        <v>0.28666276190033435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1.1466510476013374</v>
      </c>
      <c r="Z30" s="122">
        <f>IF($Y30=0,0,AA30/($Y$30))</f>
        <v>9.682309425763103E-17</v>
      </c>
      <c r="AA30" s="187">
        <f>IF(AA79*4/$I$84+SUM(AA6:AA29)&lt;1,AA79*4/$I$84,1-SUM(AA6:AA29))</f>
        <v>1.1102230246251565E-16</v>
      </c>
      <c r="AB30" s="122">
        <f>IF($Y30=0,0,AC30/($Y$30))</f>
        <v>9.682309425763103E-17</v>
      </c>
      <c r="AC30" s="187">
        <f>IF(AC79*4/$I$84+SUM(AC6:AC29)&lt;1,AC79*4/$I$84,1-SUM(AC6:AC29))</f>
        <v>1.1102230246251565E-16</v>
      </c>
      <c r="AD30" s="122">
        <f>IF($Y30=0,0,AE30/($Y$30))</f>
        <v>0.48005276999557051</v>
      </c>
      <c r="AE30" s="187">
        <f>IF(AE79*4/$I$84+SUM(AE6:AE29)&lt;1,AE79*4/$I$84,1-SUM(AE6:AE29))</f>
        <v>0.55045301161934479</v>
      </c>
      <c r="AF30" s="122">
        <f>IF($Y30=0,0,AG30/($Y$30))</f>
        <v>0.51994723000442955</v>
      </c>
      <c r="AG30" s="187">
        <f>IF(AG79*4/$I$84+SUM(AG6:AG29)&lt;1,AG79*4/$I$84,1-SUM(AG6:AG29))</f>
        <v>0.59619803598199261</v>
      </c>
      <c r="AH30" s="123">
        <f t="shared" si="12"/>
        <v>1.0000000000000002</v>
      </c>
      <c r="AI30" s="183">
        <f t="shared" si="13"/>
        <v>0.28666276190033441</v>
      </c>
      <c r="AJ30" s="120">
        <f t="shared" si="14"/>
        <v>1.1102230246251565E-16</v>
      </c>
      <c r="AK30" s="119">
        <f t="shared" si="15"/>
        <v>0.5733255238006687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0.39305281725769214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2.2594023371561782</v>
      </c>
      <c r="J32" s="17"/>
      <c r="L32" s="22">
        <f>SUM(L6:L30)</f>
        <v>0.60694718274230786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32559.292186935883</v>
      </c>
      <c r="T32" s="232">
        <f t="shared" si="24"/>
        <v>25851.877216185923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1.1370683505640959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27">
        <v>5</v>
      </c>
      <c r="O37" s="2"/>
      <c r="P37" s="2"/>
      <c r="Q37" s="59" t="s">
        <v>71</v>
      </c>
      <c r="R37" s="220">
        <f>IF($B$81=0,0,(SUMIF($N$6:$N$28,$U7,K$6:K$28)*$B$83+SUMIF($N$37:$N$64,$U7,B$37:B$64))*Poor!$B$81/$B$81)</f>
        <v>2492.8571902326798</v>
      </c>
      <c r="S37" s="220">
        <f>IF($B$81=0,0,(SUMIF($N$6:$N$28,$U7,L$6:L$28)+SUMIF($N$91:$N$118,$U7,L$91:L$118))*$I$83*Poor!$B$81/$B$81)</f>
        <v>953.92721411942591</v>
      </c>
      <c r="T37" s="220">
        <f>IF($B$81=0,0,(SUMIF($N$6:$N$28,$U7,M$6:M$28)+SUMIF($N$91:$N$118,$U7,M$91:M$118))*$I$83*Poor!$B$81/$B$81)</f>
        <v>6814.0638253633415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4.805601983819837E-2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453.6488272725926</v>
      </c>
      <c r="AF37" s="122">
        <f t="shared" ref="AF37:AF64" si="29">1-SUM(Z37,AB37,AD37)</f>
        <v>0.9519439801618016</v>
      </c>
      <c r="AG37" s="147">
        <f>$J37*AF37</f>
        <v>8986.3511727274072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6223.4813073312662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7.2475617879716625E-2</v>
      </c>
      <c r="N38" s="227">
        <v>5</v>
      </c>
      <c r="O38" s="2"/>
      <c r="P38" s="2"/>
      <c r="Q38" s="59" t="s">
        <v>72</v>
      </c>
      <c r="R38" s="220">
        <f>IF($B$81=0,0,(SUMIF($N$6:$N$28,$U8,K$6:K$28)*$B$83+SUMIF($N$37:$N$64,$U8,B$37:B$64))*Poor!$B$81/$B$81)</f>
        <v>25314.285714285714</v>
      </c>
      <c r="S38" s="220">
        <f>IF($B$81=0,0,(SUMIF($N$6:$N$28,$U8,L$6:L$28)+SUMIF($N$91:$N$118,$U8,L$91:L$118))*$I$83*Poor!$B$81/$B$81)</f>
        <v>7471.9999999999982</v>
      </c>
      <c r="T38" s="220">
        <f>IF($B$81=0,0,(SUMIF($N$6:$N$28,$U8,M$6:M$28)+SUMIF($N$91:$N$118,$U8,M$91:M$118))*$I$83*Poor!$B$81/$B$81)</f>
        <v>5252.4425796988826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4.805601983819837E-2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299.07574116776806</v>
      </c>
      <c r="AF38" s="122">
        <f t="shared" si="29"/>
        <v>0.9519439801618016</v>
      </c>
      <c r="AG38" s="147">
        <f t="shared" ref="AG38:AG64" si="36">$J38*AF38</f>
        <v>5924.4055661634975</v>
      </c>
      <c r="AH38" s="123">
        <f t="shared" ref="AH38:AI58" si="37">SUM(Z38,AB38,AD38,AF38)</f>
        <v>1</v>
      </c>
      <c r="AI38" s="112">
        <f t="shared" si="37"/>
        <v>6223.4813073312653</v>
      </c>
      <c r="AJ38" s="148">
        <f t="shared" ref="AJ38:AJ64" si="38">(AA38+AC38)</f>
        <v>0</v>
      </c>
      <c r="AK38" s="147">
        <f t="shared" ref="AK38:AK64" si="39">(AE38+AG38)</f>
        <v>6223.4813073312653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27">
        <v>5</v>
      </c>
      <c r="O39" s="2"/>
      <c r="P39" s="2"/>
      <c r="Q39" s="59" t="s">
        <v>73</v>
      </c>
      <c r="R39" s="220">
        <f>IF($B$81=0,0,(SUMIF($N$6:$N$28,$U9,K$6:K$28)*$B$83+SUMIF($N$37:$N$64,$U9,B$37:B$64))*Poor!$B$81/$B$81)</f>
        <v>1656.3641471326373</v>
      </c>
      <c r="S39" s="220">
        <f>IF($B$81=0,0,(SUMIF($N$6:$N$28,$U9,L$6:L$28)+SUMIF($N$91:$N$118,$U9,L$91:L$118))*$I$83*Poor!$B$81/$B$81)</f>
        <v>546.60016855377023</v>
      </c>
      <c r="T39" s="220">
        <f>IF($B$81=0,0,(SUMIF($N$6:$N$28,$U9,M$6:M$28)+SUMIF($N$91:$N$118,$U9,M$91:M$118))*$I$83*Poor!$B$81/$B$81)</f>
        <v>546.60016855377023</v>
      </c>
      <c r="U39" s="56"/>
      <c r="V39" s="56"/>
      <c r="W39" s="115"/>
      <c r="X39" s="194">
        <f>X8</f>
        <v>1</v>
      </c>
      <c r="Y39" s="110"/>
      <c r="Z39" s="122">
        <f>Z8</f>
        <v>0.46652611640413527</v>
      </c>
      <c r="AA39" s="147">
        <f t="shared" ref="AA39:AA64" si="40">$J39*Z39</f>
        <v>440.40065388550374</v>
      </c>
      <c r="AB39" s="122">
        <f>AB8</f>
        <v>0.46652611640413527</v>
      </c>
      <c r="AC39" s="147">
        <f t="shared" ref="AC39:AC64" si="41">$J39*AB39</f>
        <v>440.40065388550374</v>
      </c>
      <c r="AD39" s="122">
        <f>AD8</f>
        <v>6.6947767191729513E-2</v>
      </c>
      <c r="AE39" s="147">
        <f t="shared" ref="AE39:AE64" si="42">$J39*AD39</f>
        <v>63.19869222899267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944.00000000000011</v>
      </c>
      <c r="AJ39" s="148">
        <f t="shared" si="38"/>
        <v>880.80130777100749</v>
      </c>
      <c r="AK39" s="147">
        <f t="shared" si="39"/>
        <v>63.19869222899267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27">
        <v>5</v>
      </c>
      <c r="O40" s="2"/>
      <c r="P40" s="2"/>
      <c r="Q40" s="59" t="s">
        <v>74</v>
      </c>
      <c r="R40" s="220">
        <f>IF($B$81=0,0,(SUMIF($N$6:$N$28,$U10,K$6:K$28)*$B$83+SUMIF($N$37:$N$64,$U10,B$37:B$64))*Poor!$B$81/$B$81)</f>
        <v>0</v>
      </c>
      <c r="S40" s="220">
        <f>IF($B$81=0,0,(SUMIF($N$6:$N$28,$U10,L$6:L$28)+SUMIF($N$91:$N$118,$U10,L$91:L$118))*$I$83*Poor!$B$81/$B$81)</f>
        <v>0</v>
      </c>
      <c r="T40" s="220">
        <f>IF($B$81=0,0,(SUMIF($N$6:$N$28,$U10,M$6:M$28)+SUMIF($N$91:$N$118,$U10,M$91:M$118))*$I$83*Poor!$B$81/$B$81)</f>
        <v>0</v>
      </c>
      <c r="U40" s="56"/>
      <c r="V40" s="56"/>
      <c r="W40" s="115"/>
      <c r="X40" s="194">
        <f>X9</f>
        <v>1</v>
      </c>
      <c r="Y40" s="110"/>
      <c r="Z40" s="122">
        <f>Z9</f>
        <v>0.46652611640413527</v>
      </c>
      <c r="AA40" s="147">
        <f t="shared" si="40"/>
        <v>715.65106256394358</v>
      </c>
      <c r="AB40" s="122">
        <f>AB9</f>
        <v>0.46652611640413527</v>
      </c>
      <c r="AC40" s="147">
        <f t="shared" si="41"/>
        <v>715.65106256394358</v>
      </c>
      <c r="AD40" s="122">
        <f>AD9</f>
        <v>6.6947767191729485E-2</v>
      </c>
      <c r="AE40" s="147">
        <f t="shared" si="42"/>
        <v>102.69787487211305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1431.3021251278872</v>
      </c>
      <c r="AK40" s="147">
        <f t="shared" si="39"/>
        <v>102.69787487211305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-138.16489736860865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-1.6090007845418499E-3</v>
      </c>
      <c r="N41" s="227">
        <v>2</v>
      </c>
      <c r="O41" s="2"/>
      <c r="P41" s="2"/>
      <c r="Q41" s="59" t="s">
        <v>75</v>
      </c>
      <c r="R41" s="220">
        <f>IF($B$81=0,0,(SUMIF($N$6:$N$28,$U11,K$6:K$28)*$B$83+SUMIF($N$37:$N$64,$U11,B$37:B$64))*Poor!$B$81/$B$81)</f>
        <v>28457.142857142859</v>
      </c>
      <c r="S41" s="220">
        <f>IF($B$81=0,0,(SUMIF($N$6:$N$28,$U11,L$6:L$28)+SUMIF($N$91:$N$118,$U11,L$91:L$118))*$I$83*Poor!$B$81/$B$81)</f>
        <v>17666.285714285714</v>
      </c>
      <c r="T41" s="220">
        <f>IF($B$81=0,0,(SUMIF($N$6:$N$28,$U11,M$6:M$28)+SUMIF($N$91:$N$118,$U11,M$91:M$118))*$I$83*Poor!$B$81/$B$81)</f>
        <v>20733.121494092873</v>
      </c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-138.16489736860865</v>
      </c>
      <c r="AH41" s="123">
        <f t="shared" si="37"/>
        <v>1</v>
      </c>
      <c r="AI41" s="112">
        <f t="shared" si="37"/>
        <v>-138.16489736860865</v>
      </c>
      <c r="AJ41" s="148">
        <f t="shared" si="38"/>
        <v>0</v>
      </c>
      <c r="AK41" s="147">
        <f t="shared" si="39"/>
        <v>-138.16489736860865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27">
        <v>2</v>
      </c>
      <c r="O42" s="2"/>
      <c r="P42" s="2"/>
      <c r="Q42" s="126" t="s">
        <v>124</v>
      </c>
      <c r="R42" s="220">
        <f>IF($B$81=0,0,(SUMIF($N$6:$N$28,$U12,K$6:K$28)*$B$83+SUMIF($N$37:$N$64,$U12,B$37:B$64))*Poor!$B$81/$B$81)</f>
        <v>0</v>
      </c>
      <c r="S42" s="220">
        <f>IF($B$81=0,0,(SUMIF($N$6:$N$28,$U12,L$6:L$28)+SUMIF($N$91:$N$118,$U12,L$91:L$118))*$I$83*Poor!$B$81/$B$81)</f>
        <v>0</v>
      </c>
      <c r="T42" s="220">
        <f>IF($B$81=0,0,(SUMIF($N$6:$N$28,$U12,M$6:M$28)+SUMIF($N$91:$N$118,$U12,M$91:M$118))*$I$83*Poor!$B$81/$B$81)</f>
        <v>0</v>
      </c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-95.947845394867187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-1.1173616559318411E-3</v>
      </c>
      <c r="N43" s="227">
        <v>2</v>
      </c>
      <c r="O43" s="2"/>
      <c r="P43" s="2"/>
      <c r="Q43" s="59" t="s">
        <v>76</v>
      </c>
      <c r="R43" s="220">
        <f>IF($B$81=0,0,(SUMIF($N$6:$N$28,$U13,K$6:K$28)*$B$83+SUMIF($N$37:$N$64,$U13,B$37:B$64))*Poor!$B$81/$B$81)</f>
        <v>0</v>
      </c>
      <c r="S43" s="220">
        <f>IF($B$81=0,0,(SUMIF($N$6:$N$28,$U13,L$6:L$28)+SUMIF($N$91:$N$118,$U13,L$91:L$118))*$I$83*Poor!$B$81/$B$81)</f>
        <v>10357.028571428571</v>
      </c>
      <c r="T43" s="220">
        <f>IF($B$81=0,0,(SUMIF($N$6:$N$28,$U13,M$6:M$28)+SUMIF($N$91:$N$118,$U13,M$91:M$118))*$I$83*Poor!$B$81/$B$81)</f>
        <v>10357.028571428571</v>
      </c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-23.986961348716797</v>
      </c>
      <c r="AB43" s="156">
        <f>Poor!AB43</f>
        <v>0.25</v>
      </c>
      <c r="AC43" s="147">
        <f t="shared" si="41"/>
        <v>-23.986961348716797</v>
      </c>
      <c r="AD43" s="156">
        <f>Poor!AD43</f>
        <v>0.25</v>
      </c>
      <c r="AE43" s="147">
        <f t="shared" si="42"/>
        <v>-23.986961348716797</v>
      </c>
      <c r="AF43" s="122">
        <f t="shared" si="29"/>
        <v>0.25</v>
      </c>
      <c r="AG43" s="147">
        <f t="shared" si="36"/>
        <v>-23.986961348716797</v>
      </c>
      <c r="AH43" s="123">
        <f t="shared" si="37"/>
        <v>1</v>
      </c>
      <c r="AI43" s="112">
        <f t="shared" si="37"/>
        <v>-95.947845394867187</v>
      </c>
      <c r="AJ43" s="148">
        <f t="shared" si="38"/>
        <v>-47.973922697433593</v>
      </c>
      <c r="AK43" s="147">
        <f t="shared" si="39"/>
        <v>-47.973922697433593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27">
        <v>7</v>
      </c>
      <c r="O44" s="2"/>
      <c r="P44" s="2"/>
      <c r="Q44" s="126" t="s">
        <v>77</v>
      </c>
      <c r="R44" s="220">
        <f>IF($B$81=0,0,(SUMIF($N$6:$N$28,$U14,K$6:K$28)*$B$83+SUMIF($N$37:$N$64,$U14,B$37:B$64))*Poor!$B$81/$B$81)</f>
        <v>21942.857142857141</v>
      </c>
      <c r="S44" s="220">
        <f>IF($B$81=0,0,(SUMIF($N$6:$N$28,$U14,L$6:L$28)+SUMIF($N$91:$N$118,$U14,L$91:L$118))*$I$83*Poor!$B$81/$B$81)</f>
        <v>0</v>
      </c>
      <c r="T44" s="220">
        <f>IF($B$81=0,0,(SUMIF($N$6:$N$28,$U14,M$6:M$28)+SUMIF($N$91:$N$118,$U14,M$91:M$118))*$I$83*Poor!$B$81/$B$81)</f>
        <v>0</v>
      </c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27">
        <v>7</v>
      </c>
      <c r="O45" s="2"/>
      <c r="P45" s="2"/>
      <c r="Q45" s="59" t="s">
        <v>127</v>
      </c>
      <c r="R45" s="220">
        <f>IF($B$81=0,0,(SUMIF($N$6:$N$28,$U15,K$6:K$28)*$B$83+SUMIF($N$37:$N$64,$U15,B$37:B$64))*Poor!$B$81/$B$81)</f>
        <v>0</v>
      </c>
      <c r="S45" s="220">
        <f>IF($B$81=0,0,(SUMIF($N$6:$N$28,$U15,L$6:L$28)+SUMIF($N$91:$N$118,$U15,L$91:L$118))*$I$83*Poor!$B$81/$B$81)</f>
        <v>0</v>
      </c>
      <c r="T45" s="220">
        <f>IF($B$81=0,0,(SUMIF($N$6:$N$28,$U15,M$6:M$28)+SUMIF($N$91:$N$118,$U15,M$91:M$118))*$I$83*Poor!$B$81/$B$81)</f>
        <v>0</v>
      </c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27">
        <v>7</v>
      </c>
      <c r="O46" s="2"/>
      <c r="P46" s="2"/>
      <c r="Q46" s="126" t="s">
        <v>78</v>
      </c>
      <c r="R46" s="220">
        <f>IF($B$81=0,0,(SUMIF($N$6:$N$28,$U16,K$6:K$28)*$B$83+SUMIF($N$37:$N$64,$U16,B$37:B$64))*Poor!$B$81/$B$81)</f>
        <v>0</v>
      </c>
      <c r="S46" s="220">
        <f>IF($B$81=0,0,(SUMIF($N$6:$N$28,$U16,L$6:L$28)+SUMIF($N$91:$N$118,$U16,L$91:L$118))*$I$83*Poor!$B$81/$B$81)</f>
        <v>0</v>
      </c>
      <c r="T46" s="220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27">
        <v>8</v>
      </c>
      <c r="O47" s="2"/>
      <c r="P47" s="2"/>
      <c r="Q47" s="126" t="s">
        <v>125</v>
      </c>
      <c r="R47" s="220">
        <f>IF($B$81=0,0,(SUMIF($N$6:$N$28,$U17,K$6:K$28)*$B$83+SUMIF($N$37:$N$64,$U17,B$37:B$64))*Poor!$B$81/$B$81)</f>
        <v>0</v>
      </c>
      <c r="S47" s="220">
        <f>IF($B$81=0,0,(SUMIF($N$6:$N$28,$U17,L$6:L$28)+SUMIF($N$91:$N$118,$U17,L$91:L$118))*$I$83*Poor!$B$81/$B$81)</f>
        <v>0</v>
      </c>
      <c r="T47" s="220">
        <f>IF($B$81=0,0,(SUMIF($N$6:$N$28,$U17,M$6:M$28)+SUMIF($N$91:$N$118,$U17,M$91:M$118))*$I$83*Poor!$B$81/$B$81)</f>
        <v>0</v>
      </c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27">
        <v>11</v>
      </c>
      <c r="O48" s="2"/>
      <c r="P48" s="2"/>
      <c r="Q48" s="59" t="s">
        <v>79</v>
      </c>
      <c r="R48" s="220">
        <f>IF($B$81=0,0,(SUMIF($N$6:$N$28,$U18,K$6:K$28)*$B$83+SUMIF($N$37:$N$64,$U18,B$37:B$64))*Poor!$B$81/$B$81)</f>
        <v>1401.3106912413493</v>
      </c>
      <c r="S48" s="220">
        <f>IF($B$81=0,0,(SUMIF($N$6:$N$28,$U18,L$6:L$28)+SUMIF($N$91:$N$118,$U18,L$91:L$118))*$I$83*Poor!$B$81/$B$81)</f>
        <v>2312.1626405482261</v>
      </c>
      <c r="T48" s="220">
        <f>IF($B$81=0,0,(SUMIF($N$6:$N$28,$U18,M$6:M$28)+SUMIF($N$91:$N$118,$U18,M$91:M$118))*$I$83*Poor!$B$81/$B$81)</f>
        <v>2312.1626405482261</v>
      </c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0</v>
      </c>
      <c r="F49" s="75">
        <f>Poor!F49</f>
        <v>1.18</v>
      </c>
      <c r="G49" s="75">
        <f>Poor!G49</f>
        <v>1.65</v>
      </c>
      <c r="H49" s="24">
        <f t="shared" si="30"/>
        <v>0</v>
      </c>
      <c r="I49" s="39">
        <f t="shared" si="31"/>
        <v>0</v>
      </c>
      <c r="J49" s="38">
        <f t="shared" si="32"/>
        <v>0</v>
      </c>
      <c r="K49" s="40">
        <f t="shared" si="33"/>
        <v>8.8738791195993941E-2</v>
      </c>
      <c r="L49" s="22">
        <f t="shared" si="34"/>
        <v>0</v>
      </c>
      <c r="M49" s="24">
        <f t="shared" si="35"/>
        <v>0</v>
      </c>
      <c r="N49" s="227">
        <v>14</v>
      </c>
      <c r="O49" s="2"/>
      <c r="P49" s="2"/>
      <c r="Q49" s="59" t="s">
        <v>80</v>
      </c>
      <c r="R49" s="220">
        <f>IF($B$81=0,0,(SUMIF($N$6:$N$28,$U19,K$6:K$28)*$B$83+SUMIF($N$37:$N$64,$U19,B$37:B$64))*Poor!$B$81/$B$81)</f>
        <v>0</v>
      </c>
      <c r="S49" s="220">
        <f>IF($B$81=0,0,(SUMIF($N$6:$N$28,$U19,L$6:L$28)+SUMIF($N$91:$N$118,$U19,L$91:L$118))*$I$83*Poor!$B$81/$B$81)</f>
        <v>0</v>
      </c>
      <c r="T49" s="220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27">
        <v>9</v>
      </c>
      <c r="O50" s="2"/>
      <c r="P50" s="2"/>
      <c r="Q50" s="59" t="s">
        <v>81</v>
      </c>
      <c r="R50" s="220">
        <f>IF($B$81=0,0,(SUMIF($N$6:$N$28,$U20,K$6:K$28)*$B$83+SUMIF($N$37:$N$64,$U20,B$37:B$64))*Poor!$B$81/$B$81)</f>
        <v>8708.5714285714294</v>
      </c>
      <c r="S50" s="220">
        <f>IF($B$81=0,0,(SUMIF($N$6:$N$28,$U20,L$6:L$28)+SUMIF($N$91:$N$118,$U20,L$91:L$118))*$I$83*Poor!$B$81/$B$81)</f>
        <v>0</v>
      </c>
      <c r="T50" s="220">
        <f>IF($B$81=0,0,(SUMIF($N$6:$N$28,$U20,M$6:M$28)+SUMIF($N$91:$N$118,$U20,M$91:M$118))*$I$83*Poor!$B$81/$B$81)</f>
        <v>0</v>
      </c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27">
        <v>15</v>
      </c>
      <c r="O51" s="2"/>
      <c r="P51" s="2"/>
      <c r="Q51" s="59" t="s">
        <v>82</v>
      </c>
      <c r="R51" s="220">
        <f>IF($B$81=0,0,(SUMIF($N$6:$N$28,$U21,K$6:K$28)*$B$83+SUMIF($N$37:$N$64,$U21,B$37:B$64))*Poor!$B$81/$B$81)</f>
        <v>13714.285714285714</v>
      </c>
      <c r="S51" s="220">
        <f>IF($B$81=0,0,(SUMIF($N$6:$N$28,$U21,L$6:L$28)+SUMIF($N$91:$N$118,$U21,L$91:L$118))*$I$83*Poor!$B$81/$B$81)</f>
        <v>15222.857142857143</v>
      </c>
      <c r="T51" s="220">
        <f>IF($B$81=0,0,(SUMIF($N$6:$N$28,$U21,M$6:M$28)+SUMIF($N$91:$N$118,$U21,M$91:M$118))*$I$83*Poor!$B$81/$B$81)</f>
        <v>15222.857142857143</v>
      </c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27">
        <v>15</v>
      </c>
      <c r="O52" s="2"/>
      <c r="P52" s="2"/>
      <c r="Q52" s="59" t="s">
        <v>83</v>
      </c>
      <c r="R52" s="220">
        <f>IF($B$81=0,0,(SUMIF($N$6:$N$28,$U22,K$6:K$28)*$B$83+SUMIF($N$37:$N$64,$U22,B$37:B$64))*Poor!$B$81/$B$81)</f>
        <v>0</v>
      </c>
      <c r="S52" s="220">
        <f>IF($B$81=0,0,(SUMIF($N$6:$N$28,$U22,L$6:L$28)+SUMIF($N$91:$N$118,$U22,L$91:L$118))*$I$83*Poor!$B$81/$B$81)</f>
        <v>0</v>
      </c>
      <c r="T52" s="220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100</v>
      </c>
      <c r="R53" s="179">
        <f>SUM(R37:R52)</f>
        <v>103687.67488574953</v>
      </c>
      <c r="S53" s="179">
        <f>SUM(S37:S52)</f>
        <v>54530.861451792851</v>
      </c>
      <c r="T53" s="179">
        <f>SUM(T37:T52)</f>
        <v>61238.276422542811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137</v>
      </c>
      <c r="R54" s="41">
        <f>IF($B$81=0,0,(SUM(($B$70))+((1-$D$29)*$B$83))*Poor!$B$81/$B$81)</f>
        <v>24062.6463840672</v>
      </c>
      <c r="S54" s="41">
        <f>IF($B$81=0,0,(SUM(($B$70*$H$70))+((1-$D$29)*$I$83))*Poor!$B$81/$B$81)</f>
        <v>35969.406972062054</v>
      </c>
      <c r="T54" s="41">
        <f>IF($B$81=0,0,(SUM(($B$70*$H$70))+((1-$D$29)*$I$83))*Poor!$B$81/$B$81)</f>
        <v>35969.406972062054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138</v>
      </c>
      <c r="R55" s="41">
        <f>IF($B$81=0,0,(SUM(($B$70),($B$71*$H$71))+((1-$D$29)*$B$83))*Poor!$B$81/$B$81)</f>
        <v>42445.473050733868</v>
      </c>
      <c r="S55" s="41">
        <f>IF($B$81=0,0,(SUM(($B$70*$H$70),($B$71*$H$71))+((1-$D$29)*$I$83))*Poor!$B$81/$B$81)</f>
        <v>54352.233638728721</v>
      </c>
      <c r="T55" s="41">
        <f>IF($B$81=0,0,(SUM(($B$70*$H$70),($B$71*$H$71))+((1-$D$29)*$I$83))*Poor!$B$81/$B$81)</f>
        <v>54352.233638728721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139</v>
      </c>
      <c r="R56" s="41">
        <f>IF($B$81=0,0,(SUM(($B$70),($B$71*$H$71),($B$72*$H$72))+((1-$D$29)*$B$83))*Poor!$B$81/$B$81)</f>
        <v>75183.393050733866</v>
      </c>
      <c r="S56" s="41">
        <f>IF($B$81=0,0,(SUM(($B$70*$H$70),($B$71*$H$71),($B$72*$H$72))+((1-$D$29)*$I$83))*Poor!$B$81/$B$81)</f>
        <v>87090.153638728734</v>
      </c>
      <c r="T56" s="41">
        <f>IF($B$81=0,0,(SUM(($B$70*$H$70),($B$71*$H$71),($B$72*$H$72))+((1-$D$29)*$I$83))*Poor!$B$81/$B$81)</f>
        <v>87090.153638728734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45030.400000000001</v>
      </c>
      <c r="J65" s="39">
        <f>SUM(J37:J64)</f>
        <v>45119.768564567785</v>
      </c>
      <c r="K65" s="40">
        <f>SUM(K37:K64)</f>
        <v>1</v>
      </c>
      <c r="L65" s="22">
        <f>SUM(L37:L64)</f>
        <v>0.51680913008035401</v>
      </c>
      <c r="M65" s="24">
        <f>SUM(M37:M64)</f>
        <v>0.52544274559878634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7935.16475510073</v>
      </c>
      <c r="AB65" s="137"/>
      <c r="AC65" s="153">
        <f>SUM(AC37:AC64)</f>
        <v>6727.66475510073</v>
      </c>
      <c r="AD65" s="137"/>
      <c r="AE65" s="153">
        <f>SUM(AE37:AE64)</f>
        <v>8905.2341741927485</v>
      </c>
      <c r="AF65" s="137"/>
      <c r="AG65" s="153">
        <f>SUM(AG37:AG64)</f>
        <v>21551.70488017358</v>
      </c>
      <c r="AH65" s="137"/>
      <c r="AI65" s="153">
        <f>SUM(AI37:AI64)</f>
        <v>45119.768564567785</v>
      </c>
      <c r="AJ65" s="153">
        <f>SUM(AJ37:AJ64)</f>
        <v>14662.82951020146</v>
      </c>
      <c r="AK65" s="153">
        <f>SUM(AK37:AK64)</f>
        <v>30456.939054366328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5866.7330546631156</v>
      </c>
      <c r="K72" s="40">
        <f t="shared" si="47"/>
        <v>0.28270641667637125</v>
      </c>
      <c r="L72" s="22">
        <f t="shared" si="45"/>
        <v>9.3079637397045403E-2</v>
      </c>
      <c r="M72" s="24">
        <f t="shared" si="48"/>
        <v>6.8321102301887912E-2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26733.998147920738</v>
      </c>
      <c r="J74" s="51">
        <f t="shared" si="44"/>
        <v>4871.6603244920861</v>
      </c>
      <c r="K74" s="40">
        <f>B74/B$76</f>
        <v>6.514985729326056E-2</v>
      </c>
      <c r="L74" s="22">
        <f t="shared" si="45"/>
        <v>2.3340821605952255E-2</v>
      </c>
      <c r="M74" s="24">
        <f>J74/B$76</f>
        <v>5.6732972219542169E-2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8.7355764567959832E-13</v>
      </c>
      <c r="AB74" s="156"/>
      <c r="AC74" s="147">
        <f>AC30*$I$84/4</f>
        <v>8.7355764567959832E-13</v>
      </c>
      <c r="AD74" s="156"/>
      <c r="AE74" s="147">
        <f>AE30*$I$84/4</f>
        <v>4331.1337111729345</v>
      </c>
      <c r="AF74" s="156"/>
      <c r="AG74" s="147">
        <f>AG30*$I$84/4</f>
        <v>4691.0696420394597</v>
      </c>
      <c r="AH74" s="155"/>
      <c r="AI74" s="147">
        <f>SUM(AA74,AC74,AE74,AG74)</f>
        <v>9022.2033532123969</v>
      </c>
      <c r="AJ74" s="148">
        <f>(AA74+AC74)</f>
        <v>1.7471152913591966E-12</v>
      </c>
      <c r="AK74" s="147">
        <f>(AE74+AG74)</f>
        <v>9022.2033532123933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-7.5470276286313373E-12</v>
      </c>
      <c r="K75" s="40">
        <f>B75/B$76</f>
        <v>9.1992429895463829E-2</v>
      </c>
      <c r="L75" s="22">
        <f t="shared" si="45"/>
        <v>0</v>
      </c>
      <c r="M75" s="24">
        <f>J75/B$76</f>
        <v>-8.7888990667652704E-17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17805.662417992549</v>
      </c>
      <c r="AB75" s="158"/>
      <c r="AC75" s="149">
        <f>AA75+AC65-SUM(AC70,AC74)</f>
        <v>19959.226710073464</v>
      </c>
      <c r="AD75" s="158"/>
      <c r="AE75" s="149">
        <f>AC75+AE65-SUM(AE70,AE74)</f>
        <v>19959.226710073464</v>
      </c>
      <c r="AF75" s="158"/>
      <c r="AG75" s="149">
        <f>IF(SUM(AG6:AG29)+((AG65-AG70-$J$75)*4/I$83)&lt;1,0,AG65-AG70-$J$75-(1-SUM(AG6:AG29))*I$83/4)</f>
        <v>14444.598125911632</v>
      </c>
      <c r="AH75" s="134"/>
      <c r="AI75" s="149">
        <f>AI76-SUM(AI70,AI74)</f>
        <v>17801.163359276128</v>
      </c>
      <c r="AJ75" s="151">
        <f>AJ76-SUM(AJ70,AJ74)</f>
        <v>5514.6285841618283</v>
      </c>
      <c r="AK75" s="149">
        <f>AJ75+AK76-SUM(AK70,AK74)</f>
        <v>17801.163359276132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45030.399999999994</v>
      </c>
      <c r="J76" s="51">
        <f t="shared" si="44"/>
        <v>45119.768564567792</v>
      </c>
      <c r="K76" s="40">
        <f>SUM(K70:K75)</f>
        <v>0.99999999999999989</v>
      </c>
      <c r="L76" s="22">
        <f>SUM(L70:L75)</f>
        <v>0.51680913008035412</v>
      </c>
      <c r="M76" s="24">
        <f>SUM(M70:M75)</f>
        <v>0.52544274559878645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7935.16475510073</v>
      </c>
      <c r="AB76" s="137"/>
      <c r="AC76" s="153">
        <f>AC65</f>
        <v>6727.66475510073</v>
      </c>
      <c r="AD76" s="137"/>
      <c r="AE76" s="153">
        <f>AE65</f>
        <v>8905.2341741927485</v>
      </c>
      <c r="AF76" s="137"/>
      <c r="AG76" s="153">
        <f>AG65</f>
        <v>21551.70488017358</v>
      </c>
      <c r="AH76" s="137"/>
      <c r="AI76" s="153">
        <f>SUM(AA76,AC76,AE76,AG76)</f>
        <v>45119.768564567785</v>
      </c>
      <c r="AJ76" s="154">
        <f>SUM(AA76,AC76)</f>
        <v>14662.82951020146</v>
      </c>
      <c r="AK76" s="154">
        <f>SUM(AE76,AG76)</f>
        <v>30456.939054366328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-9.4238090952009412E-2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14444.598125911632</v>
      </c>
      <c r="AB78" s="112"/>
      <c r="AC78" s="112">
        <f>IF(AA75&lt;0,0,AA75)</f>
        <v>17805.662417992549</v>
      </c>
      <c r="AD78" s="112"/>
      <c r="AE78" s="112">
        <f>AC75</f>
        <v>19959.226710073464</v>
      </c>
      <c r="AF78" s="112"/>
      <c r="AG78" s="112">
        <f>AE75</f>
        <v>19959.226710073464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17805.662417992549</v>
      </c>
      <c r="AB79" s="112"/>
      <c r="AC79" s="112">
        <f>AA79-AA74+AC65-AC70</f>
        <v>19959.226710073464</v>
      </c>
      <c r="AD79" s="112"/>
      <c r="AE79" s="112">
        <f>AC79-AC74+AE65-AE70</f>
        <v>24290.360421246398</v>
      </c>
      <c r="AF79" s="112"/>
      <c r="AG79" s="112">
        <f>AE79-AE74+AG65-AG70</f>
        <v>36936.831127227226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21054.815586058801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5">
        <f t="shared" si="49"/>
        <v>0.55547724843096302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0.36620786782393056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5">
        <f t="shared" ref="M92:M118" si="62">(J92)</f>
        <v>0.36620786782393056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5">
        <f t="shared" si="62"/>
        <v>5.5547724843096308E-2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5">
        <f t="shared" si="62"/>
        <v>9.0265052870031504E-2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-8.1300272267013918E-3</v>
      </c>
      <c r="K95" s="22">
        <f t="shared" si="60"/>
        <v>0.23301799828248024</v>
      </c>
      <c r="L95" s="22">
        <f t="shared" si="61"/>
        <v>5.9313672290085884E-2</v>
      </c>
      <c r="M95" s="225">
        <f t="shared" si="62"/>
        <v>-8.1300272267013918E-3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5">
        <f t="shared" si="62"/>
        <v>0.28421134638999479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-5.6458522407648593E-3</v>
      </c>
      <c r="K97" s="22">
        <f t="shared" si="60"/>
        <v>0.24272708154425024</v>
      </c>
      <c r="L97" s="22">
        <f t="shared" si="61"/>
        <v>4.1190050201448523E-2</v>
      </c>
      <c r="M97" s="225">
        <f t="shared" si="62"/>
        <v>-5.6458522407648593E-3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5">
        <f t="shared" si="62"/>
        <v>0</v>
      </c>
      <c r="N98" s="227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5">
        <f t="shared" si="62"/>
        <v>0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5">
        <f t="shared" si="62"/>
        <v>0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5">
        <f t="shared" si="62"/>
        <v>0.53325815849372449</v>
      </c>
      <c r="N101" s="227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</v>
      </c>
      <c r="I103" s="22">
        <f t="shared" si="58"/>
        <v>0</v>
      </c>
      <c r="J103" s="24">
        <f t="shared" si="59"/>
        <v>0</v>
      </c>
      <c r="K103" s="22">
        <f t="shared" si="60"/>
        <v>0.73983214454687474</v>
      </c>
      <c r="L103" s="22">
        <f t="shared" si="61"/>
        <v>0</v>
      </c>
      <c r="M103" s="225">
        <f t="shared" si="62"/>
        <v>0</v>
      </c>
      <c r="N103" s="227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5">
        <f t="shared" si="62"/>
        <v>0</v>
      </c>
      <c r="N104" s="227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5">
        <f t="shared" si="62"/>
        <v>0.7837878124047063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5">
        <f t="shared" si="62"/>
        <v>0</v>
      </c>
      <c r="N107" s="227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5">
        <f t="shared" si="6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5">
        <f t="shared" si="6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5">
        <f t="shared" si="6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5">
        <f t="shared" si="6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5">
        <f t="shared" si="6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5">
        <f t="shared" si="6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5">
        <f t="shared" si="6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2.6497206237018682</v>
      </c>
      <c r="J119" s="24">
        <f>SUM(J91:J118)</f>
        <v>2.6549793317889807</v>
      </c>
      <c r="K119" s="22">
        <f>SUM(K91:K118)</f>
        <v>8.3371897968819066</v>
      </c>
      <c r="L119" s="22">
        <f>SUM(L91:L118)</f>
        <v>2.6113550340856619</v>
      </c>
      <c r="M119" s="57">
        <f t="shared" si="49"/>
        <v>2.6549793317889807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5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5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0.3452157557715303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0.47031672921461487</v>
      </c>
      <c r="M126" s="57">
        <f t="shared" si="65"/>
        <v>0.3452157557715303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1.5731067511404102</v>
      </c>
      <c r="J128" s="226">
        <f>(J30)</f>
        <v>0.28666276190033435</v>
      </c>
      <c r="K128" s="22">
        <f>(B128)</f>
        <v>0.54316672549368428</v>
      </c>
      <c r="L128" s="22">
        <f>IF(L124=L119,0,(L119-L124)/(B119-B124)*K128)</f>
        <v>0.11793749075393085</v>
      </c>
      <c r="M128" s="57">
        <f t="shared" si="63"/>
        <v>0.28666276190033435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-4.4408920985006262E-16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2.6497206237018682</v>
      </c>
      <c r="J130" s="226">
        <f>(J119)</f>
        <v>2.6549793317889807</v>
      </c>
      <c r="K130" s="22">
        <f>(B130)</f>
        <v>8.3371897968819066</v>
      </c>
      <c r="L130" s="22">
        <f>(L119)</f>
        <v>2.6113550340856619</v>
      </c>
      <c r="M130" s="57">
        <f t="shared" si="63"/>
        <v>2.6549793317889807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0.47617021234104362</v>
      </c>
      <c r="M131" s="235">
        <f>IF(I131&lt;SUM(M126:M127),0,I131-(SUM(M126:M127)))</f>
        <v>0.60127118578412819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73" priority="196" operator="equal">
      <formula>16</formula>
    </cfRule>
    <cfRule type="cellIs" dxfId="372" priority="197" operator="equal">
      <formula>15</formula>
    </cfRule>
    <cfRule type="cellIs" dxfId="371" priority="198" operator="equal">
      <formula>14</formula>
    </cfRule>
    <cfRule type="cellIs" dxfId="370" priority="199" operator="equal">
      <formula>13</formula>
    </cfRule>
    <cfRule type="cellIs" dxfId="369" priority="200" operator="equal">
      <formula>12</formula>
    </cfRule>
    <cfRule type="cellIs" dxfId="368" priority="201" operator="equal">
      <formula>11</formula>
    </cfRule>
    <cfRule type="cellIs" dxfId="367" priority="202" operator="equal">
      <formula>10</formula>
    </cfRule>
    <cfRule type="cellIs" dxfId="366" priority="203" operator="equal">
      <formula>9</formula>
    </cfRule>
    <cfRule type="cellIs" dxfId="365" priority="204" operator="equal">
      <formula>8</formula>
    </cfRule>
    <cfRule type="cellIs" dxfId="364" priority="205" operator="equal">
      <formula>7</formula>
    </cfRule>
    <cfRule type="cellIs" dxfId="363" priority="206" operator="equal">
      <formula>6</formula>
    </cfRule>
    <cfRule type="cellIs" dxfId="362" priority="207" operator="equal">
      <formula>5</formula>
    </cfRule>
    <cfRule type="cellIs" dxfId="361" priority="208" operator="equal">
      <formula>4</formula>
    </cfRule>
    <cfRule type="cellIs" dxfId="360" priority="209" operator="equal">
      <formula>3</formula>
    </cfRule>
    <cfRule type="cellIs" dxfId="359" priority="210" operator="equal">
      <formula>2</formula>
    </cfRule>
    <cfRule type="cellIs" dxfId="358" priority="211" operator="equal">
      <formula>1</formula>
    </cfRule>
  </conditionalFormatting>
  <conditionalFormatting sqref="N29">
    <cfRule type="cellIs" dxfId="357" priority="180" operator="equal">
      <formula>16</formula>
    </cfRule>
    <cfRule type="cellIs" dxfId="356" priority="181" operator="equal">
      <formula>15</formula>
    </cfRule>
    <cfRule type="cellIs" dxfId="355" priority="182" operator="equal">
      <formula>14</formula>
    </cfRule>
    <cfRule type="cellIs" dxfId="354" priority="183" operator="equal">
      <formula>13</formula>
    </cfRule>
    <cfRule type="cellIs" dxfId="353" priority="184" operator="equal">
      <formula>12</formula>
    </cfRule>
    <cfRule type="cellIs" dxfId="352" priority="185" operator="equal">
      <formula>11</formula>
    </cfRule>
    <cfRule type="cellIs" dxfId="351" priority="186" operator="equal">
      <formula>10</formula>
    </cfRule>
    <cfRule type="cellIs" dxfId="350" priority="187" operator="equal">
      <formula>9</formula>
    </cfRule>
    <cfRule type="cellIs" dxfId="349" priority="188" operator="equal">
      <formula>8</formula>
    </cfRule>
    <cfRule type="cellIs" dxfId="348" priority="189" operator="equal">
      <formula>7</formula>
    </cfRule>
    <cfRule type="cellIs" dxfId="347" priority="190" operator="equal">
      <formula>6</formula>
    </cfRule>
    <cfRule type="cellIs" dxfId="346" priority="191" operator="equal">
      <formula>5</formula>
    </cfRule>
    <cfRule type="cellIs" dxfId="345" priority="192" operator="equal">
      <formula>4</formula>
    </cfRule>
    <cfRule type="cellIs" dxfId="344" priority="193" operator="equal">
      <formula>3</formula>
    </cfRule>
    <cfRule type="cellIs" dxfId="343" priority="194" operator="equal">
      <formula>2</formula>
    </cfRule>
    <cfRule type="cellIs" dxfId="342" priority="195" operator="equal">
      <formula>1</formula>
    </cfRule>
  </conditionalFormatting>
  <conditionalFormatting sqref="N113:N118">
    <cfRule type="cellIs" dxfId="341" priority="132" operator="equal">
      <formula>16</formula>
    </cfRule>
    <cfRule type="cellIs" dxfId="340" priority="133" operator="equal">
      <formula>15</formula>
    </cfRule>
    <cfRule type="cellIs" dxfId="339" priority="134" operator="equal">
      <formula>14</formula>
    </cfRule>
    <cfRule type="cellIs" dxfId="338" priority="135" operator="equal">
      <formula>13</formula>
    </cfRule>
    <cfRule type="cellIs" dxfId="337" priority="136" operator="equal">
      <formula>12</formula>
    </cfRule>
    <cfRule type="cellIs" dxfId="336" priority="137" operator="equal">
      <formula>11</formula>
    </cfRule>
    <cfRule type="cellIs" dxfId="335" priority="138" operator="equal">
      <formula>10</formula>
    </cfRule>
    <cfRule type="cellIs" dxfId="334" priority="139" operator="equal">
      <formula>9</formula>
    </cfRule>
    <cfRule type="cellIs" dxfId="333" priority="140" operator="equal">
      <formula>8</formula>
    </cfRule>
    <cfRule type="cellIs" dxfId="332" priority="141" operator="equal">
      <formula>7</formula>
    </cfRule>
    <cfRule type="cellIs" dxfId="331" priority="142" operator="equal">
      <formula>6</formula>
    </cfRule>
    <cfRule type="cellIs" dxfId="330" priority="143" operator="equal">
      <formula>5</formula>
    </cfRule>
    <cfRule type="cellIs" dxfId="329" priority="144" operator="equal">
      <formula>4</formula>
    </cfRule>
    <cfRule type="cellIs" dxfId="328" priority="145" operator="equal">
      <formula>3</formula>
    </cfRule>
    <cfRule type="cellIs" dxfId="327" priority="146" operator="equal">
      <formula>2</formula>
    </cfRule>
    <cfRule type="cellIs" dxfId="326" priority="147" operator="equal">
      <formula>1</formula>
    </cfRule>
  </conditionalFormatting>
  <conditionalFormatting sqref="N27:N28">
    <cfRule type="cellIs" dxfId="325" priority="116" operator="equal">
      <formula>16</formula>
    </cfRule>
    <cfRule type="cellIs" dxfId="324" priority="117" operator="equal">
      <formula>15</formula>
    </cfRule>
    <cfRule type="cellIs" dxfId="323" priority="118" operator="equal">
      <formula>14</formula>
    </cfRule>
    <cfRule type="cellIs" dxfId="322" priority="119" operator="equal">
      <formula>13</formula>
    </cfRule>
    <cfRule type="cellIs" dxfId="321" priority="120" operator="equal">
      <formula>12</formula>
    </cfRule>
    <cfRule type="cellIs" dxfId="320" priority="121" operator="equal">
      <formula>11</formula>
    </cfRule>
    <cfRule type="cellIs" dxfId="319" priority="122" operator="equal">
      <formula>10</formula>
    </cfRule>
    <cfRule type="cellIs" dxfId="318" priority="123" operator="equal">
      <formula>9</formula>
    </cfRule>
    <cfRule type="cellIs" dxfId="317" priority="124" operator="equal">
      <formula>8</formula>
    </cfRule>
    <cfRule type="cellIs" dxfId="316" priority="125" operator="equal">
      <formula>7</formula>
    </cfRule>
    <cfRule type="cellIs" dxfId="315" priority="126" operator="equal">
      <formula>6</formula>
    </cfRule>
    <cfRule type="cellIs" dxfId="314" priority="127" operator="equal">
      <formula>5</formula>
    </cfRule>
    <cfRule type="cellIs" dxfId="313" priority="128" operator="equal">
      <formula>4</formula>
    </cfRule>
    <cfRule type="cellIs" dxfId="312" priority="129" operator="equal">
      <formula>3</formula>
    </cfRule>
    <cfRule type="cellIs" dxfId="311" priority="130" operator="equal">
      <formula>2</formula>
    </cfRule>
    <cfRule type="cellIs" dxfId="310" priority="131" operator="equal">
      <formula>1</formula>
    </cfRule>
  </conditionalFormatting>
  <conditionalFormatting sqref="N112">
    <cfRule type="cellIs" dxfId="309" priority="84" operator="equal">
      <formula>16</formula>
    </cfRule>
    <cfRule type="cellIs" dxfId="308" priority="85" operator="equal">
      <formula>15</formula>
    </cfRule>
    <cfRule type="cellIs" dxfId="307" priority="86" operator="equal">
      <formula>14</formula>
    </cfRule>
    <cfRule type="cellIs" dxfId="306" priority="87" operator="equal">
      <formula>13</formula>
    </cfRule>
    <cfRule type="cellIs" dxfId="305" priority="88" operator="equal">
      <formula>12</formula>
    </cfRule>
    <cfRule type="cellIs" dxfId="304" priority="89" operator="equal">
      <formula>11</formula>
    </cfRule>
    <cfRule type="cellIs" dxfId="303" priority="90" operator="equal">
      <formula>10</formula>
    </cfRule>
    <cfRule type="cellIs" dxfId="302" priority="91" operator="equal">
      <formula>9</formula>
    </cfRule>
    <cfRule type="cellIs" dxfId="301" priority="92" operator="equal">
      <formula>8</formula>
    </cfRule>
    <cfRule type="cellIs" dxfId="300" priority="93" operator="equal">
      <formula>7</formula>
    </cfRule>
    <cfRule type="cellIs" dxfId="299" priority="94" operator="equal">
      <formula>6</formula>
    </cfRule>
    <cfRule type="cellIs" dxfId="298" priority="95" operator="equal">
      <formula>5</formula>
    </cfRule>
    <cfRule type="cellIs" dxfId="297" priority="96" operator="equal">
      <formula>4</formula>
    </cfRule>
    <cfRule type="cellIs" dxfId="296" priority="97" operator="equal">
      <formula>3</formula>
    </cfRule>
    <cfRule type="cellIs" dxfId="295" priority="98" operator="equal">
      <formula>2</formula>
    </cfRule>
    <cfRule type="cellIs" dxfId="294" priority="99" operator="equal">
      <formula>1</formula>
    </cfRule>
  </conditionalFormatting>
  <conditionalFormatting sqref="N91:N104">
    <cfRule type="cellIs" dxfId="293" priority="68" operator="equal">
      <formula>16</formula>
    </cfRule>
    <cfRule type="cellIs" dxfId="292" priority="69" operator="equal">
      <formula>15</formula>
    </cfRule>
    <cfRule type="cellIs" dxfId="291" priority="70" operator="equal">
      <formula>14</formula>
    </cfRule>
    <cfRule type="cellIs" dxfId="290" priority="71" operator="equal">
      <formula>13</formula>
    </cfRule>
    <cfRule type="cellIs" dxfId="289" priority="72" operator="equal">
      <formula>12</formula>
    </cfRule>
    <cfRule type="cellIs" dxfId="288" priority="73" operator="equal">
      <formula>11</formula>
    </cfRule>
    <cfRule type="cellIs" dxfId="287" priority="74" operator="equal">
      <formula>10</formula>
    </cfRule>
    <cfRule type="cellIs" dxfId="286" priority="75" operator="equal">
      <formula>9</formula>
    </cfRule>
    <cfRule type="cellIs" dxfId="285" priority="76" operator="equal">
      <formula>8</formula>
    </cfRule>
    <cfRule type="cellIs" dxfId="284" priority="77" operator="equal">
      <formula>7</formula>
    </cfRule>
    <cfRule type="cellIs" dxfId="283" priority="78" operator="equal">
      <formula>6</formula>
    </cfRule>
    <cfRule type="cellIs" dxfId="282" priority="79" operator="equal">
      <formula>5</formula>
    </cfRule>
    <cfRule type="cellIs" dxfId="281" priority="80" operator="equal">
      <formula>4</formula>
    </cfRule>
    <cfRule type="cellIs" dxfId="280" priority="81" operator="equal">
      <formula>3</formula>
    </cfRule>
    <cfRule type="cellIs" dxfId="279" priority="82" operator="equal">
      <formula>2</formula>
    </cfRule>
    <cfRule type="cellIs" dxfId="278" priority="83" operator="equal">
      <formula>1</formula>
    </cfRule>
  </conditionalFormatting>
  <conditionalFormatting sqref="N105:N111">
    <cfRule type="cellIs" dxfId="277" priority="52" operator="equal">
      <formula>16</formula>
    </cfRule>
    <cfRule type="cellIs" dxfId="276" priority="53" operator="equal">
      <formula>15</formula>
    </cfRule>
    <cfRule type="cellIs" dxfId="275" priority="54" operator="equal">
      <formula>14</formula>
    </cfRule>
    <cfRule type="cellIs" dxfId="274" priority="55" operator="equal">
      <formula>13</formula>
    </cfRule>
    <cfRule type="cellIs" dxfId="273" priority="56" operator="equal">
      <formula>12</formula>
    </cfRule>
    <cfRule type="cellIs" dxfId="272" priority="57" operator="equal">
      <formula>11</formula>
    </cfRule>
    <cfRule type="cellIs" dxfId="271" priority="58" operator="equal">
      <formula>10</formula>
    </cfRule>
    <cfRule type="cellIs" dxfId="270" priority="59" operator="equal">
      <formula>9</formula>
    </cfRule>
    <cfRule type="cellIs" dxfId="269" priority="60" operator="equal">
      <formula>8</formula>
    </cfRule>
    <cfRule type="cellIs" dxfId="268" priority="61" operator="equal">
      <formula>7</formula>
    </cfRule>
    <cfRule type="cellIs" dxfId="267" priority="62" operator="equal">
      <formula>6</formula>
    </cfRule>
    <cfRule type="cellIs" dxfId="266" priority="63" operator="equal">
      <formula>5</formula>
    </cfRule>
    <cfRule type="cellIs" dxfId="265" priority="64" operator="equal">
      <formula>4</formula>
    </cfRule>
    <cfRule type="cellIs" dxfId="264" priority="65" operator="equal">
      <formula>3</formula>
    </cfRule>
    <cfRule type="cellIs" dxfId="263" priority="66" operator="equal">
      <formula>2</formula>
    </cfRule>
    <cfRule type="cellIs" dxfId="262" priority="67" operator="equal">
      <formula>1</formula>
    </cfRule>
  </conditionalFormatting>
  <conditionalFormatting sqref="N6:N26">
    <cfRule type="cellIs" dxfId="261" priority="36" operator="equal">
      <formula>16</formula>
    </cfRule>
    <cfRule type="cellIs" dxfId="260" priority="37" operator="equal">
      <formula>15</formula>
    </cfRule>
    <cfRule type="cellIs" dxfId="259" priority="38" operator="equal">
      <formula>14</formula>
    </cfRule>
    <cfRule type="cellIs" dxfId="258" priority="39" operator="equal">
      <formula>13</formula>
    </cfRule>
    <cfRule type="cellIs" dxfId="257" priority="40" operator="equal">
      <formula>12</formula>
    </cfRule>
    <cfRule type="cellIs" dxfId="256" priority="41" operator="equal">
      <formula>11</formula>
    </cfRule>
    <cfRule type="cellIs" dxfId="255" priority="42" operator="equal">
      <formula>10</formula>
    </cfRule>
    <cfRule type="cellIs" dxfId="254" priority="43" operator="equal">
      <formula>9</formula>
    </cfRule>
    <cfRule type="cellIs" dxfId="253" priority="44" operator="equal">
      <formula>8</formula>
    </cfRule>
    <cfRule type="cellIs" dxfId="252" priority="45" operator="equal">
      <formula>7</formula>
    </cfRule>
    <cfRule type="cellIs" dxfId="251" priority="46" operator="equal">
      <formula>6</formula>
    </cfRule>
    <cfRule type="cellIs" dxfId="250" priority="47" operator="equal">
      <formula>5</formula>
    </cfRule>
    <cfRule type="cellIs" dxfId="249" priority="48" operator="equal">
      <formula>4</formula>
    </cfRule>
    <cfRule type="cellIs" dxfId="248" priority="49" operator="equal">
      <formula>3</formula>
    </cfRule>
    <cfRule type="cellIs" dxfId="247" priority="50" operator="equal">
      <formula>2</formula>
    </cfRule>
    <cfRule type="cellIs" dxfId="246" priority="51" operator="equal">
      <formula>1</formula>
    </cfRule>
  </conditionalFormatting>
  <conditionalFormatting sqref="R31:T31">
    <cfRule type="cellIs" dxfId="245" priority="35" operator="greaterThan">
      <formula>0</formula>
    </cfRule>
  </conditionalFormatting>
  <conditionalFormatting sqref="R32:T32">
    <cfRule type="cellIs" dxfId="244" priority="34" operator="greaterThan">
      <formula>0</formula>
    </cfRule>
  </conditionalFormatting>
  <conditionalFormatting sqref="R30:T30">
    <cfRule type="cellIs" dxfId="243" priority="33" operator="greaterThan">
      <formula>0</formula>
    </cfRule>
  </conditionalFormatting>
  <conditionalFormatting sqref="N37:N50">
    <cfRule type="cellIs" dxfId="63" priority="17" operator="equal">
      <formula>16</formula>
    </cfRule>
    <cfRule type="cellIs" dxfId="62" priority="18" operator="equal">
      <formula>15</formula>
    </cfRule>
    <cfRule type="cellIs" dxfId="61" priority="19" operator="equal">
      <formula>14</formula>
    </cfRule>
    <cfRule type="cellIs" dxfId="60" priority="20" operator="equal">
      <formula>13</formula>
    </cfRule>
    <cfRule type="cellIs" dxfId="59" priority="21" operator="equal">
      <formula>12</formula>
    </cfRule>
    <cfRule type="cellIs" dxfId="58" priority="22" operator="equal">
      <formula>11</formula>
    </cfRule>
    <cfRule type="cellIs" dxfId="57" priority="23" operator="equal">
      <formula>10</formula>
    </cfRule>
    <cfRule type="cellIs" dxfId="56" priority="24" operator="equal">
      <formula>9</formula>
    </cfRule>
    <cfRule type="cellIs" dxfId="55" priority="25" operator="equal">
      <formula>8</formula>
    </cfRule>
    <cfRule type="cellIs" dxfId="54" priority="26" operator="equal">
      <formula>7</formula>
    </cfRule>
    <cfRule type="cellIs" dxfId="53" priority="27" operator="equal">
      <formula>6</formula>
    </cfRule>
    <cfRule type="cellIs" dxfId="52" priority="28" operator="equal">
      <formula>5</formula>
    </cfRule>
    <cfRule type="cellIs" dxfId="51" priority="29" operator="equal">
      <formula>4</formula>
    </cfRule>
    <cfRule type="cellIs" dxfId="50" priority="30" operator="equal">
      <formula>3</formula>
    </cfRule>
    <cfRule type="cellIs" dxfId="49" priority="31" operator="equal">
      <formula>2</formula>
    </cfRule>
    <cfRule type="cellIs" dxfId="48" priority="32" operator="equal">
      <formula>1</formula>
    </cfRule>
  </conditionalFormatting>
  <conditionalFormatting sqref="N51:N52">
    <cfRule type="cellIs" dxfId="47" priority="1" operator="equal">
      <formula>16</formula>
    </cfRule>
    <cfRule type="cellIs" dxfId="46" priority="2" operator="equal">
      <formula>15</formula>
    </cfRule>
    <cfRule type="cellIs" dxfId="45" priority="3" operator="equal">
      <formula>14</formula>
    </cfRule>
    <cfRule type="cellIs" dxfId="44" priority="4" operator="equal">
      <formula>13</formula>
    </cfRule>
    <cfRule type="cellIs" dxfId="43" priority="5" operator="equal">
      <formula>12</formula>
    </cfRule>
    <cfRule type="cellIs" dxfId="42" priority="6" operator="equal">
      <formula>11</formula>
    </cfRule>
    <cfRule type="cellIs" dxfId="41" priority="7" operator="equal">
      <formula>10</formula>
    </cfRule>
    <cfRule type="cellIs" dxfId="40" priority="8" operator="equal">
      <formula>9</formula>
    </cfRule>
    <cfRule type="cellIs" dxfId="39" priority="9" operator="equal">
      <formula>8</formula>
    </cfRule>
    <cfRule type="cellIs" dxfId="38" priority="10" operator="equal">
      <formula>7</formula>
    </cfRule>
    <cfRule type="cellIs" dxfId="37" priority="11" operator="equal">
      <formula>6</formula>
    </cfRule>
    <cfRule type="cellIs" dxfId="36" priority="12" operator="equal">
      <formula>5</formula>
    </cfRule>
    <cfRule type="cellIs" dxfId="35" priority="13" operator="equal">
      <formula>4</formula>
    </cfRule>
    <cfRule type="cellIs" dxfId="34" priority="14" operator="equal">
      <formula>3</formula>
    </cfRule>
    <cfRule type="cellIs" dxfId="33" priority="15" operator="equal">
      <formula>2</formula>
    </cfRule>
    <cfRule type="cellIs" dxfId="3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24" activePane="bottomRight" state="frozen"/>
      <selection pane="topRight" activeCell="B1" sqref="B1"/>
      <selection pane="bottomLeft" activeCell="A3" sqref="A3"/>
      <selection pane="bottomRight" activeCell="R37" sqref="R37:T5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2" t="str">
        <f>Poor!Z2</f>
        <v>Q1</v>
      </c>
      <c r="AA2" s="253"/>
      <c r="AB2" s="252" t="str">
        <f>Poor!AB2</f>
        <v>Q2</v>
      </c>
      <c r="AC2" s="253"/>
      <c r="AD2" s="252" t="str">
        <f>Poor!AD2</f>
        <v>Q3</v>
      </c>
      <c r="AE2" s="253"/>
      <c r="AF2" s="252" t="str">
        <f>Poor!AF2</f>
        <v>Q4</v>
      </c>
      <c r="AG2" s="253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2609.8430257697223</v>
      </c>
      <c r="S7" s="220">
        <f>IF($B$81=0,0,(SUMIF($N$6:$N$28,$U7,L$6:L$28)+SUMIF($N$91:$N$118,$U7,L$91:L$118))*$I$83*Poor!$B$81/$B$81)</f>
        <v>691.02760809439474</v>
      </c>
      <c r="T7" s="220">
        <f>IF($B$81=0,0,(SUMIF($N$6:$N$28,$U7,M$6:M$28)+SUMIF($N$91:$N$118,$U7,M$91:M$118))*$I$83*Poor!$B$81/$B$81)</f>
        <v>926.40555153396406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2.9347211928502783E-2</v>
      </c>
      <c r="K8" s="22">
        <f t="shared" si="4"/>
        <v>5.9145719178082187E-2</v>
      </c>
      <c r="L8" s="22">
        <f t="shared" si="5"/>
        <v>1.7743715753424656E-2</v>
      </c>
      <c r="M8" s="222">
        <f t="shared" si="6"/>
        <v>2.9347211928502783E-2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14996.068386836114</v>
      </c>
      <c r="S8" s="220">
        <f>IF($B$81=0,0,(SUMIF($N$6:$N$28,$U8,L$6:L$28)+SUMIF($N$91:$N$118,$U8,L$91:L$118))*$I$83*Poor!$B$81/$B$81)</f>
        <v>3312.9599999999991</v>
      </c>
      <c r="T8" s="220">
        <f>IF($B$81=0,0,(SUMIF($N$6:$N$28,$U8,M$6:M$28)+SUMIF($N$91:$N$118,$U8,M$91:M$118))*$I$83*Poor!$B$81/$B$81)</f>
        <v>3241.7684285637906</v>
      </c>
      <c r="U8" s="221">
        <v>2</v>
      </c>
      <c r="V8" s="56"/>
      <c r="W8" s="115"/>
      <c r="X8" s="118">
        <f>Poor!X8</f>
        <v>1</v>
      </c>
      <c r="Y8" s="183">
        <f t="shared" si="9"/>
        <v>0.11738884771401113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0.11738884771401113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2.9347211928502783E-2</v>
      </c>
      <c r="AJ8" s="120">
        <f t="shared" si="14"/>
        <v>5.8694423857005566E-2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2">
        <f t="shared" si="6"/>
        <v>1.1047051681195517E-2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3037.7832928629437</v>
      </c>
      <c r="S9" s="220">
        <f>IF($B$81=0,0,(SUMIF($N$6:$N$28,$U9,L$6:L$28)+SUMIF($N$91:$N$118,$U9,L$91:L$118))*$I$83*Poor!$B$81/$B$81)</f>
        <v>670.6267001855233</v>
      </c>
      <c r="T9" s="220">
        <f>IF($B$81=0,0,(SUMIF($N$6:$N$28,$U9,M$6:M$28)+SUMIF($N$91:$N$118,$U9,M$91:M$118))*$I$83*Poor!$B$81/$B$81)</f>
        <v>670.6267001855233</v>
      </c>
      <c r="U9" s="221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7.3041003585324425E-3</v>
      </c>
      <c r="K10" s="22">
        <f t="shared" si="4"/>
        <v>3.3942799501867994E-2</v>
      </c>
      <c r="L10" s="22">
        <f t="shared" si="5"/>
        <v>6.788559900373599E-3</v>
      </c>
      <c r="M10" s="222">
        <f t="shared" si="6"/>
        <v>7.3041003585324425E-3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2.921640143412977E-2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2.921640143412977E-2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7.3041003585324425E-3</v>
      </c>
      <c r="AJ10" s="120">
        <f t="shared" si="14"/>
        <v>1.4608200717064885E-2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48955.466474170928</v>
      </c>
      <c r="S11" s="220">
        <f>IF($B$81=0,0,(SUMIF($N$6:$N$28,$U11,L$6:L$28)+SUMIF($N$91:$N$118,$U11,L$91:L$118))*$I$83*Poor!$B$81/$B$81)</f>
        <v>19322.499999999996</v>
      </c>
      <c r="T11" s="220">
        <f>IF($B$81=0,0,(SUMIF($N$6:$N$28,$U11,M$6:M$28)+SUMIF($N$91:$N$118,$U11,M$91:M$118))*$I$83*Poor!$B$81/$B$81)</f>
        <v>19386.805045970756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0</v>
      </c>
      <c r="S13" s="220">
        <f>IF($B$81=0,0,(SUMIF($N$6:$N$28,$U13,L$6:L$28)+SUMIF($N$91:$N$118,$U13,L$91:L$118))*$I$83*Poor!$B$81/$B$81)</f>
        <v>0</v>
      </c>
      <c r="T13" s="220">
        <f>IF($B$81=0,0,(SUMIF($N$6:$N$28,$U13,M$6:M$28)+SUMIF($N$91:$N$118,$U13,M$91:M$118))*$I$83*Poor!$B$81/$B$81)</f>
        <v>0</v>
      </c>
      <c r="U13" s="221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113008.64932663579</v>
      </c>
      <c r="S14" s="220">
        <f>IF($B$81=0,0,(SUMIF($N$6:$N$28,$U14,L$6:L$28)+SUMIF($N$91:$N$118,$U14,L$91:L$118))*$I$83*Poor!$B$81/$B$81)</f>
        <v>35683.199999999997</v>
      </c>
      <c r="T14" s="220">
        <f>IF($B$81=0,0,(SUMIF($N$6:$N$28,$U14,M$6:M$28)+SUMIF($N$91:$N$118,$U14,M$91:M$118))*$I$83*Poor!$B$81/$B$81)</f>
        <v>35683.199999999997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2">
        <f t="shared" si="6"/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93725.427417725718</v>
      </c>
      <c r="S17" s="220">
        <f>IF($B$81=0,0,(SUMIF($N$6:$N$28,$U17,L$6:L$28)+SUMIF($N$91:$N$118,$U17,L$91:L$118))*$I$83*Poor!$B$81/$B$81)</f>
        <v>59188.800000000003</v>
      </c>
      <c r="T17" s="220">
        <f>IF($B$81=0,0,(SUMIF($N$6:$N$28,$U17,M$6:M$28)+SUMIF($N$91:$N$118,$U17,M$91:M$118))*$I$83*Poor!$B$81/$B$81)</f>
        <v>59188.800000000003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3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3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11390.554336891068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38925.201434730108</v>
      </c>
      <c r="S21" s="220">
        <f>IF($B$81=0,0,(SUMIF($N$6:$N$28,$U21,L$6:L$28)+SUMIF($N$91:$N$118,$U21,L$91:L$118))*$I$83*Poor!$B$81/$B$81)</f>
        <v>27030.000000000004</v>
      </c>
      <c r="T21" s="220">
        <f>IF($B$81=0,0,(SUMIF($N$6:$N$28,$U21,M$6:M$28)+SUMIF($N$91:$N$118,$U21,M$91:M$118))*$I$83*Poor!$B$81/$B$81)</f>
        <v>27030.000000000004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145899.11430827991</v>
      </c>
      <c r="T23" s="179">
        <f>SUM(T7:T22)</f>
        <v>146127.60572625403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3.1696311993687012E-2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3.1696311993687012E-2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0.12678524797474805</v>
      </c>
      <c r="Z27" s="156">
        <f>Poor!Z27</f>
        <v>0.25</v>
      </c>
      <c r="AA27" s="121">
        <f t="shared" si="16"/>
        <v>3.1696311993687012E-2</v>
      </c>
      <c r="AB27" s="156">
        <f>Poor!AB27</f>
        <v>0.25</v>
      </c>
      <c r="AC27" s="121">
        <f t="shared" si="7"/>
        <v>3.1696311993687012E-2</v>
      </c>
      <c r="AD27" s="156">
        <f>Poor!AD27</f>
        <v>0.25</v>
      </c>
      <c r="AE27" s="121">
        <f t="shared" si="8"/>
        <v>3.1696311993687012E-2</v>
      </c>
      <c r="AF27" s="122">
        <f t="shared" si="10"/>
        <v>0.25</v>
      </c>
      <c r="AG27" s="121">
        <f t="shared" si="11"/>
        <v>3.1696311993687012E-2</v>
      </c>
      <c r="AH27" s="123">
        <f t="shared" si="12"/>
        <v>1</v>
      </c>
      <c r="AI27" s="183">
        <f t="shared" si="13"/>
        <v>3.1696311993687012E-2</v>
      </c>
      <c r="AJ27" s="120">
        <f t="shared" si="14"/>
        <v>3.1696311993687012E-2</v>
      </c>
      <c r="AK27" s="119">
        <f t="shared" si="15"/>
        <v>3.1696311993687012E-2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0.45692334005169682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0.45692334005169682</v>
      </c>
      <c r="N29" s="227"/>
      <c r="P29" s="22"/>
      <c r="V29" s="56"/>
      <c r="W29" s="110"/>
      <c r="X29" s="118"/>
      <c r="Y29" s="183">
        <f t="shared" si="9"/>
        <v>1.8276933602067873</v>
      </c>
      <c r="Z29" s="156">
        <f>Poor!Z29</f>
        <v>0.25</v>
      </c>
      <c r="AA29" s="121">
        <f t="shared" si="16"/>
        <v>0.45692334005169682</v>
      </c>
      <c r="AB29" s="156">
        <f>Poor!AB29</f>
        <v>0.25</v>
      </c>
      <c r="AC29" s="121">
        <f t="shared" si="7"/>
        <v>0.45692334005169682</v>
      </c>
      <c r="AD29" s="156">
        <f>Poor!AD29</f>
        <v>0.25</v>
      </c>
      <c r="AE29" s="121">
        <f t="shared" si="8"/>
        <v>0.45692334005169682</v>
      </c>
      <c r="AF29" s="122">
        <f t="shared" si="10"/>
        <v>0.25</v>
      </c>
      <c r="AG29" s="121">
        <f t="shared" si="11"/>
        <v>0.45692334005169682</v>
      </c>
      <c r="AH29" s="123">
        <f t="shared" si="12"/>
        <v>1</v>
      </c>
      <c r="AI29" s="183">
        <f t="shared" si="13"/>
        <v>0.45692334005169682</v>
      </c>
      <c r="AJ29" s="120">
        <f t="shared" si="14"/>
        <v>0.45692334005169682</v>
      </c>
      <c r="AK29" s="119">
        <f t="shared" si="15"/>
        <v>0.45692334005169682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6.3571346937635891</v>
      </c>
      <c r="J30" s="229">
        <f>IF(I$32&lt;=1,I30,1-SUM(J6:J29))</f>
        <v>0.42915304967754353</v>
      </c>
      <c r="K30" s="22">
        <f t="shared" si="4"/>
        <v>0.5065454465753424</v>
      </c>
      <c r="L30" s="22">
        <f>IF(L124=L119,0,IF(K30="",0,(L119-L124)/(B119-B124)*K30))</f>
        <v>0.18995027701023287</v>
      </c>
      <c r="M30" s="175">
        <f t="shared" si="6"/>
        <v>0.42915304967754353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1.7166121987101741</v>
      </c>
      <c r="Z30" s="122">
        <f>IF($Y30=0,0,AA30/($Y$30))</f>
        <v>0.18006256867570303</v>
      </c>
      <c r="AA30" s="187">
        <f>IF(AA79*4/$I$83+SUM(AA6:AA29)&lt;1,AA79*4/$I$83,1-SUM(AA6:AA29))</f>
        <v>0.30909760191980029</v>
      </c>
      <c r="AB30" s="122">
        <f>IF($Y30=0,0,AC30/($Y$30))</f>
        <v>0.29120791415109992</v>
      </c>
      <c r="AC30" s="187">
        <f>IF(AC79*4/$I$83+SUM(AC6:AC29)&lt;1,AC79*4/$I$83,1-SUM(AC6:AC29))</f>
        <v>0.49989105779272325</v>
      </c>
      <c r="AD30" s="122">
        <f>IF($Y30=0,0,AE30/($Y$30))</f>
        <v>0.2849086174478262</v>
      </c>
      <c r="AE30" s="187">
        <f>IF(AE79*4/$I$83+SUM(AE6:AE29)&lt;1,AE79*4/$I$83,1-SUM(AE6:AE29))</f>
        <v>0.48907760822858881</v>
      </c>
      <c r="AF30" s="122">
        <f>IF($Y30=0,0,AG30/($Y$30))</f>
        <v>0.24382089972537099</v>
      </c>
      <c r="AG30" s="187">
        <f>IF(AG79*4/$I$83+SUM(AG6:AG29)&lt;1,AG79*4/$I$83,1-SUM(AG6:AG29))</f>
        <v>0.41854593076906199</v>
      </c>
      <c r="AH30" s="123">
        <f t="shared" si="12"/>
        <v>1.0000000000000002</v>
      </c>
      <c r="AI30" s="183">
        <f t="shared" si="13"/>
        <v>0.42915304967754359</v>
      </c>
      <c r="AJ30" s="120">
        <f t="shared" si="14"/>
        <v>0.40449432985626177</v>
      </c>
      <c r="AK30" s="119">
        <f t="shared" si="15"/>
        <v>0.4538117694988254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0.23928842741068879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6.9298606990256362</v>
      </c>
      <c r="J32" s="17"/>
      <c r="L32" s="22">
        <f>SUM(L6:L30)</f>
        <v>0.76071157258931121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4.359664133610637E-2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64">
        <v>5</v>
      </c>
      <c r="O37" s="2"/>
      <c r="P37" s="2"/>
      <c r="Q37" s="59" t="s">
        <v>71</v>
      </c>
      <c r="R37" s="220">
        <f>IF($B$81=0,0,(SUMIF($N$6:$N$28,$U7,K$6:K$28)*$B$83+SUMIF($N$37:$N$64,$U7,B$37:B$64))*Poor!$B$81/$B$81)</f>
        <v>1745.9206346047977</v>
      </c>
      <c r="S37" s="220">
        <f>IF($B$81=0,0,(SUMIF($N$6:$N$28,$U7,L$6:L$28)+SUMIF($N$91:$N$118,$U7,L$91:L$118))*$I$83*Poor!$B$81/$B$81)</f>
        <v>691.02760809439474</v>
      </c>
      <c r="T37" s="220">
        <f>IF($B$81=0,0,(SUMIF($N$6:$N$28,$U7,M$6:M$28)+SUMIF($N$91:$N$118,$U7,M$91:M$118))*$I$83*Poor!$B$81/$B$81)</f>
        <v>926.40555153396406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4784.3050459707565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2.2279316789313486E-2</v>
      </c>
      <c r="N38" s="264">
        <v>5</v>
      </c>
      <c r="O38" s="2"/>
      <c r="P38" s="2"/>
      <c r="Q38" s="59" t="s">
        <v>72</v>
      </c>
      <c r="R38" s="220">
        <f>IF($B$81=0,0,(SUMIF($N$6:$N$28,$U8,K$6:K$28)*$B$83+SUMIF($N$37:$N$64,$U8,B$37:B$64))*Poor!$B$81/$B$81)</f>
        <v>10032</v>
      </c>
      <c r="S38" s="220">
        <f>IF($B$81=0,0,(SUMIF($N$6:$N$28,$U8,L$6:L$28)+SUMIF($N$91:$N$118,$U8,L$91:L$118))*$I$83*Poor!$B$81/$B$81)</f>
        <v>3312.9599999999991</v>
      </c>
      <c r="T38" s="220">
        <f>IF($B$81=0,0,(SUMIF($N$6:$N$28,$U8,M$6:M$28)+SUMIF($N$91:$N$118,$U8,M$91:M$118))*$I$83*Poor!$B$81/$B$81)</f>
        <v>3241.7684285637906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4784.3050459707565</v>
      </c>
      <c r="AH38" s="123">
        <f t="shared" ref="AH38:AI58" si="35">SUM(Z38,AB38,AD38,AF38)</f>
        <v>1</v>
      </c>
      <c r="AI38" s="112">
        <f t="shared" si="35"/>
        <v>4784.3050459707565</v>
      </c>
      <c r="AJ38" s="148">
        <f t="shared" ref="AJ38:AJ64" si="36">(AA38+AC38)</f>
        <v>0</v>
      </c>
      <c r="AK38" s="147">
        <f t="shared" ref="AK38:AK64" si="37">(AE38+AG38)</f>
        <v>4784.3050459707565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64">
        <v>5</v>
      </c>
      <c r="O39" s="2"/>
      <c r="P39" s="2"/>
      <c r="Q39" s="59" t="s">
        <v>73</v>
      </c>
      <c r="R39" s="220">
        <f>IF($B$81=0,0,(SUMIF($N$6:$N$28,$U9,K$6:K$28)*$B$83+SUMIF($N$37:$N$64,$U9,B$37:B$64))*Poor!$B$81/$B$81)</f>
        <v>2032.2021217743129</v>
      </c>
      <c r="S39" s="220">
        <f>IF($B$81=0,0,(SUMIF($N$6:$N$28,$U9,L$6:L$28)+SUMIF($N$91:$N$118,$U9,L$91:L$118))*$I$83*Poor!$B$81/$B$81)</f>
        <v>670.6267001855233</v>
      </c>
      <c r="T39" s="220">
        <f>IF($B$81=0,0,(SUMIF($N$6:$N$28,$U9,M$6:M$28)+SUMIF($N$91:$N$118,$U9,M$91:M$118))*$I$83*Poor!$B$81/$B$81)</f>
        <v>670.6267001855233</v>
      </c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64">
        <v>5</v>
      </c>
      <c r="O40" s="2"/>
      <c r="P40" s="2"/>
      <c r="Q40" s="59" t="s">
        <v>74</v>
      </c>
      <c r="R40" s="220">
        <f>IF($B$81=0,0,(SUMIF($N$6:$N$28,$U10,K$6:K$28)*$B$83+SUMIF($N$37:$N$64,$U10,B$37:B$64))*Poor!$B$81/$B$81)</f>
        <v>0</v>
      </c>
      <c r="S40" s="220">
        <f>IF($B$81=0,0,(SUMIF($N$6:$N$28,$U10,L$6:L$28)+SUMIF($N$91:$N$118,$U10,L$91:L$118))*$I$83*Poor!$B$81/$B$81)</f>
        <v>0</v>
      </c>
      <c r="T40" s="220">
        <f>IF($B$81=0,0,(SUMIF($N$6:$N$28,$U10,M$6:M$28)+SUMIF($N$91:$N$118,$U10,M$91:M$118))*$I$83*Poor!$B$81/$B$81)</f>
        <v>0</v>
      </c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1446.0818782998072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6.7340430763418758E-3</v>
      </c>
      <c r="N41" s="264">
        <v>2</v>
      </c>
      <c r="O41" s="2"/>
      <c r="P41" s="2"/>
      <c r="Q41" s="59" t="s">
        <v>75</v>
      </c>
      <c r="R41" s="220">
        <f>IF($B$81=0,0,(SUMIF($N$6:$N$28,$U11,K$6:K$28)*$B$83+SUMIF($N$37:$N$64,$U11,B$37:B$64))*Poor!$B$81/$B$81)</f>
        <v>32750</v>
      </c>
      <c r="S41" s="220">
        <f>IF($B$81=0,0,(SUMIF($N$6:$N$28,$U11,L$6:L$28)+SUMIF($N$91:$N$118,$U11,L$91:L$118))*$I$83*Poor!$B$81/$B$81)</f>
        <v>19322.499999999996</v>
      </c>
      <c r="T41" s="220">
        <f>IF($B$81=0,0,(SUMIF($N$6:$N$28,$U11,M$6:M$28)+SUMIF($N$91:$N$118,$U11,M$91:M$118))*$I$83*Poor!$B$81/$B$81)</f>
        <v>19386.805045970756</v>
      </c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1446.0818782998072</v>
      </c>
      <c r="AH41" s="123">
        <f t="shared" si="35"/>
        <v>1</v>
      </c>
      <c r="AI41" s="112">
        <f t="shared" si="35"/>
        <v>1446.0818782998072</v>
      </c>
      <c r="AJ41" s="148">
        <f t="shared" si="36"/>
        <v>0</v>
      </c>
      <c r="AK41" s="147">
        <f t="shared" si="37"/>
        <v>1446.0818782998072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64">
        <v>2</v>
      </c>
      <c r="O42" s="2"/>
      <c r="P42" s="2"/>
      <c r="Q42" s="126" t="s">
        <v>124</v>
      </c>
      <c r="R42" s="220">
        <f>IF($B$81=0,0,(SUMIF($N$6:$N$28,$U12,K$6:K$28)*$B$83+SUMIF($N$37:$N$64,$U12,B$37:B$64))*Poor!$B$81/$B$81)</f>
        <v>0</v>
      </c>
      <c r="S42" s="220">
        <f>IF($B$81=0,0,(SUMIF($N$6:$N$28,$U12,L$6:L$28)+SUMIF($N$91:$N$118,$U12,L$91:L$118))*$I$83*Poor!$B$81/$B$81)</f>
        <v>0</v>
      </c>
      <c r="T42" s="220">
        <f>IF($B$81=0,0,(SUMIF($N$6:$N$28,$U12,M$6:M$28)+SUMIF($N$91:$N$118,$U12,M$91:M$118))*$I$83*Poor!$B$81/$B$81)</f>
        <v>0</v>
      </c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115.68655026398454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5.3872344610734991E-4</v>
      </c>
      <c r="N43" s="264">
        <v>2</v>
      </c>
      <c r="O43" s="2"/>
      <c r="P43" s="2"/>
      <c r="Q43" s="59" t="s">
        <v>76</v>
      </c>
      <c r="R43" s="220">
        <f>IF($B$81=0,0,(SUMIF($N$6:$N$28,$U13,K$6:K$28)*$B$83+SUMIF($N$37:$N$64,$U13,B$37:B$64))*Poor!$B$81/$B$81)</f>
        <v>0</v>
      </c>
      <c r="S43" s="220">
        <f>IF($B$81=0,0,(SUMIF($N$6:$N$28,$U13,L$6:L$28)+SUMIF($N$91:$N$118,$U13,L$91:L$118))*$I$83*Poor!$B$81/$B$81)</f>
        <v>0</v>
      </c>
      <c r="T43" s="220">
        <f>IF($B$81=0,0,(SUMIF($N$6:$N$28,$U13,M$6:M$28)+SUMIF($N$91:$N$118,$U13,M$91:M$118))*$I$83*Poor!$B$81/$B$81)</f>
        <v>0</v>
      </c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28.921637565996136</v>
      </c>
      <c r="AB43" s="156">
        <f>Poor!AB43</f>
        <v>0.25</v>
      </c>
      <c r="AC43" s="147">
        <f t="shared" si="39"/>
        <v>28.921637565996136</v>
      </c>
      <c r="AD43" s="156">
        <f>Poor!AD43</f>
        <v>0.25</v>
      </c>
      <c r="AE43" s="147">
        <f t="shared" si="40"/>
        <v>28.921637565996136</v>
      </c>
      <c r="AF43" s="122">
        <f t="shared" si="31"/>
        <v>0.25</v>
      </c>
      <c r="AG43" s="147">
        <f t="shared" si="34"/>
        <v>28.921637565996136</v>
      </c>
      <c r="AH43" s="123">
        <f t="shared" si="35"/>
        <v>1</v>
      </c>
      <c r="AI43" s="112">
        <f t="shared" si="35"/>
        <v>115.68655026398454</v>
      </c>
      <c r="AJ43" s="148">
        <f t="shared" si="36"/>
        <v>57.843275131992272</v>
      </c>
      <c r="AK43" s="147">
        <f t="shared" si="37"/>
        <v>57.843275131992272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64">
        <v>7</v>
      </c>
      <c r="O44" s="2"/>
      <c r="P44" s="2"/>
      <c r="Q44" s="126" t="s">
        <v>77</v>
      </c>
      <c r="R44" s="220">
        <f>IF($B$81=0,0,(SUMIF($N$6:$N$28,$U14,K$6:K$28)*$B$83+SUMIF($N$37:$N$64,$U14,B$37:B$64))*Poor!$B$81/$B$81)</f>
        <v>75600</v>
      </c>
      <c r="S44" s="220">
        <f>IF($B$81=0,0,(SUMIF($N$6:$N$28,$U14,L$6:L$28)+SUMIF($N$91:$N$118,$U14,L$91:L$118))*$I$83*Poor!$B$81/$B$81)</f>
        <v>35683.199999999997</v>
      </c>
      <c r="T44" s="220">
        <f>IF($B$81=0,0,(SUMIF($N$6:$N$28,$U14,M$6:M$28)+SUMIF($N$91:$N$118,$U14,M$91:M$118))*$I$83*Poor!$B$81/$B$81)</f>
        <v>35683.199999999997</v>
      </c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64">
        <v>7</v>
      </c>
      <c r="O45" s="2"/>
      <c r="P45" s="2"/>
      <c r="Q45" s="59" t="s">
        <v>127</v>
      </c>
      <c r="R45" s="220">
        <f>IF($B$81=0,0,(SUMIF($N$6:$N$28,$U15,K$6:K$28)*$B$83+SUMIF($N$37:$N$64,$U15,B$37:B$64))*Poor!$B$81/$B$81)</f>
        <v>0</v>
      </c>
      <c r="S45" s="220">
        <f>IF($B$81=0,0,(SUMIF($N$6:$N$28,$U15,L$6:L$28)+SUMIF($N$91:$N$118,$U15,L$91:L$118))*$I$83*Poor!$B$81/$B$81)</f>
        <v>0</v>
      </c>
      <c r="T45" s="220">
        <f>IF($B$81=0,0,(SUMIF($N$6:$N$28,$U15,M$6:M$28)+SUMIF($N$91:$N$118,$U15,M$91:M$118))*$I$83*Poor!$B$81/$B$81)</f>
        <v>0</v>
      </c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64">
        <v>7</v>
      </c>
      <c r="O46" s="2"/>
      <c r="P46" s="2"/>
      <c r="Q46" s="126" t="s">
        <v>78</v>
      </c>
      <c r="R46" s="220">
        <f>IF($B$81=0,0,(SUMIF($N$6:$N$28,$U16,K$6:K$28)*$B$83+SUMIF($N$37:$N$64,$U16,B$37:B$64))*Poor!$B$81/$B$81)</f>
        <v>0</v>
      </c>
      <c r="S46" s="220">
        <f>IF($B$81=0,0,(SUMIF($N$6:$N$28,$U16,L$6:L$28)+SUMIF($N$91:$N$118,$U16,L$91:L$118))*$I$83*Poor!$B$81/$B$81)</f>
        <v>0</v>
      </c>
      <c r="T46" s="220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64">
        <v>8</v>
      </c>
      <c r="O47" s="2"/>
      <c r="P47" s="2"/>
      <c r="Q47" s="126" t="s">
        <v>125</v>
      </c>
      <c r="R47" s="220">
        <f>IF($B$81=0,0,(SUMIF($N$6:$N$28,$U17,K$6:K$28)*$B$83+SUMIF($N$37:$N$64,$U17,B$37:B$64))*Poor!$B$81/$B$81)</f>
        <v>62700</v>
      </c>
      <c r="S47" s="220">
        <f>IF($B$81=0,0,(SUMIF($N$6:$N$28,$U17,L$6:L$28)+SUMIF($N$91:$N$118,$U17,L$91:L$118))*$I$83*Poor!$B$81/$B$81)</f>
        <v>59188.800000000003</v>
      </c>
      <c r="T47" s="220">
        <f>IF($B$81=0,0,(SUMIF($N$6:$N$28,$U17,M$6:M$28)+SUMIF($N$91:$N$118,$U17,M$91:M$118))*$I$83*Poor!$B$81/$B$81)</f>
        <v>59188.800000000003</v>
      </c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64">
        <v>11</v>
      </c>
      <c r="O48" s="2"/>
      <c r="P48" s="2"/>
      <c r="Q48" s="59" t="s">
        <v>79</v>
      </c>
      <c r="R48" s="220">
        <f>IF($B$81=0,0,(SUMIF($N$6:$N$28,$U18,K$6:K$28)*$B$83+SUMIF($N$37:$N$64,$U18,B$37:B$64))*Poor!$B$81/$B$81)</f>
        <v>0</v>
      </c>
      <c r="S48" s="220">
        <f>IF($B$81=0,0,(SUMIF($N$6:$N$28,$U18,L$6:L$28)+SUMIF($N$91:$N$118,$U18,L$91:L$118))*$I$83*Poor!$B$81/$B$81)</f>
        <v>0</v>
      </c>
      <c r="T48" s="220">
        <f>IF($B$81=0,0,(SUMIF($N$6:$N$28,$U18,M$6:M$28)+SUMIF($N$91:$N$118,$U18,M$91:M$118))*$I$83*Poor!$B$81/$B$81)</f>
        <v>0</v>
      </c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0</v>
      </c>
      <c r="F49" s="75">
        <f>Middle!F49</f>
        <v>1.18</v>
      </c>
      <c r="G49" s="22">
        <f t="shared" si="32"/>
        <v>1.65</v>
      </c>
      <c r="H49" s="24">
        <f t="shared" si="26"/>
        <v>0</v>
      </c>
      <c r="I49" s="39">
        <f t="shared" si="27"/>
        <v>0</v>
      </c>
      <c r="J49" s="38">
        <f t="shared" si="33"/>
        <v>0</v>
      </c>
      <c r="K49" s="40">
        <f t="shared" si="28"/>
        <v>3.5484441795270605E-2</v>
      </c>
      <c r="L49" s="22">
        <f t="shared" si="29"/>
        <v>0</v>
      </c>
      <c r="M49" s="24">
        <f t="shared" si="30"/>
        <v>0</v>
      </c>
      <c r="N49" s="264">
        <v>14</v>
      </c>
      <c r="O49" s="2"/>
      <c r="P49" s="2"/>
      <c r="Q49" s="59" t="s">
        <v>80</v>
      </c>
      <c r="R49" s="220">
        <f>IF($B$81=0,0,(SUMIF($N$6:$N$28,$U19,K$6:K$28)*$B$83+SUMIF($N$37:$N$64,$U19,B$37:B$64))*Poor!$B$81/$B$81)</f>
        <v>0</v>
      </c>
      <c r="S49" s="220">
        <f>IF($B$81=0,0,(SUMIF($N$6:$N$28,$U19,L$6:L$28)+SUMIF($N$91:$N$118,$U19,L$91:L$118))*$I$83*Poor!$B$81/$B$81)</f>
        <v>0</v>
      </c>
      <c r="T49" s="220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64">
        <v>9</v>
      </c>
      <c r="O50" s="2"/>
      <c r="P50" s="2"/>
      <c r="Q50" s="59" t="s">
        <v>81</v>
      </c>
      <c r="R50" s="220">
        <f>IF($B$81=0,0,(SUMIF($N$6:$N$28,$U20,K$6:K$28)*$B$83+SUMIF($N$37:$N$64,$U20,B$37:B$64))*Poor!$B$81/$B$81)</f>
        <v>7620</v>
      </c>
      <c r="S50" s="220">
        <f>IF($B$81=0,0,(SUMIF($N$6:$N$28,$U20,L$6:L$28)+SUMIF($N$91:$N$118,$U20,L$91:L$118))*$I$83*Poor!$B$81/$B$81)</f>
        <v>0</v>
      </c>
      <c r="T50" s="220">
        <f>IF($B$81=0,0,(SUMIF($N$6:$N$28,$U20,M$6:M$28)+SUMIF($N$91:$N$118,$U20,M$91:M$118))*$I$83*Poor!$B$81/$B$81)</f>
        <v>0</v>
      </c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64">
        <v>15</v>
      </c>
      <c r="O51" s="2"/>
      <c r="P51" s="2"/>
      <c r="Q51" s="59" t="s">
        <v>82</v>
      </c>
      <c r="R51" s="220">
        <f>IF($B$81=0,0,(SUMIF($N$6:$N$28,$U21,K$6:K$28)*$B$83+SUMIF($N$37:$N$64,$U21,B$37:B$64))*Poor!$B$81/$B$81)</f>
        <v>26040</v>
      </c>
      <c r="S51" s="220">
        <f>IF($B$81=0,0,(SUMIF($N$6:$N$28,$U21,L$6:L$28)+SUMIF($N$91:$N$118,$U21,L$91:L$118))*$I$83*Poor!$B$81/$B$81)</f>
        <v>27030.000000000004</v>
      </c>
      <c r="T51" s="220">
        <f>IF($B$81=0,0,(SUMIF($N$6:$N$28,$U21,M$6:M$28)+SUMIF($N$91:$N$118,$U21,M$91:M$118))*$I$83*Poor!$B$81/$B$81)</f>
        <v>27030.000000000004</v>
      </c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64">
        <v>15</v>
      </c>
      <c r="O52" s="2"/>
      <c r="P52" s="2"/>
      <c r="Q52" s="59" t="s">
        <v>83</v>
      </c>
      <c r="R52" s="220">
        <f>IF($B$81=0,0,(SUMIF($N$6:$N$28,$U22,K$6:K$28)*$B$83+SUMIF($N$37:$N$64,$U22,B$37:B$64))*Poor!$B$81/$B$81)</f>
        <v>0</v>
      </c>
      <c r="S52" s="220">
        <f>IF($B$81=0,0,(SUMIF($N$6:$N$28,$U22,L$6:L$28)+SUMIF($N$91:$N$118,$U22,L$91:L$118))*$I$83*Poor!$B$81/$B$81)</f>
        <v>0</v>
      </c>
      <c r="T52" s="220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171" t="s">
        <v>100</v>
      </c>
      <c r="R53" s="179">
        <f>SUM(R37:R52)</f>
        <v>218520.1227563791</v>
      </c>
      <c r="S53" s="179">
        <f>SUM(S37:S52)</f>
        <v>145899.11430827991</v>
      </c>
      <c r="T53" s="179">
        <f>SUM(T37:T52)</f>
        <v>146127.60572625403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9" t="s">
        <v>137</v>
      </c>
      <c r="R54" s="41">
        <f>IF($B$81=0,0,(SUM(($B$70))+((1-$D$29)*$B$83))*Poor!$B$81/$B$81)</f>
        <v>24062.646384067208</v>
      </c>
      <c r="S54" s="41">
        <f>IF($B$81=0,0,(SUM(($B$70*$H$70))+((1-$D$29)*$I$83))*Poor!$B$81/$B$81)</f>
        <v>35969.406972062061</v>
      </c>
      <c r="T54" s="41">
        <f>IF($B$81=0,0,(SUM(($B$70*$H$70))+((1-$D$29)*$I$83))*Poor!$B$81/$B$81)</f>
        <v>35969.406972062061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142" t="s">
        <v>138</v>
      </c>
      <c r="R55" s="41">
        <f>IF($B$81=0,0,(SUM(($B$70),($B$71*$H$71))+((1-$D$29)*$B$83))*Poor!$B$81/$B$81)</f>
        <v>42445.473050733883</v>
      </c>
      <c r="S55" s="41">
        <f>IF($B$81=0,0,(SUM(($B$70*$H$70),($B$71*$H$71))+((1-$D$29)*$I$83))*Poor!$B$81/$B$81)</f>
        <v>54352.233638728729</v>
      </c>
      <c r="T55" s="41">
        <f>IF($B$81=0,0,(SUM(($B$70*$H$70),($B$71*$H$71))+((1-$D$29)*$I$83))*Poor!$B$81/$B$81)</f>
        <v>54352.233638728729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9" t="s">
        <v>139</v>
      </c>
      <c r="R56" s="41">
        <f>IF($B$81=0,0,(SUM(($B$70),($B$71*$H$71),($B$72*$H$72))+((1-$D$29)*$B$83))*Poor!$B$81/$B$81)</f>
        <v>75183.393050733881</v>
      </c>
      <c r="S56" s="41">
        <f>IF($B$81=0,0,(SUM(($B$70*$H$70),($B$71*$H$71),($B$72*$H$72))+((1-$D$29)*$I$83))*Poor!$B$81/$B$81)</f>
        <v>87090.15363872872</v>
      </c>
      <c r="T56" s="41">
        <f>IF($B$81=0,0,(SUM(($B$70*$H$70),($B$71*$H$71),($B$72*$H$72))+((1-$D$29)*$I$83))*Poor!$B$81/$B$81)</f>
        <v>87090.15363872872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144379.5</v>
      </c>
      <c r="J65" s="39">
        <f>SUM(J37:J64)</f>
        <v>144530.57347453455</v>
      </c>
      <c r="K65" s="40">
        <f>SUM(K37:K64)</f>
        <v>1.0000000000000002</v>
      </c>
      <c r="L65" s="22">
        <f>SUM(L37:L64)</f>
        <v>0.67307494574885207</v>
      </c>
      <c r="M65" s="24">
        <f>SUM(M37:M64)</f>
        <v>0.67304287691524967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32340.421637565996</v>
      </c>
      <c r="AB65" s="137"/>
      <c r="AC65" s="153">
        <f>SUM(AC37:AC64)</f>
        <v>30504.421637565996</v>
      </c>
      <c r="AD65" s="137"/>
      <c r="AE65" s="153">
        <f>SUM(AE37:AE64)</f>
        <v>31344.421637565996</v>
      </c>
      <c r="AF65" s="137"/>
      <c r="AG65" s="153">
        <f>SUM(AG37:AG64)</f>
        <v>50341.308561836559</v>
      </c>
      <c r="AH65" s="137"/>
      <c r="AI65" s="153">
        <f>SUM(AI37:AI64)</f>
        <v>144530.57347453455</v>
      </c>
      <c r="AJ65" s="153">
        <f>SUM(AJ37:AJ64)</f>
        <v>62844.843275131992</v>
      </c>
      <c r="AK65" s="153">
        <f>SUM(AK37:AK64)</f>
        <v>81685.730199402547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123469.32645476655</v>
      </c>
      <c r="J74" s="51">
        <f>J128*I$83</f>
        <v>8335.0818477507273</v>
      </c>
      <c r="K74" s="40">
        <f>B74/B$76</f>
        <v>2.7766116637823381E-2</v>
      </c>
      <c r="L74" s="22">
        <f>(L128*G$37*F$9/F$7)/B$130</f>
        <v>1.7179898883985047E-2</v>
      </c>
      <c r="M74" s="24">
        <f>J74/B$76</f>
        <v>3.8814399827470765E-2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1500.8362476282209</v>
      </c>
      <c r="AB74" s="156"/>
      <c r="AC74" s="147">
        <f>AC30*$I$83/4</f>
        <v>2427.2417991621851</v>
      </c>
      <c r="AD74" s="156"/>
      <c r="AE74" s="147">
        <f>AE30*$I$83/4</f>
        <v>2374.7366455571323</v>
      </c>
      <c r="AF74" s="156"/>
      <c r="AG74" s="147">
        <f>AG30*$I$83/4</f>
        <v>2032.2671554031899</v>
      </c>
      <c r="AH74" s="155"/>
      <c r="AI74" s="147">
        <f>SUM(AA74,AC74,AE74,AG74)</f>
        <v>8335.0818477507273</v>
      </c>
      <c r="AJ74" s="148">
        <f>(AA74+AC74)</f>
        <v>3928.078046790406</v>
      </c>
      <c r="AK74" s="147">
        <f>(AE74+AG74)</f>
        <v>4407.0038009603222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50948.571414883714</v>
      </c>
      <c r="K75" s="40">
        <f>B75/B$76</f>
        <v>0.64878292866648568</v>
      </c>
      <c r="L75" s="22">
        <f>(L129*G$37*F$9/F$7)/B$130</f>
        <v>0.25892137514764318</v>
      </c>
      <c r="M75" s="24">
        <f>J75/B$76</f>
        <v>0.23725480537055496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25612.042003629413</v>
      </c>
      <c r="AB75" s="158"/>
      <c r="AC75" s="149">
        <f>AA75+AC65-SUM(AC70,AC74)</f>
        <v>48461.678455724861</v>
      </c>
      <c r="AD75" s="158"/>
      <c r="AE75" s="149">
        <f>AC75+AE65-SUM(AE70,AE74)</f>
        <v>72203.820061425358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115285.31808155037</v>
      </c>
      <c r="AJ75" s="151">
        <f>AJ76-SUM(AJ70,AJ74)</f>
        <v>48461.678455724861</v>
      </c>
      <c r="AK75" s="149">
        <f>AJ75+AK76-SUM(AK70,AK74)</f>
        <v>115285.31808155036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144379.5</v>
      </c>
      <c r="J76" s="51">
        <f>J130*I$83</f>
        <v>144530.57347453455</v>
      </c>
      <c r="K76" s="40">
        <f>SUM(K70:K75)</f>
        <v>0.79825713336624071</v>
      </c>
      <c r="L76" s="22">
        <f>SUM(L70:L75)</f>
        <v>0.43501836312101672</v>
      </c>
      <c r="M76" s="24">
        <f>SUM(M70:M75)</f>
        <v>0.43498629428741414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32340.421637565996</v>
      </c>
      <c r="AB76" s="137"/>
      <c r="AC76" s="153">
        <f>AC65</f>
        <v>30504.421637565996</v>
      </c>
      <c r="AD76" s="137"/>
      <c r="AE76" s="153">
        <f>AE65</f>
        <v>31344.421637565996</v>
      </c>
      <c r="AF76" s="137"/>
      <c r="AG76" s="153">
        <f>AG65</f>
        <v>50341.308561836559</v>
      </c>
      <c r="AH76" s="137"/>
      <c r="AI76" s="153">
        <f>SUM(AA76,AC76,AE76,AG76)</f>
        <v>144530.57347453455</v>
      </c>
      <c r="AJ76" s="154">
        <f>SUM(AA76,AC76)</f>
        <v>62844.843275131992</v>
      </c>
      <c r="AK76" s="154">
        <f>SUM(AE76,AG76)</f>
        <v>81685.730199402547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25612.042003629413</v>
      </c>
      <c r="AD78" s="112"/>
      <c r="AE78" s="112">
        <f>AC75</f>
        <v>48461.678455724861</v>
      </c>
      <c r="AF78" s="112"/>
      <c r="AG78" s="112">
        <f>AE75</f>
        <v>72203.820061425358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27112.878251257633</v>
      </c>
      <c r="AB79" s="112"/>
      <c r="AC79" s="112">
        <f>AA79-AA74+AC65-AC70</f>
        <v>50888.920254887053</v>
      </c>
      <c r="AD79" s="112"/>
      <c r="AE79" s="112">
        <f>AC79-AC74+AE65-AE70</f>
        <v>74578.556706982505</v>
      </c>
      <c r="AF79" s="112"/>
      <c r="AG79" s="112">
        <f>AE79-AE74+AG65-AG70</f>
        <v>117317.58523695357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24062.646384067208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5">
        <f t="shared" si="50"/>
        <v>0.67894074622675127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0.24633220627822372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5">
        <f t="shared" ref="M92:M118" si="63">(J92)</f>
        <v>0.24633220627822372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5">
        <f t="shared" si="63"/>
        <v>7.2906388856563892E-2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5">
        <f t="shared" si="63"/>
        <v>0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7.4455231453217557E-2</v>
      </c>
      <c r="K95" s="22">
        <f t="shared" si="61"/>
        <v>0.30583612274575533</v>
      </c>
      <c r="L95" s="22">
        <f t="shared" si="62"/>
        <v>7.7849194880737729E-2</v>
      </c>
      <c r="M95" s="225">
        <f t="shared" si="63"/>
        <v>7.4455231453217557E-2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5">
        <f t="shared" si="63"/>
        <v>8.6499105423041886E-2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5.9564185162574029E-3</v>
      </c>
      <c r="K97" s="22">
        <f t="shared" si="61"/>
        <v>3.6700334729490636E-2</v>
      </c>
      <c r="L97" s="22">
        <f t="shared" si="62"/>
        <v>6.2279355904590163E-3</v>
      </c>
      <c r="M97" s="225">
        <f t="shared" si="63"/>
        <v>5.9564185162574029E-3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5">
        <f t="shared" si="63"/>
        <v>0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5">
        <f t="shared" si="63"/>
        <v>0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5">
        <f t="shared" si="63"/>
        <v>0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5">
        <f t="shared" si="63"/>
        <v>1.8372409991854102</v>
      </c>
      <c r="N101" s="227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5">
        <f t="shared" si="63"/>
        <v>3.047487054204371</v>
      </c>
      <c r="N102" s="227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</v>
      </c>
      <c r="I103" s="22">
        <f t="shared" si="59"/>
        <v>0</v>
      </c>
      <c r="J103" s="24">
        <f t="shared" si="60"/>
        <v>0</v>
      </c>
      <c r="K103" s="22">
        <f t="shared" si="61"/>
        <v>0.64735312647851539</v>
      </c>
      <c r="L103" s="22">
        <f t="shared" si="62"/>
        <v>0</v>
      </c>
      <c r="M103" s="225">
        <f t="shared" si="63"/>
        <v>0</v>
      </c>
      <c r="N103" s="227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5">
        <f t="shared" si="63"/>
        <v>0</v>
      </c>
      <c r="N104" s="227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5">
        <f t="shared" si="63"/>
        <v>0.87734806929085374</v>
      </c>
      <c r="N105" s="227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5">
        <f t="shared" si="63"/>
        <v>0.51436075189058861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5">
        <f t="shared" si="6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5">
        <f t="shared" si="6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5">
        <f t="shared" si="6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5">
        <f t="shared" si="6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5">
        <f t="shared" si="6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5">
        <f t="shared" si="6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7.4337485663250478</v>
      </c>
      <c r="J119" s="24">
        <f>SUM(J91:J118)</f>
        <v>7.4415269713252794</v>
      </c>
      <c r="K119" s="22">
        <f>SUM(K91:K118)</f>
        <v>18.243294630741381</v>
      </c>
      <c r="L119" s="22">
        <f>SUM(L91:L118)</f>
        <v>7.4418815417373239</v>
      </c>
      <c r="M119" s="57">
        <f t="shared" si="50"/>
        <v>7.4415269713252794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5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5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6.3571346937635891</v>
      </c>
      <c r="J128" s="226">
        <f>(J30)</f>
        <v>0.42915304967754353</v>
      </c>
      <c r="K128" s="22">
        <f>(B128)</f>
        <v>0.5065454465753424</v>
      </c>
      <c r="L128" s="22">
        <f>IF(L124=L119,0,(L119-L124)/(B119-B124)*K128)</f>
        <v>0.18995027701023287</v>
      </c>
      <c r="M128" s="57">
        <f t="shared" si="90"/>
        <v>0.42915304967754353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2.6232177678389323</v>
      </c>
      <c r="K129" s="29">
        <f>(B129)</f>
        <v>11.835938119057971</v>
      </c>
      <c r="L129" s="60">
        <f>IF(SUM(L124:L128)&gt;L130,0,L130-SUM(L124:L128))</f>
        <v>2.8627751109182871</v>
      </c>
      <c r="M129" s="57">
        <f t="shared" si="90"/>
        <v>2.6232177678389323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7.4337485663250478</v>
      </c>
      <c r="J130" s="226">
        <f>(J119)</f>
        <v>7.4415269713252794</v>
      </c>
      <c r="K130" s="22">
        <f>(B130)</f>
        <v>18.243294630741381</v>
      </c>
      <c r="L130" s="22">
        <f>(L119)</f>
        <v>7.4418815417373239</v>
      </c>
      <c r="M130" s="57">
        <f t="shared" si="90"/>
        <v>7.4415269713252794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2" priority="180" operator="equal">
      <formula>16</formula>
    </cfRule>
    <cfRule type="cellIs" dxfId="241" priority="181" operator="equal">
      <formula>15</formula>
    </cfRule>
    <cfRule type="cellIs" dxfId="240" priority="182" operator="equal">
      <formula>14</formula>
    </cfRule>
    <cfRule type="cellIs" dxfId="239" priority="183" operator="equal">
      <formula>13</formula>
    </cfRule>
    <cfRule type="cellIs" dxfId="238" priority="184" operator="equal">
      <formula>12</formula>
    </cfRule>
    <cfRule type="cellIs" dxfId="237" priority="185" operator="equal">
      <formula>11</formula>
    </cfRule>
    <cfRule type="cellIs" dxfId="236" priority="186" operator="equal">
      <formula>10</formula>
    </cfRule>
    <cfRule type="cellIs" dxfId="235" priority="187" operator="equal">
      <formula>9</formula>
    </cfRule>
    <cfRule type="cellIs" dxfId="234" priority="188" operator="equal">
      <formula>8</formula>
    </cfRule>
    <cfRule type="cellIs" dxfId="233" priority="189" operator="equal">
      <formula>7</formula>
    </cfRule>
    <cfRule type="cellIs" dxfId="232" priority="190" operator="equal">
      <formula>6</formula>
    </cfRule>
    <cfRule type="cellIs" dxfId="231" priority="191" operator="equal">
      <formula>5</formula>
    </cfRule>
    <cfRule type="cellIs" dxfId="230" priority="192" operator="equal">
      <formula>4</formula>
    </cfRule>
    <cfRule type="cellIs" dxfId="229" priority="193" operator="equal">
      <formula>3</formula>
    </cfRule>
    <cfRule type="cellIs" dxfId="228" priority="194" operator="equal">
      <formula>2</formula>
    </cfRule>
    <cfRule type="cellIs" dxfId="227" priority="195" operator="equal">
      <formula>1</formula>
    </cfRule>
  </conditionalFormatting>
  <conditionalFormatting sqref="N29">
    <cfRule type="cellIs" dxfId="226" priority="164" operator="equal">
      <formula>16</formula>
    </cfRule>
    <cfRule type="cellIs" dxfId="225" priority="165" operator="equal">
      <formula>15</formula>
    </cfRule>
    <cfRule type="cellIs" dxfId="224" priority="166" operator="equal">
      <formula>14</formula>
    </cfRule>
    <cfRule type="cellIs" dxfId="223" priority="167" operator="equal">
      <formula>13</formula>
    </cfRule>
    <cfRule type="cellIs" dxfId="222" priority="168" operator="equal">
      <formula>12</formula>
    </cfRule>
    <cfRule type="cellIs" dxfId="221" priority="169" operator="equal">
      <formula>11</formula>
    </cfRule>
    <cfRule type="cellIs" dxfId="220" priority="170" operator="equal">
      <formula>10</formula>
    </cfRule>
    <cfRule type="cellIs" dxfId="219" priority="171" operator="equal">
      <formula>9</formula>
    </cfRule>
    <cfRule type="cellIs" dxfId="218" priority="172" operator="equal">
      <formula>8</formula>
    </cfRule>
    <cfRule type="cellIs" dxfId="217" priority="173" operator="equal">
      <formula>7</formula>
    </cfRule>
    <cfRule type="cellIs" dxfId="216" priority="174" operator="equal">
      <formula>6</formula>
    </cfRule>
    <cfRule type="cellIs" dxfId="215" priority="175" operator="equal">
      <formula>5</formula>
    </cfRule>
    <cfRule type="cellIs" dxfId="214" priority="176" operator="equal">
      <formula>4</formula>
    </cfRule>
    <cfRule type="cellIs" dxfId="213" priority="177" operator="equal">
      <formula>3</formula>
    </cfRule>
    <cfRule type="cellIs" dxfId="212" priority="178" operator="equal">
      <formula>2</formula>
    </cfRule>
    <cfRule type="cellIs" dxfId="211" priority="179" operator="equal">
      <formula>1</formula>
    </cfRule>
  </conditionalFormatting>
  <conditionalFormatting sqref="N113:N118">
    <cfRule type="cellIs" dxfId="210" priority="116" operator="equal">
      <formula>16</formula>
    </cfRule>
    <cfRule type="cellIs" dxfId="209" priority="117" operator="equal">
      <formula>15</formula>
    </cfRule>
    <cfRule type="cellIs" dxfId="208" priority="118" operator="equal">
      <formula>14</formula>
    </cfRule>
    <cfRule type="cellIs" dxfId="207" priority="119" operator="equal">
      <formula>13</formula>
    </cfRule>
    <cfRule type="cellIs" dxfId="206" priority="120" operator="equal">
      <formula>12</formula>
    </cfRule>
    <cfRule type="cellIs" dxfId="205" priority="121" operator="equal">
      <formula>11</formula>
    </cfRule>
    <cfRule type="cellIs" dxfId="204" priority="122" operator="equal">
      <formula>10</formula>
    </cfRule>
    <cfRule type="cellIs" dxfId="203" priority="123" operator="equal">
      <formula>9</formula>
    </cfRule>
    <cfRule type="cellIs" dxfId="202" priority="124" operator="equal">
      <formula>8</formula>
    </cfRule>
    <cfRule type="cellIs" dxfId="201" priority="125" operator="equal">
      <formula>7</formula>
    </cfRule>
    <cfRule type="cellIs" dxfId="200" priority="126" operator="equal">
      <formula>6</formula>
    </cfRule>
    <cfRule type="cellIs" dxfId="199" priority="127" operator="equal">
      <formula>5</formula>
    </cfRule>
    <cfRule type="cellIs" dxfId="198" priority="128" operator="equal">
      <formula>4</formula>
    </cfRule>
    <cfRule type="cellIs" dxfId="197" priority="129" operator="equal">
      <formula>3</formula>
    </cfRule>
    <cfRule type="cellIs" dxfId="196" priority="130" operator="equal">
      <formula>2</formula>
    </cfRule>
    <cfRule type="cellIs" dxfId="195" priority="131" operator="equal">
      <formula>1</formula>
    </cfRule>
  </conditionalFormatting>
  <conditionalFormatting sqref="N6:N28">
    <cfRule type="cellIs" dxfId="194" priority="100" operator="equal">
      <formula>16</formula>
    </cfRule>
    <cfRule type="cellIs" dxfId="193" priority="101" operator="equal">
      <formula>15</formula>
    </cfRule>
    <cfRule type="cellIs" dxfId="192" priority="102" operator="equal">
      <formula>14</formula>
    </cfRule>
    <cfRule type="cellIs" dxfId="191" priority="103" operator="equal">
      <formula>13</formula>
    </cfRule>
    <cfRule type="cellIs" dxfId="190" priority="104" operator="equal">
      <formula>12</formula>
    </cfRule>
    <cfRule type="cellIs" dxfId="189" priority="105" operator="equal">
      <formula>11</formula>
    </cfRule>
    <cfRule type="cellIs" dxfId="188" priority="106" operator="equal">
      <formula>10</formula>
    </cfRule>
    <cfRule type="cellIs" dxfId="187" priority="107" operator="equal">
      <formula>9</formula>
    </cfRule>
    <cfRule type="cellIs" dxfId="186" priority="108" operator="equal">
      <formula>8</formula>
    </cfRule>
    <cfRule type="cellIs" dxfId="185" priority="109" operator="equal">
      <formula>7</formula>
    </cfRule>
    <cfRule type="cellIs" dxfId="184" priority="110" operator="equal">
      <formula>6</formula>
    </cfRule>
    <cfRule type="cellIs" dxfId="183" priority="111" operator="equal">
      <formula>5</formula>
    </cfRule>
    <cfRule type="cellIs" dxfId="182" priority="112" operator="equal">
      <formula>4</formula>
    </cfRule>
    <cfRule type="cellIs" dxfId="181" priority="113" operator="equal">
      <formula>3</formula>
    </cfRule>
    <cfRule type="cellIs" dxfId="180" priority="114" operator="equal">
      <formula>2</formula>
    </cfRule>
    <cfRule type="cellIs" dxfId="179" priority="115" operator="equal">
      <formula>1</formula>
    </cfRule>
  </conditionalFormatting>
  <conditionalFormatting sqref="N112">
    <cfRule type="cellIs" dxfId="178" priority="68" operator="equal">
      <formula>16</formula>
    </cfRule>
    <cfRule type="cellIs" dxfId="177" priority="69" operator="equal">
      <formula>15</formula>
    </cfRule>
    <cfRule type="cellIs" dxfId="176" priority="70" operator="equal">
      <formula>14</formula>
    </cfRule>
    <cfRule type="cellIs" dxfId="175" priority="71" operator="equal">
      <formula>13</formula>
    </cfRule>
    <cfRule type="cellIs" dxfId="174" priority="72" operator="equal">
      <formula>12</formula>
    </cfRule>
    <cfRule type="cellIs" dxfId="173" priority="73" operator="equal">
      <formula>11</formula>
    </cfRule>
    <cfRule type="cellIs" dxfId="172" priority="74" operator="equal">
      <formula>10</formula>
    </cfRule>
    <cfRule type="cellIs" dxfId="171" priority="75" operator="equal">
      <formula>9</formula>
    </cfRule>
    <cfRule type="cellIs" dxfId="170" priority="76" operator="equal">
      <formula>8</formula>
    </cfRule>
    <cfRule type="cellIs" dxfId="169" priority="77" operator="equal">
      <formula>7</formula>
    </cfRule>
    <cfRule type="cellIs" dxfId="168" priority="78" operator="equal">
      <formula>6</formula>
    </cfRule>
    <cfRule type="cellIs" dxfId="167" priority="79" operator="equal">
      <formula>5</formula>
    </cfRule>
    <cfRule type="cellIs" dxfId="166" priority="80" operator="equal">
      <formula>4</formula>
    </cfRule>
    <cfRule type="cellIs" dxfId="165" priority="81" operator="equal">
      <formula>3</formula>
    </cfRule>
    <cfRule type="cellIs" dxfId="164" priority="82" operator="equal">
      <formula>2</formula>
    </cfRule>
    <cfRule type="cellIs" dxfId="163" priority="83" operator="equal">
      <formula>1</formula>
    </cfRule>
  </conditionalFormatting>
  <conditionalFormatting sqref="N91:N104">
    <cfRule type="cellIs" dxfId="162" priority="52" operator="equal">
      <formula>16</formula>
    </cfRule>
    <cfRule type="cellIs" dxfId="161" priority="53" operator="equal">
      <formula>15</formula>
    </cfRule>
    <cfRule type="cellIs" dxfId="160" priority="54" operator="equal">
      <formula>14</formula>
    </cfRule>
    <cfRule type="cellIs" dxfId="159" priority="55" operator="equal">
      <formula>13</formula>
    </cfRule>
    <cfRule type="cellIs" dxfId="158" priority="56" operator="equal">
      <formula>12</formula>
    </cfRule>
    <cfRule type="cellIs" dxfId="157" priority="57" operator="equal">
      <formula>11</formula>
    </cfRule>
    <cfRule type="cellIs" dxfId="156" priority="58" operator="equal">
      <formula>10</formula>
    </cfRule>
    <cfRule type="cellIs" dxfId="155" priority="59" operator="equal">
      <formula>9</formula>
    </cfRule>
    <cfRule type="cellIs" dxfId="154" priority="60" operator="equal">
      <formula>8</formula>
    </cfRule>
    <cfRule type="cellIs" dxfId="153" priority="61" operator="equal">
      <formula>7</formula>
    </cfRule>
    <cfRule type="cellIs" dxfId="152" priority="62" operator="equal">
      <formula>6</formula>
    </cfRule>
    <cfRule type="cellIs" dxfId="151" priority="63" operator="equal">
      <formula>5</formula>
    </cfRule>
    <cfRule type="cellIs" dxfId="150" priority="64" operator="equal">
      <formula>4</formula>
    </cfRule>
    <cfRule type="cellIs" dxfId="149" priority="65" operator="equal">
      <formula>3</formula>
    </cfRule>
    <cfRule type="cellIs" dxfId="148" priority="66" operator="equal">
      <formula>2</formula>
    </cfRule>
    <cfRule type="cellIs" dxfId="147" priority="67" operator="equal">
      <formula>1</formula>
    </cfRule>
  </conditionalFormatting>
  <conditionalFormatting sqref="N105:N111">
    <cfRule type="cellIs" dxfId="146" priority="36" operator="equal">
      <formula>16</formula>
    </cfRule>
    <cfRule type="cellIs" dxfId="145" priority="37" operator="equal">
      <formula>15</formula>
    </cfRule>
    <cfRule type="cellIs" dxfId="144" priority="38" operator="equal">
      <formula>14</formula>
    </cfRule>
    <cfRule type="cellIs" dxfId="143" priority="39" operator="equal">
      <formula>13</formula>
    </cfRule>
    <cfRule type="cellIs" dxfId="142" priority="40" operator="equal">
      <formula>12</formula>
    </cfRule>
    <cfRule type="cellIs" dxfId="141" priority="41" operator="equal">
      <formula>11</formula>
    </cfRule>
    <cfRule type="cellIs" dxfId="140" priority="42" operator="equal">
      <formula>10</formula>
    </cfRule>
    <cfRule type="cellIs" dxfId="139" priority="43" operator="equal">
      <formula>9</formula>
    </cfRule>
    <cfRule type="cellIs" dxfId="138" priority="44" operator="equal">
      <formula>8</formula>
    </cfRule>
    <cfRule type="cellIs" dxfId="137" priority="45" operator="equal">
      <formula>7</formula>
    </cfRule>
    <cfRule type="cellIs" dxfId="136" priority="46" operator="equal">
      <formula>6</formula>
    </cfRule>
    <cfRule type="cellIs" dxfId="135" priority="47" operator="equal">
      <formula>5</formula>
    </cfRule>
    <cfRule type="cellIs" dxfId="134" priority="48" operator="equal">
      <formula>4</formula>
    </cfRule>
    <cfRule type="cellIs" dxfId="133" priority="49" operator="equal">
      <formula>3</formula>
    </cfRule>
    <cfRule type="cellIs" dxfId="132" priority="50" operator="equal">
      <formula>2</formula>
    </cfRule>
    <cfRule type="cellIs" dxfId="131" priority="51" operator="equal">
      <formula>1</formula>
    </cfRule>
  </conditionalFormatting>
  <conditionalFormatting sqref="R31:T31">
    <cfRule type="cellIs" dxfId="130" priority="35" operator="greaterThan">
      <formula>0</formula>
    </cfRule>
  </conditionalFormatting>
  <conditionalFormatting sqref="R32:T32">
    <cfRule type="cellIs" dxfId="129" priority="34" operator="greaterThan">
      <formula>0</formula>
    </cfRule>
  </conditionalFormatting>
  <conditionalFormatting sqref="R30:T30">
    <cfRule type="cellIs" dxfId="128" priority="33" operator="greaterThan">
      <formula>0</formula>
    </cfRule>
  </conditionalFormatting>
  <conditionalFormatting sqref="N37:N50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51:N52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5"/>
      <c r="B2" s="245"/>
      <c r="C2" s="245"/>
      <c r="D2" s="245"/>
      <c r="E2" s="245"/>
      <c r="F2" s="246"/>
      <c r="G2" s="243"/>
      <c r="H2" s="243"/>
      <c r="I2" s="243"/>
      <c r="J2" s="243"/>
      <c r="K2" s="258" t="str">
        <f>Poor!A1</f>
        <v>ZAKHC: 59208</v>
      </c>
      <c r="L2" s="258"/>
      <c r="M2" s="258"/>
      <c r="N2" s="258"/>
      <c r="O2" s="258"/>
      <c r="P2" s="258"/>
      <c r="Q2" s="258"/>
      <c r="R2" s="245"/>
      <c r="S2" s="245"/>
      <c r="T2" s="245"/>
      <c r="U2" s="245"/>
      <c r="V2" s="245"/>
    </row>
    <row r="3" spans="1:22" s="92" customFormat="1" ht="17">
      <c r="A3" s="90"/>
      <c r="B3" s="259" t="str">
        <f>V.Poor!A3</f>
        <v>Sources of Food : Very Poor HHs</v>
      </c>
      <c r="C3" s="260"/>
      <c r="D3" s="260"/>
      <c r="E3" s="260"/>
      <c r="F3" s="242"/>
      <c r="G3" s="257" t="str">
        <f>Poor!A3</f>
        <v>Sources of Food : Poor HHs</v>
      </c>
      <c r="H3" s="257"/>
      <c r="I3" s="257"/>
      <c r="J3" s="257"/>
      <c r="K3" s="243"/>
      <c r="L3" s="257" t="str">
        <f>Middle!A3</f>
        <v>Sources of Food : Middle HHs</v>
      </c>
      <c r="M3" s="257"/>
      <c r="N3" s="257"/>
      <c r="O3" s="257"/>
      <c r="P3" s="257"/>
      <c r="Q3" s="244"/>
      <c r="R3" s="257" t="str">
        <f>Rich!A3</f>
        <v>Sources of Food : Better-off HHs</v>
      </c>
      <c r="S3" s="257"/>
      <c r="T3" s="257"/>
      <c r="U3" s="257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B99" workbookViewId="0">
      <selection activeCell="V115" sqref="V11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2" t="str">
        <f>Poor!A1</f>
        <v>ZAKHC: 59208</v>
      </c>
      <c r="L2" s="262"/>
      <c r="M2" s="262"/>
      <c r="N2" s="262"/>
      <c r="O2" s="262"/>
      <c r="P2" s="262"/>
      <c r="Q2" s="262"/>
      <c r="R2" s="87"/>
      <c r="S2" s="87"/>
      <c r="T2" s="87"/>
      <c r="U2" s="87"/>
      <c r="V2" s="87"/>
    </row>
    <row r="3" spans="1:22" s="92" customFormat="1" ht="17">
      <c r="A3" s="90"/>
      <c r="B3" s="89"/>
      <c r="C3" s="263" t="str">
        <f>V.Poor!A34</f>
        <v>Income : Very Poor HHs</v>
      </c>
      <c r="D3" s="263"/>
      <c r="E3" s="263"/>
      <c r="F3" s="90"/>
      <c r="G3" s="261" t="str">
        <f>Poor!A34</f>
        <v>Income : Poor HHs</v>
      </c>
      <c r="H3" s="261"/>
      <c r="I3" s="261"/>
      <c r="J3" s="261"/>
      <c r="K3" s="89"/>
      <c r="L3" s="261" t="str">
        <f>Middle!A34</f>
        <v>Income : Middle HHs</v>
      </c>
      <c r="M3" s="261"/>
      <c r="N3" s="261"/>
      <c r="O3" s="261"/>
      <c r="P3" s="261"/>
      <c r="Q3" s="91"/>
      <c r="R3" s="261" t="str">
        <f>Rich!A34</f>
        <v>Income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1351.9601796764625</v>
      </c>
      <c r="H72" s="109">
        <f>Middle!T7</f>
        <v>6814.0638253633415</v>
      </c>
      <c r="I72" s="109">
        <f>Rich!T7</f>
        <v>926.40555153396406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419.99999999999989</v>
      </c>
      <c r="H73" s="109">
        <f>Middle!T8</f>
        <v>5252.4425796988826</v>
      </c>
      <c r="I73" s="109">
        <f>Rich!T8</f>
        <v>3241.7684285637906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4277.5</v>
      </c>
      <c r="H76" s="109">
        <f>Middle!T11</f>
        <v>20733.121494092873</v>
      </c>
      <c r="I76" s="109">
        <f>Rich!T11</f>
        <v>19386.805045970756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7646.9995872137933</v>
      </c>
      <c r="G88" s="109">
        <f>Poor!T23</f>
        <v>28903.5465303577</v>
      </c>
      <c r="H88" s="109">
        <f>Middle!T23</f>
        <v>61238.276422542811</v>
      </c>
      <c r="I88" s="109">
        <f>Rich!T23</f>
        <v>146127.60572625403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28322.407384848266</v>
      </c>
      <c r="G98" s="237">
        <f t="shared" si="0"/>
        <v>7065.8604417043534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3038.5228533498084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46705.234051514926</v>
      </c>
      <c r="G99" s="237">
        <f t="shared" si="0"/>
        <v>25448.687108371028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35776.442853349821</v>
      </c>
      <c r="C100" s="237">
        <f t="shared" si="0"/>
        <v>417.28373872459633</v>
      </c>
      <c r="D100" s="237">
        <f t="shared" si="0"/>
        <v>0</v>
      </c>
      <c r="E100" s="237">
        <f t="shared" si="0"/>
        <v>0</v>
      </c>
      <c r="F100" s="237">
        <f t="shared" si="0"/>
        <v>79443.154051514939</v>
      </c>
      <c r="G100" s="237">
        <f t="shared" si="0"/>
        <v>58186.607108371019</v>
      </c>
      <c r="H100" s="237">
        <f t="shared" si="0"/>
        <v>25851.877216185923</v>
      </c>
      <c r="I100" s="237">
        <f t="shared" si="0"/>
        <v>0</v>
      </c>
    </row>
    <row r="101" spans="1:9" ht="16" thickBot="1">
      <c r="A101" s="265" t="s">
        <v>144</v>
      </c>
      <c r="B101" s="266">
        <f>IF(B92&gt;B$88,B92-B$88,0)</f>
        <v>0</v>
      </c>
      <c r="C101" s="266">
        <f t="shared" si="0"/>
        <v>0</v>
      </c>
      <c r="D101" s="266">
        <f t="shared" si="0"/>
        <v>0</v>
      </c>
      <c r="E101" s="266">
        <f t="shared" si="0"/>
        <v>0</v>
      </c>
      <c r="F101" s="266">
        <f t="shared" si="0"/>
        <v>0</v>
      </c>
      <c r="G101" s="266">
        <f t="shared" si="0"/>
        <v>0</v>
      </c>
      <c r="H101" s="266">
        <f t="shared" si="0"/>
        <v>0</v>
      </c>
      <c r="I101" s="266">
        <f t="shared" si="0"/>
        <v>0</v>
      </c>
    </row>
    <row r="102" spans="1:9">
      <c r="A102" t="str">
        <f>V.Poor!Q37</f>
        <v>Own crops Consumed</v>
      </c>
      <c r="B102" s="109">
        <f>V.Poor!R37</f>
        <v>984.25445590616596</v>
      </c>
      <c r="C102" s="109">
        <f>Poor!R37</f>
        <v>2704.266735645449</v>
      </c>
      <c r="D102" s="109">
        <f>Middle!R37</f>
        <v>2492.8571902326798</v>
      </c>
      <c r="E102" s="109">
        <f>Rich!R37</f>
        <v>1745.9206346047977</v>
      </c>
      <c r="F102" s="109">
        <f>V.Poor!T37</f>
        <v>414.0773225620311</v>
      </c>
      <c r="G102" s="109">
        <f>Poor!T37</f>
        <v>1351.9601796764625</v>
      </c>
      <c r="H102" s="109">
        <f>Middle!T37</f>
        <v>6814.0638253633415</v>
      </c>
      <c r="I102" s="109">
        <f>Rich!T37</f>
        <v>926.40555153396406</v>
      </c>
    </row>
    <row r="103" spans="1:9">
      <c r="A103" t="str">
        <f>V.Poor!Q38</f>
        <v>Own crops sold</v>
      </c>
      <c r="B103" s="109">
        <f>V.Poor!R38</f>
        <v>0</v>
      </c>
      <c r="C103" s="109">
        <f>Poor!R38</f>
        <v>1660</v>
      </c>
      <c r="D103" s="109">
        <f>Middle!R38</f>
        <v>25314.285714285714</v>
      </c>
      <c r="E103" s="109">
        <f>Rich!R38</f>
        <v>10032</v>
      </c>
      <c r="F103" s="109">
        <f>V.Poor!T38</f>
        <v>0</v>
      </c>
      <c r="G103" s="109">
        <f>Poor!T38</f>
        <v>419.99999999999989</v>
      </c>
      <c r="H103" s="109">
        <f>Middle!T38</f>
        <v>5252.4425796988826</v>
      </c>
      <c r="I103" s="109">
        <f>Rich!T38</f>
        <v>3241.7684285637906</v>
      </c>
    </row>
    <row r="104" spans="1:9">
      <c r="A104" t="str">
        <f>V.Poor!Q39</f>
        <v>Animal products consumed</v>
      </c>
      <c r="B104" s="109">
        <f>V.Poor!R39</f>
        <v>119.18500810595445</v>
      </c>
      <c r="C104" s="109">
        <f>Poor!R39</f>
        <v>570.43548525155074</v>
      </c>
      <c r="D104" s="109">
        <f>Middle!R39</f>
        <v>1656.3641471326373</v>
      </c>
      <c r="E104" s="109">
        <f>Rich!R39</f>
        <v>2032.2021217743129</v>
      </c>
      <c r="F104" s="109">
        <f>V.Poor!T39</f>
        <v>39.331052674964965</v>
      </c>
      <c r="G104" s="109">
        <f>Poor!T39</f>
        <v>188.24371013301172</v>
      </c>
      <c r="H104" s="109">
        <f>Middle!T39</f>
        <v>546.60016855377023</v>
      </c>
      <c r="I104" s="109">
        <f>Rich!T39</f>
        <v>670.6267001855233</v>
      </c>
    </row>
    <row r="105" spans="1:9">
      <c r="A105" t="str">
        <f>V.Poor!Q40</f>
        <v>Animal products sold</v>
      </c>
      <c r="B105" s="109">
        <f>V.Poor!R40</f>
        <v>0</v>
      </c>
      <c r="C105" s="109">
        <f>Poor!R40</f>
        <v>0</v>
      </c>
      <c r="D105" s="109">
        <f>Middle!R40</f>
        <v>0</v>
      </c>
      <c r="E105" s="109">
        <f>Rich!R40</f>
        <v>0</v>
      </c>
      <c r="F105" s="109">
        <f>V.Poor!T40</f>
        <v>0</v>
      </c>
      <c r="G105" s="109">
        <f>Poor!T40</f>
        <v>0</v>
      </c>
      <c r="H105" s="109">
        <f>Middle!T40</f>
        <v>0</v>
      </c>
      <c r="I105" s="109">
        <f>Rich!T40</f>
        <v>0</v>
      </c>
    </row>
    <row r="106" spans="1:9">
      <c r="A106" t="str">
        <f>V.Poor!Q41</f>
        <v>Animals sold</v>
      </c>
      <c r="B106" s="109">
        <f>V.Poor!R41</f>
        <v>1285.7142857142858</v>
      </c>
      <c r="C106" s="109">
        <f>Poor!R41</f>
        <v>9750</v>
      </c>
      <c r="D106" s="109">
        <f>Middle!R41</f>
        <v>28457.142857142859</v>
      </c>
      <c r="E106" s="109">
        <f>Rich!R41</f>
        <v>32750</v>
      </c>
      <c r="F106" s="109">
        <f>V.Poor!T41</f>
        <v>758.57142857142856</v>
      </c>
      <c r="G106" s="109">
        <f>Poor!T41</f>
        <v>4277.5</v>
      </c>
      <c r="H106" s="109">
        <f>Middle!T41</f>
        <v>20733.121494092873</v>
      </c>
      <c r="I106" s="109">
        <f>Rich!T41</f>
        <v>19386.805045970756</v>
      </c>
    </row>
    <row r="107" spans="1:9">
      <c r="A107" t="str">
        <f>V.Poor!Q42</f>
        <v>Wild foods consumed and sold</v>
      </c>
      <c r="B107" s="109">
        <f>V.Poor!R42</f>
        <v>0</v>
      </c>
      <c r="C107" s="109">
        <f>Poor!R42</f>
        <v>0</v>
      </c>
      <c r="D107" s="109">
        <f>Middle!R42</f>
        <v>0</v>
      </c>
      <c r="E107" s="109">
        <f>Rich!R42</f>
        <v>0</v>
      </c>
      <c r="F107" s="109">
        <f>V.Poor!T42</f>
        <v>0</v>
      </c>
      <c r="G107" s="109">
        <f>Poor!T42</f>
        <v>0</v>
      </c>
      <c r="H107" s="109">
        <f>Middle!T42</f>
        <v>0</v>
      </c>
      <c r="I107" s="109">
        <f>Rich!T42</f>
        <v>0</v>
      </c>
    </row>
    <row r="108" spans="1:9">
      <c r="A108" t="str">
        <f>V.Poor!Q43</f>
        <v>Labour - casual</v>
      </c>
      <c r="B108" s="109">
        <f>V.Poor!R43</f>
        <v>7428.5714285714284</v>
      </c>
      <c r="C108" s="109">
        <f>Poor!R43</f>
        <v>4960</v>
      </c>
      <c r="D108" s="109">
        <f>Middle!R43</f>
        <v>0</v>
      </c>
      <c r="E108" s="109">
        <f>Rich!R43</f>
        <v>0</v>
      </c>
      <c r="F108" s="109">
        <f>V.Poor!T43</f>
        <v>4122.8571428571431</v>
      </c>
      <c r="G108" s="109">
        <f>Poor!T43</f>
        <v>2752.8000000000006</v>
      </c>
      <c r="H108" s="109">
        <f>Middle!T43</f>
        <v>10357.028571428571</v>
      </c>
      <c r="I108" s="109">
        <f>Rich!T43</f>
        <v>0</v>
      </c>
    </row>
    <row r="109" spans="1:9">
      <c r="A109" t="str">
        <f>V.Poor!Q44</f>
        <v>Labour - formal emp</v>
      </c>
      <c r="B109" s="109">
        <f>V.Poor!R44</f>
        <v>0</v>
      </c>
      <c r="C109" s="109">
        <f>Poor!R44</f>
        <v>0</v>
      </c>
      <c r="D109" s="109">
        <f>Middle!R44</f>
        <v>21942.857142857141</v>
      </c>
      <c r="E109" s="109">
        <f>Rich!R44</f>
        <v>75600</v>
      </c>
      <c r="F109" s="109">
        <f>V.Poor!T44</f>
        <v>0</v>
      </c>
      <c r="G109" s="109">
        <f>Poor!T44</f>
        <v>0</v>
      </c>
      <c r="H109" s="109">
        <f>Middle!T44</f>
        <v>0</v>
      </c>
      <c r="I109" s="109">
        <f>Rich!T44</f>
        <v>35683.199999999997</v>
      </c>
    </row>
    <row r="110" spans="1:9">
      <c r="A110" t="str">
        <f>V.Poor!Q45</f>
        <v>Labour - public works</v>
      </c>
      <c r="B110" s="109">
        <f>V.Poor!R45</f>
        <v>0</v>
      </c>
      <c r="C110" s="109">
        <f>Poor!R45</f>
        <v>14916</v>
      </c>
      <c r="D110" s="109">
        <f>Middle!R45</f>
        <v>0</v>
      </c>
      <c r="E110" s="109">
        <f>Rich!R45</f>
        <v>0</v>
      </c>
      <c r="F110" s="109">
        <f>V.Poor!T45</f>
        <v>0</v>
      </c>
      <c r="G110" s="109">
        <f>Poor!T45</f>
        <v>17600.879999999997</v>
      </c>
      <c r="H110" s="109">
        <f>Middle!T45</f>
        <v>0</v>
      </c>
      <c r="I110" s="109">
        <f>Rich!T45</f>
        <v>0</v>
      </c>
    </row>
    <row r="111" spans="1:9">
      <c r="A111" t="str">
        <f>V.Poor!Q46</f>
        <v>Self - employment</v>
      </c>
      <c r="B111" s="109">
        <f>V.Poor!R46</f>
        <v>0</v>
      </c>
      <c r="C111" s="109">
        <f>Poor!R46</f>
        <v>0</v>
      </c>
      <c r="D111" s="109">
        <f>Middle!R46</f>
        <v>0</v>
      </c>
      <c r="E111" s="109">
        <f>Rich!R46</f>
        <v>0</v>
      </c>
      <c r="F111" s="109">
        <f>V.Poor!T46</f>
        <v>0</v>
      </c>
      <c r="G111" s="109">
        <f>Poor!T46</f>
        <v>0</v>
      </c>
      <c r="H111" s="109">
        <f>Middle!T46</f>
        <v>0</v>
      </c>
      <c r="I111" s="109">
        <f>Rich!T46</f>
        <v>0</v>
      </c>
    </row>
    <row r="112" spans="1:9">
      <c r="A112" t="str">
        <f>V.Poor!Q47</f>
        <v>Small business/petty trading</v>
      </c>
      <c r="B112" s="109">
        <f>V.Poor!R47</f>
        <v>0</v>
      </c>
      <c r="C112" s="109">
        <f>Poor!R47</f>
        <v>0</v>
      </c>
      <c r="D112" s="109">
        <f>Middle!R47</f>
        <v>0</v>
      </c>
      <c r="E112" s="109">
        <f>Rich!R47</f>
        <v>62700</v>
      </c>
      <c r="F112" s="109">
        <f>V.Poor!T47</f>
        <v>0</v>
      </c>
      <c r="G112" s="109">
        <f>Poor!T47</f>
        <v>0</v>
      </c>
      <c r="H112" s="109">
        <f>Middle!T47</f>
        <v>0</v>
      </c>
      <c r="I112" s="109">
        <f>Rich!T47</f>
        <v>59188.800000000003</v>
      </c>
    </row>
    <row r="113" spans="1:9">
      <c r="A113" t="str">
        <f>V.Poor!Q48</f>
        <v>Food transfer - official</v>
      </c>
      <c r="B113" s="109">
        <f>V.Poor!R48</f>
        <v>1401.3106912413493</v>
      </c>
      <c r="C113" s="109">
        <f>Poor!R48</f>
        <v>1401.3106912413493</v>
      </c>
      <c r="D113" s="109">
        <f>Middle!R48</f>
        <v>1401.3106912413493</v>
      </c>
      <c r="E113" s="109">
        <f>Rich!R48</f>
        <v>0</v>
      </c>
      <c r="F113" s="109">
        <f>V.Poor!T48</f>
        <v>2312.1626405482261</v>
      </c>
      <c r="G113" s="109">
        <f>Poor!T48</f>
        <v>2312.1626405482261</v>
      </c>
      <c r="H113" s="109">
        <f>Middle!T48</f>
        <v>2312.1626405482261</v>
      </c>
      <c r="I113" s="109">
        <f>Rich!T48</f>
        <v>0</v>
      </c>
    </row>
    <row r="114" spans="1:9">
      <c r="A114" t="str">
        <f>V.Poor!Q49</f>
        <v>Food transfer - gifts</v>
      </c>
      <c r="B114" s="109">
        <f>V.Poor!R49</f>
        <v>0</v>
      </c>
      <c r="C114" s="109">
        <f>Poor!R49</f>
        <v>0</v>
      </c>
      <c r="D114" s="109">
        <f>Middle!R49</f>
        <v>0</v>
      </c>
      <c r="E114" s="109">
        <f>Rich!R49</f>
        <v>0</v>
      </c>
      <c r="F114" s="109">
        <f>V.Poor!T49</f>
        <v>0</v>
      </c>
      <c r="G114" s="109">
        <f>Poor!T49</f>
        <v>0</v>
      </c>
      <c r="H114" s="109">
        <f>Middle!T49</f>
        <v>0</v>
      </c>
      <c r="I114" s="109">
        <f>Rich!T49</f>
        <v>0</v>
      </c>
    </row>
    <row r="115" spans="1:9">
      <c r="A115" t="str">
        <f>V.Poor!Q50</f>
        <v>Cash transfer - official</v>
      </c>
      <c r="B115" s="109">
        <f>V.Poor!R50</f>
        <v>23108.571428571428</v>
      </c>
      <c r="C115" s="109">
        <f>Poor!R50</f>
        <v>22020</v>
      </c>
      <c r="D115" s="109">
        <f>Middle!R50</f>
        <v>8708.5714285714294</v>
      </c>
      <c r="E115" s="109">
        <f>Rich!R50</f>
        <v>7620</v>
      </c>
      <c r="F115" s="109">
        <f>V.Poor!T50</f>
        <v>0</v>
      </c>
      <c r="G115" s="109">
        <f>Poor!T50</f>
        <v>0</v>
      </c>
      <c r="H115" s="109">
        <f>Middle!T50</f>
        <v>0</v>
      </c>
      <c r="I115" s="109">
        <f>Rich!T50</f>
        <v>0</v>
      </c>
    </row>
    <row r="116" spans="1:9">
      <c r="A116" t="str">
        <f>V.Poor!Q51</f>
        <v>Cash transfer - gifts</v>
      </c>
      <c r="B116" s="109">
        <f>V.Poor!R51</f>
        <v>0</v>
      </c>
      <c r="C116" s="109">
        <f>Poor!R51</f>
        <v>0</v>
      </c>
      <c r="D116" s="109">
        <f>Middle!R51</f>
        <v>13714.285714285714</v>
      </c>
      <c r="E116" s="109">
        <f>Rich!R51</f>
        <v>26040</v>
      </c>
      <c r="F116" s="109">
        <f>V.Poor!T51</f>
        <v>0</v>
      </c>
      <c r="G116" s="109">
        <f>Poor!T51</f>
        <v>0</v>
      </c>
      <c r="H116" s="109">
        <f>Middle!T51</f>
        <v>15222.857142857143</v>
      </c>
      <c r="I116" s="109">
        <f>Rich!T51</f>
        <v>27030.000000000004</v>
      </c>
    </row>
    <row r="117" spans="1:9">
      <c r="A117" t="str">
        <f>V.Poor!Q52</f>
        <v>Other</v>
      </c>
      <c r="B117" s="109">
        <f>V.Poor!R52</f>
        <v>0</v>
      </c>
      <c r="C117" s="109">
        <f>Poor!R52</f>
        <v>0</v>
      </c>
      <c r="D117" s="109">
        <f>Middle!R52</f>
        <v>0</v>
      </c>
      <c r="E117" s="109">
        <f>Rich!R52</f>
        <v>0</v>
      </c>
      <c r="F117" s="109">
        <f>V.Poor!T52</f>
        <v>0</v>
      </c>
      <c r="G117" s="109">
        <f>Poor!T52</f>
        <v>0</v>
      </c>
      <c r="H117" s="109">
        <f>Middle!T52</f>
        <v>0</v>
      </c>
      <c r="I117" s="109">
        <f>Rich!T52</f>
        <v>0</v>
      </c>
    </row>
    <row r="118" spans="1:9">
      <c r="A118" t="str">
        <f>V.Poor!Q53</f>
        <v>TOTAL</v>
      </c>
      <c r="B118" s="109">
        <f>V.Poor!R53</f>
        <v>34327.607298110612</v>
      </c>
      <c r="C118" s="109">
        <f>Poor!R53</f>
        <v>57982.012912138351</v>
      </c>
      <c r="D118" s="109">
        <f>Middle!R53</f>
        <v>103687.67488574953</v>
      </c>
      <c r="E118" s="109">
        <f>Rich!R53</f>
        <v>218520.1227563791</v>
      </c>
      <c r="F118" s="109">
        <f>V.Poor!T53</f>
        <v>7646.9995872137933</v>
      </c>
      <c r="G118" s="109">
        <f>Poor!T53</f>
        <v>28903.5465303577</v>
      </c>
      <c r="H118" s="109">
        <f>Middle!T53</f>
        <v>61238.276422542811</v>
      </c>
      <c r="I118" s="109">
        <f>Rich!T53</f>
        <v>146127.60572625403</v>
      </c>
    </row>
    <row r="119" spans="1:9">
      <c r="A119" t="str">
        <f>V.Poor!Q54</f>
        <v>Food Poverty line</v>
      </c>
      <c r="B119" s="109">
        <f>V.Poor!R54</f>
        <v>24062.646384067204</v>
      </c>
      <c r="C119" s="109">
        <f>Poor!R54</f>
        <v>24062.646384067204</v>
      </c>
      <c r="D119" s="109">
        <f>Middle!R54</f>
        <v>24062.6463840672</v>
      </c>
      <c r="E119" s="109">
        <f>Rich!R54</f>
        <v>24062.646384067208</v>
      </c>
      <c r="F119" s="109">
        <f>V.Poor!T54</f>
        <v>35969.406972062061</v>
      </c>
      <c r="G119" s="109">
        <f>Poor!T54</f>
        <v>35969.406972062054</v>
      </c>
      <c r="H119" s="109">
        <f>Middle!T54</f>
        <v>35969.406972062054</v>
      </c>
      <c r="I119" s="109">
        <f>Rich!T54</f>
        <v>35969.406972062061</v>
      </c>
    </row>
    <row r="120" spans="1:9">
      <c r="A120" t="str">
        <f>V.Poor!Q55</f>
        <v>Lower Bound Poverty line</v>
      </c>
      <c r="B120" s="109">
        <f>V.Poor!R55</f>
        <v>42445.473050733868</v>
      </c>
      <c r="C120" s="109">
        <f>Poor!R55</f>
        <v>42445.473050733875</v>
      </c>
      <c r="D120" s="109">
        <f>Middle!R55</f>
        <v>42445.473050733868</v>
      </c>
      <c r="E120" s="109">
        <f>Rich!R55</f>
        <v>42445.473050733883</v>
      </c>
      <c r="F120" s="109">
        <f>V.Poor!T55</f>
        <v>54352.233638728721</v>
      </c>
      <c r="G120" s="109">
        <f>Poor!T55</f>
        <v>54352.233638728729</v>
      </c>
      <c r="H120" s="109">
        <f>Middle!T55</f>
        <v>54352.233638728721</v>
      </c>
      <c r="I120" s="109">
        <f>Rich!T55</f>
        <v>54352.233638728729</v>
      </c>
    </row>
    <row r="121" spans="1:9">
      <c r="A121" t="str">
        <f>V.Poor!Q56</f>
        <v>Upper Bound Poverty line</v>
      </c>
      <c r="B121" s="109">
        <f>V.Poor!R56</f>
        <v>75183.393050733866</v>
      </c>
      <c r="C121" s="109">
        <f>Poor!R56</f>
        <v>75183.393050733881</v>
      </c>
      <c r="D121" s="109">
        <f>Middle!R56</f>
        <v>75183.393050733866</v>
      </c>
      <c r="E121" s="109">
        <f>Rich!R56</f>
        <v>75183.393050733881</v>
      </c>
      <c r="F121" s="109">
        <f>V.Poor!T56</f>
        <v>87090.153638728734</v>
      </c>
      <c r="G121" s="109">
        <f>Poor!T56</f>
        <v>87090.15363872872</v>
      </c>
      <c r="H121" s="109">
        <f>Middle!T56</f>
        <v>87090.153638728734</v>
      </c>
      <c r="I121" s="109">
        <f>Rich!T56</f>
        <v>87090.15363872872</v>
      </c>
    </row>
    <row r="122" spans="1:9">
      <c r="A122">
        <f>V.Poor!Q57</f>
        <v>0</v>
      </c>
      <c r="B122" s="109">
        <f>V.Poor!R57</f>
        <v>0</v>
      </c>
      <c r="C122" s="109">
        <f>Poor!R57</f>
        <v>0</v>
      </c>
      <c r="D122" s="109">
        <f>Middle!R57</f>
        <v>0</v>
      </c>
      <c r="E122" s="109">
        <f>Rich!R57</f>
        <v>0</v>
      </c>
      <c r="F122" s="109">
        <f>V.Poor!T57</f>
        <v>0</v>
      </c>
      <c r="G122" s="109">
        <f>Poor!T57</f>
        <v>0</v>
      </c>
      <c r="H122" s="109">
        <f>Middle!T57</f>
        <v>0</v>
      </c>
      <c r="I122" s="109">
        <f>Rich!T57</f>
        <v>0</v>
      </c>
    </row>
    <row r="123" spans="1:9">
      <c r="A123" t="str">
        <f>V.Poor!Q54</f>
        <v>Food Poverty line</v>
      </c>
      <c r="F123" s="109">
        <f>V.Poor!T54</f>
        <v>35969.406972062061</v>
      </c>
      <c r="G123" s="109">
        <f>Poor!T54</f>
        <v>35969.406972062054</v>
      </c>
      <c r="H123" s="109">
        <f>Middle!T54</f>
        <v>35969.406972062054</v>
      </c>
      <c r="I123" s="109">
        <f>Rich!T54</f>
        <v>35969.406972062061</v>
      </c>
    </row>
    <row r="124" spans="1:9">
      <c r="A124" t="str">
        <f>V.Poor!Q55</f>
        <v>Lower Bound Poverty line</v>
      </c>
      <c r="F124" s="109">
        <f>V.Poor!T55</f>
        <v>54352.233638728721</v>
      </c>
      <c r="G124" s="109">
        <f>Poor!T55</f>
        <v>54352.233638728729</v>
      </c>
      <c r="H124" s="109">
        <f>Middle!T55</f>
        <v>54352.233638728721</v>
      </c>
      <c r="I124" s="109">
        <f>Rich!T55</f>
        <v>54352.233638728729</v>
      </c>
    </row>
    <row r="125" spans="1:9">
      <c r="A125" t="str">
        <f>V.Poor!Q56</f>
        <v>Upper Bound Poverty line</v>
      </c>
      <c r="F125" s="109">
        <f>V.Poor!T56</f>
        <v>87090.153638728734</v>
      </c>
      <c r="G125" s="109">
        <f>Poor!T56</f>
        <v>87090.15363872872</v>
      </c>
      <c r="H125" s="109">
        <f>Middle!T56</f>
        <v>87090.153638728734</v>
      </c>
      <c r="I125" s="109">
        <f>Rich!T56</f>
        <v>87090.15363872872</v>
      </c>
    </row>
    <row r="126" spans="1:9">
      <c r="A126">
        <f>V.Poor!Q57</f>
        <v>0</v>
      </c>
      <c r="F126" s="109">
        <f>V.Poor!T57</f>
        <v>0</v>
      </c>
      <c r="G126" s="109">
        <f>Poor!T57</f>
        <v>0</v>
      </c>
      <c r="H126" s="109">
        <f>Middle!T57</f>
        <v>0</v>
      </c>
      <c r="I126" s="109">
        <f>Rich!T57</f>
        <v>0</v>
      </c>
    </row>
    <row r="128" spans="1:9">
      <c r="A128" t="s">
        <v>141</v>
      </c>
      <c r="B128" s="237">
        <f>IF(B119&gt;B$88,B119-B$88,0)</f>
        <v>0</v>
      </c>
      <c r="C128" s="237">
        <f t="shared" ref="C128:I131" si="1">IF(C119&gt;C$88,C119-C$88,0)</f>
        <v>0</v>
      </c>
      <c r="D128" s="237">
        <f t="shared" si="1"/>
        <v>0</v>
      </c>
      <c r="E128" s="237">
        <f t="shared" si="1"/>
        <v>0</v>
      </c>
      <c r="F128" s="237">
        <f t="shared" si="1"/>
        <v>28322.407384848266</v>
      </c>
      <c r="G128" s="237">
        <f t="shared" si="1"/>
        <v>7065.8604417043534</v>
      </c>
      <c r="H128" s="237">
        <f t="shared" si="1"/>
        <v>0</v>
      </c>
      <c r="I128" s="237">
        <f t="shared" si="1"/>
        <v>0</v>
      </c>
    </row>
    <row r="129" spans="1:9">
      <c r="A129" t="s">
        <v>142</v>
      </c>
      <c r="B129" s="237">
        <f>IF(B120&gt;B$88,B120-B$88,0)</f>
        <v>0</v>
      </c>
      <c r="C129" s="237">
        <f t="shared" si="1"/>
        <v>0</v>
      </c>
      <c r="D129" s="237">
        <f t="shared" si="1"/>
        <v>0</v>
      </c>
      <c r="E129" s="237">
        <f t="shared" si="1"/>
        <v>0</v>
      </c>
      <c r="F129" s="237">
        <f t="shared" si="1"/>
        <v>46705.234051514926</v>
      </c>
      <c r="G129" s="237">
        <f t="shared" si="1"/>
        <v>25448.687108371028</v>
      </c>
      <c r="H129" s="237">
        <f t="shared" si="1"/>
        <v>0</v>
      </c>
      <c r="I129" s="237">
        <f t="shared" si="1"/>
        <v>0</v>
      </c>
    </row>
    <row r="130" spans="1:9">
      <c r="A130" t="s">
        <v>143</v>
      </c>
      <c r="B130" s="237">
        <f>IF(B121&gt;B$88,B121-B$88,0)</f>
        <v>23869.682265354953</v>
      </c>
      <c r="C130" s="237">
        <f t="shared" si="1"/>
        <v>0</v>
      </c>
      <c r="D130" s="237">
        <f t="shared" si="1"/>
        <v>0</v>
      </c>
      <c r="E130" s="237">
        <f t="shared" si="1"/>
        <v>0</v>
      </c>
      <c r="F130" s="237">
        <f t="shared" si="1"/>
        <v>79443.154051514939</v>
      </c>
      <c r="G130" s="237">
        <f t="shared" si="1"/>
        <v>58186.607108371019</v>
      </c>
      <c r="H130" s="237">
        <f t="shared" si="1"/>
        <v>25851.877216185923</v>
      </c>
      <c r="I130" s="237">
        <f t="shared" si="1"/>
        <v>0</v>
      </c>
    </row>
    <row r="131" spans="1:9">
      <c r="A131" t="s">
        <v>144</v>
      </c>
      <c r="B131" s="237">
        <f>IF(B122&gt;B$88,B122-B$88,0)</f>
        <v>0</v>
      </c>
      <c r="C131" s="237">
        <f t="shared" si="1"/>
        <v>0</v>
      </c>
      <c r="D131" s="237">
        <f t="shared" si="1"/>
        <v>0</v>
      </c>
      <c r="E131" s="237">
        <f t="shared" si="1"/>
        <v>0</v>
      </c>
      <c r="F131" s="237">
        <f t="shared" si="1"/>
        <v>0</v>
      </c>
      <c r="G131" s="237">
        <f t="shared" si="1"/>
        <v>0</v>
      </c>
      <c r="H131" s="237">
        <f t="shared" si="1"/>
        <v>0</v>
      </c>
      <c r="I131" s="237">
        <f t="shared" si="1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8" customFormat="1" ht="19">
      <c r="A2" s="245"/>
      <c r="B2" s="245"/>
      <c r="C2" s="245"/>
      <c r="D2" s="245"/>
      <c r="E2" s="245"/>
      <c r="F2" s="245"/>
      <c r="G2" s="243"/>
      <c r="H2" s="243"/>
      <c r="I2" s="243"/>
      <c r="J2" s="243"/>
      <c r="K2" s="258" t="str">
        <f>Poor!A1</f>
        <v>ZAKHC: 59208</v>
      </c>
      <c r="L2" s="258"/>
      <c r="M2" s="258"/>
      <c r="N2" s="258"/>
      <c r="O2" s="258"/>
      <c r="P2" s="258"/>
      <c r="Q2" s="258"/>
      <c r="R2" s="245"/>
      <c r="S2" s="245"/>
      <c r="T2" s="245"/>
      <c r="U2" s="245"/>
      <c r="V2" s="245"/>
    </row>
    <row r="3" spans="1:22" s="92" customFormat="1" ht="17">
      <c r="A3" s="90"/>
      <c r="B3" s="259" t="str">
        <f>V.Poor!A67</f>
        <v>Expenditure : Very Poor HHs</v>
      </c>
      <c r="C3" s="259"/>
      <c r="D3" s="259"/>
      <c r="E3" s="259"/>
      <c r="F3" s="247"/>
      <c r="G3" s="257" t="str">
        <f>Poor!A67</f>
        <v>Expenditure : Poor HHs</v>
      </c>
      <c r="H3" s="257"/>
      <c r="I3" s="257"/>
      <c r="J3" s="257"/>
      <c r="K3" s="243"/>
      <c r="L3" s="257" t="str">
        <f>Middle!A67</f>
        <v>Expenditure : Middle HHs</v>
      </c>
      <c r="M3" s="257"/>
      <c r="N3" s="257"/>
      <c r="O3" s="257"/>
      <c r="P3" s="257"/>
      <c r="Q3" s="244"/>
      <c r="R3" s="257" t="str">
        <f>Rich!A67</f>
        <v>Expenditure : Better-off HHs</v>
      </c>
      <c r="S3" s="257"/>
      <c r="T3" s="257"/>
      <c r="U3" s="25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2016-10-18T12:59:35Z</dcterms:modified>
  <cp:category/>
</cp:coreProperties>
</file>