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8800" windowHeight="16760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8" l="1"/>
  <c r="C6" i="8"/>
  <c r="D6" i="8"/>
  <c r="I6" i="8"/>
  <c r="B7" i="8"/>
  <c r="C7" i="8"/>
  <c r="D7" i="8"/>
  <c r="I7" i="8"/>
  <c r="B8" i="8"/>
  <c r="C8" i="8"/>
  <c r="D8" i="8"/>
  <c r="I8" i="8"/>
  <c r="B9" i="8"/>
  <c r="C9" i="8"/>
  <c r="D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B37" i="8"/>
  <c r="B80" i="8"/>
  <c r="B82" i="8"/>
  <c r="B83" i="8"/>
  <c r="B91" i="8"/>
  <c r="C37" i="8"/>
  <c r="C91" i="8"/>
  <c r="D91" i="8"/>
  <c r="I91" i="8"/>
  <c r="B38" i="8"/>
  <c r="B92" i="8"/>
  <c r="C38" i="8"/>
  <c r="C92" i="8"/>
  <c r="D92" i="8"/>
  <c r="I92" i="8"/>
  <c r="B39" i="8"/>
  <c r="B93" i="8"/>
  <c r="C39" i="8"/>
  <c r="C93" i="8"/>
  <c r="D93" i="8"/>
  <c r="I93" i="8"/>
  <c r="B40" i="8"/>
  <c r="B94" i="8"/>
  <c r="C40" i="8"/>
  <c r="C94" i="8"/>
  <c r="D94" i="8"/>
  <c r="I94" i="8"/>
  <c r="B41" i="8"/>
  <c r="B95" i="8"/>
  <c r="C41" i="8"/>
  <c r="C95" i="8"/>
  <c r="D95" i="8"/>
  <c r="I95" i="8"/>
  <c r="B42" i="8"/>
  <c r="B96" i="8"/>
  <c r="C42" i="8"/>
  <c r="C96" i="8"/>
  <c r="D96" i="8"/>
  <c r="I96" i="8"/>
  <c r="B43" i="8"/>
  <c r="B97" i="8"/>
  <c r="C43" i="8"/>
  <c r="C97" i="8"/>
  <c r="D97" i="8"/>
  <c r="I97" i="8"/>
  <c r="B44" i="8"/>
  <c r="B98" i="8"/>
  <c r="C44" i="8"/>
  <c r="C98" i="8"/>
  <c r="D98" i="8"/>
  <c r="I98" i="8"/>
  <c r="B45" i="8"/>
  <c r="B99" i="8"/>
  <c r="C45" i="8"/>
  <c r="C99" i="8"/>
  <c r="D99" i="8"/>
  <c r="I99" i="8"/>
  <c r="B46" i="8"/>
  <c r="B100" i="8"/>
  <c r="C46" i="8"/>
  <c r="C100" i="8"/>
  <c r="D100" i="8"/>
  <c r="I100" i="8"/>
  <c r="B47" i="8"/>
  <c r="B101" i="8"/>
  <c r="C47" i="8"/>
  <c r="C101" i="8"/>
  <c r="D101" i="8"/>
  <c r="I101" i="8"/>
  <c r="B48" i="8"/>
  <c r="B102" i="8"/>
  <c r="C48" i="8"/>
  <c r="C102" i="8"/>
  <c r="D102" i="8"/>
  <c r="I102" i="8"/>
  <c r="B49" i="8"/>
  <c r="B103" i="8"/>
  <c r="C49" i="8"/>
  <c r="C103" i="8"/>
  <c r="D103" i="8"/>
  <c r="I103" i="8"/>
  <c r="B50" i="8"/>
  <c r="B104" i="8"/>
  <c r="C50" i="8"/>
  <c r="C104" i="8"/>
  <c r="D104" i="8"/>
  <c r="I104" i="8"/>
  <c r="B51" i="8"/>
  <c r="B105" i="8"/>
  <c r="C51" i="8"/>
  <c r="C105" i="8"/>
  <c r="D105" i="8"/>
  <c r="I105" i="8"/>
  <c r="B52" i="8"/>
  <c r="B106" i="8"/>
  <c r="C52" i="8"/>
  <c r="C106" i="8"/>
  <c r="D106" i="8"/>
  <c r="I106" i="8"/>
  <c r="B53" i="8"/>
  <c r="B107" i="8"/>
  <c r="C53" i="8"/>
  <c r="C107" i="8"/>
  <c r="D107" i="8"/>
  <c r="I107" i="8"/>
  <c r="B54" i="8"/>
  <c r="B108" i="8"/>
  <c r="C54" i="8"/>
  <c r="C108" i="8"/>
  <c r="D108" i="8"/>
  <c r="I108" i="8"/>
  <c r="B55" i="8"/>
  <c r="B109" i="8"/>
  <c r="C55" i="8"/>
  <c r="C109" i="8"/>
  <c r="D109" i="8"/>
  <c r="I109" i="8"/>
  <c r="B56" i="8"/>
  <c r="B110" i="8"/>
  <c r="C56" i="8"/>
  <c r="C110" i="8"/>
  <c r="D110" i="8"/>
  <c r="I110" i="8"/>
  <c r="B57" i="8"/>
  <c r="B111" i="8"/>
  <c r="C57" i="8"/>
  <c r="C111" i="8"/>
  <c r="D111" i="8"/>
  <c r="I111" i="8"/>
  <c r="B58" i="8"/>
  <c r="B112" i="8"/>
  <c r="C58" i="8"/>
  <c r="C112" i="8"/>
  <c r="D112" i="8"/>
  <c r="I112" i="8"/>
  <c r="B59" i="8"/>
  <c r="B113" i="8"/>
  <c r="C59" i="8"/>
  <c r="C113" i="8"/>
  <c r="D113" i="8"/>
  <c r="I113" i="8"/>
  <c r="B60" i="8"/>
  <c r="B114" i="8"/>
  <c r="C60" i="8"/>
  <c r="C114" i="8"/>
  <c r="D114" i="8"/>
  <c r="I114" i="8"/>
  <c r="B61" i="8"/>
  <c r="B115" i="8"/>
  <c r="C61" i="8"/>
  <c r="C115" i="8"/>
  <c r="D115" i="8"/>
  <c r="I115" i="8"/>
  <c r="B62" i="8"/>
  <c r="B116" i="8"/>
  <c r="C62" i="8"/>
  <c r="C116" i="8"/>
  <c r="D116" i="8"/>
  <c r="I116" i="8"/>
  <c r="B63" i="8"/>
  <c r="B117" i="8"/>
  <c r="C63" i="8"/>
  <c r="C117" i="8"/>
  <c r="D117" i="8"/>
  <c r="I117" i="8"/>
  <c r="B64" i="8"/>
  <c r="B118" i="8"/>
  <c r="C64" i="8"/>
  <c r="C118" i="8"/>
  <c r="D118" i="8"/>
  <c r="I118" i="8"/>
  <c r="I119" i="8"/>
  <c r="B70" i="8"/>
  <c r="B124" i="8"/>
  <c r="I124" i="8"/>
  <c r="I30" i="8"/>
  <c r="I32" i="8"/>
  <c r="B71" i="8"/>
  <c r="B125" i="8"/>
  <c r="I128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72" i="8"/>
  <c r="B126" i="8"/>
  <c r="B128" i="8"/>
  <c r="K128" i="8"/>
  <c r="L128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B6" i="7"/>
  <c r="C6" i="7"/>
  <c r="D6" i="7"/>
  <c r="I6" i="7"/>
  <c r="B7" i="7"/>
  <c r="C7" i="7"/>
  <c r="D7" i="7"/>
  <c r="I7" i="7"/>
  <c r="B8" i="7"/>
  <c r="C8" i="7"/>
  <c r="D8" i="7"/>
  <c r="I8" i="7"/>
  <c r="B9" i="7"/>
  <c r="C9" i="7"/>
  <c r="D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B37" i="7"/>
  <c r="B80" i="7"/>
  <c r="B82" i="7"/>
  <c r="B83" i="7"/>
  <c r="B91" i="7"/>
  <c r="C37" i="7"/>
  <c r="C91" i="7"/>
  <c r="D91" i="7"/>
  <c r="I91" i="7"/>
  <c r="B38" i="7"/>
  <c r="B92" i="7"/>
  <c r="C38" i="7"/>
  <c r="C92" i="7"/>
  <c r="D92" i="7"/>
  <c r="I92" i="7"/>
  <c r="B39" i="7"/>
  <c r="B93" i="7"/>
  <c r="C39" i="7"/>
  <c r="C93" i="7"/>
  <c r="D93" i="7"/>
  <c r="I93" i="7"/>
  <c r="B40" i="7"/>
  <c r="B94" i="7"/>
  <c r="C40" i="7"/>
  <c r="C94" i="7"/>
  <c r="D94" i="7"/>
  <c r="I94" i="7"/>
  <c r="B41" i="7"/>
  <c r="B95" i="7"/>
  <c r="C41" i="7"/>
  <c r="C95" i="7"/>
  <c r="D95" i="7"/>
  <c r="I95" i="7"/>
  <c r="B42" i="7"/>
  <c r="B96" i="7"/>
  <c r="C42" i="7"/>
  <c r="C96" i="7"/>
  <c r="D96" i="7"/>
  <c r="I96" i="7"/>
  <c r="B43" i="7"/>
  <c r="B97" i="7"/>
  <c r="C43" i="7"/>
  <c r="C97" i="7"/>
  <c r="D97" i="7"/>
  <c r="I97" i="7"/>
  <c r="B44" i="7"/>
  <c r="B98" i="7"/>
  <c r="C44" i="7"/>
  <c r="C98" i="7"/>
  <c r="D98" i="7"/>
  <c r="I98" i="7"/>
  <c r="B45" i="7"/>
  <c r="B99" i="7"/>
  <c r="C45" i="7"/>
  <c r="C99" i="7"/>
  <c r="D99" i="7"/>
  <c r="I99" i="7"/>
  <c r="B46" i="7"/>
  <c r="B100" i="7"/>
  <c r="C46" i="7"/>
  <c r="C100" i="7"/>
  <c r="D100" i="7"/>
  <c r="I100" i="7"/>
  <c r="B47" i="7"/>
  <c r="B101" i="7"/>
  <c r="C47" i="7"/>
  <c r="C101" i="7"/>
  <c r="D101" i="7"/>
  <c r="I101" i="7"/>
  <c r="B48" i="7"/>
  <c r="B102" i="7"/>
  <c r="C48" i="7"/>
  <c r="C102" i="7"/>
  <c r="D102" i="7"/>
  <c r="I102" i="7"/>
  <c r="B49" i="7"/>
  <c r="B103" i="7"/>
  <c r="C49" i="7"/>
  <c r="C103" i="7"/>
  <c r="D103" i="7"/>
  <c r="I103" i="7"/>
  <c r="B50" i="7"/>
  <c r="B104" i="7"/>
  <c r="C50" i="7"/>
  <c r="C104" i="7"/>
  <c r="D104" i="7"/>
  <c r="I104" i="7"/>
  <c r="B51" i="7"/>
  <c r="B105" i="7"/>
  <c r="C51" i="7"/>
  <c r="C105" i="7"/>
  <c r="D105" i="7"/>
  <c r="I105" i="7"/>
  <c r="B52" i="7"/>
  <c r="B106" i="7"/>
  <c r="C52" i="7"/>
  <c r="C106" i="7"/>
  <c r="D106" i="7"/>
  <c r="I106" i="7"/>
  <c r="B53" i="7"/>
  <c r="B107" i="7"/>
  <c r="C53" i="7"/>
  <c r="C107" i="7"/>
  <c r="D107" i="7"/>
  <c r="I107" i="7"/>
  <c r="B54" i="7"/>
  <c r="B108" i="7"/>
  <c r="C54" i="7"/>
  <c r="C108" i="7"/>
  <c r="D108" i="7"/>
  <c r="I108" i="7"/>
  <c r="B55" i="7"/>
  <c r="B109" i="7"/>
  <c r="C55" i="7"/>
  <c r="C109" i="7"/>
  <c r="D109" i="7"/>
  <c r="I109" i="7"/>
  <c r="B56" i="7"/>
  <c r="B110" i="7"/>
  <c r="C56" i="7"/>
  <c r="C110" i="7"/>
  <c r="D110" i="7"/>
  <c r="I110" i="7"/>
  <c r="B57" i="7"/>
  <c r="B111" i="7"/>
  <c r="C57" i="7"/>
  <c r="C111" i="7"/>
  <c r="D111" i="7"/>
  <c r="I111" i="7"/>
  <c r="B58" i="7"/>
  <c r="B112" i="7"/>
  <c r="C58" i="7"/>
  <c r="C112" i="7"/>
  <c r="D112" i="7"/>
  <c r="I112" i="7"/>
  <c r="B59" i="7"/>
  <c r="B113" i="7"/>
  <c r="C59" i="7"/>
  <c r="C113" i="7"/>
  <c r="D113" i="7"/>
  <c r="I113" i="7"/>
  <c r="B60" i="7"/>
  <c r="B114" i="7"/>
  <c r="C60" i="7"/>
  <c r="C114" i="7"/>
  <c r="D114" i="7"/>
  <c r="I114" i="7"/>
  <c r="B61" i="7"/>
  <c r="B115" i="7"/>
  <c r="C61" i="7"/>
  <c r="C115" i="7"/>
  <c r="D115" i="7"/>
  <c r="I115" i="7"/>
  <c r="B62" i="7"/>
  <c r="B116" i="7"/>
  <c r="C62" i="7"/>
  <c r="C116" i="7"/>
  <c r="D116" i="7"/>
  <c r="I116" i="7"/>
  <c r="B63" i="7"/>
  <c r="B117" i="7"/>
  <c r="C63" i="7"/>
  <c r="C117" i="7"/>
  <c r="D117" i="7"/>
  <c r="I117" i="7"/>
  <c r="B64" i="7"/>
  <c r="B118" i="7"/>
  <c r="C64" i="7"/>
  <c r="C118" i="7"/>
  <c r="D118" i="7"/>
  <c r="I118" i="7"/>
  <c r="I119" i="7"/>
  <c r="B70" i="7"/>
  <c r="B124" i="7"/>
  <c r="I124" i="7"/>
  <c r="I30" i="7"/>
  <c r="I32" i="7"/>
  <c r="B71" i="7"/>
  <c r="B125" i="7"/>
  <c r="I128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72" i="7"/>
  <c r="B126" i="7"/>
  <c r="B128" i="7"/>
  <c r="K128" i="7"/>
  <c r="L128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B6" i="1"/>
  <c r="C6" i="1"/>
  <c r="D6" i="1"/>
  <c r="F7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B37" i="1"/>
  <c r="B80" i="1"/>
  <c r="B82" i="1"/>
  <c r="B83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70" i="1"/>
  <c r="B124" i="1"/>
  <c r="H124" i="1"/>
  <c r="I124" i="1"/>
  <c r="I30" i="1"/>
  <c r="I32" i="1"/>
  <c r="B71" i="1"/>
  <c r="B125" i="1"/>
  <c r="H125" i="1"/>
  <c r="I128" i="1"/>
  <c r="I131" i="1"/>
  <c r="J6" i="1"/>
  <c r="J7" i="1"/>
  <c r="J8" i="1"/>
  <c r="J9" i="1"/>
  <c r="J10" i="1"/>
  <c r="J11" i="1"/>
  <c r="J12" i="1"/>
  <c r="J13" i="1"/>
  <c r="J14" i="1"/>
  <c r="J15" i="1"/>
  <c r="J16" i="1"/>
  <c r="J17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B6" i="12"/>
  <c r="C6" i="12"/>
  <c r="D6" i="12"/>
  <c r="I6" i="12"/>
  <c r="B7" i="12"/>
  <c r="C7" i="12"/>
  <c r="D7" i="12"/>
  <c r="I7" i="12"/>
  <c r="B8" i="12"/>
  <c r="C8" i="12"/>
  <c r="D8" i="12"/>
  <c r="I8" i="12"/>
  <c r="B9" i="12"/>
  <c r="C9" i="12"/>
  <c r="D9" i="12"/>
  <c r="I9" i="12"/>
  <c r="B10" i="12"/>
  <c r="C10" i="12"/>
  <c r="D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B29" i="12"/>
  <c r="C29" i="12"/>
  <c r="D29" i="12"/>
  <c r="I29" i="12"/>
  <c r="B37" i="12"/>
  <c r="B80" i="12"/>
  <c r="B82" i="12"/>
  <c r="B83" i="12"/>
  <c r="B91" i="12"/>
  <c r="C37" i="12"/>
  <c r="C91" i="12"/>
  <c r="D91" i="12"/>
  <c r="I91" i="12"/>
  <c r="B38" i="12"/>
  <c r="B92" i="12"/>
  <c r="C38" i="12"/>
  <c r="C92" i="12"/>
  <c r="D92" i="12"/>
  <c r="I92" i="12"/>
  <c r="B39" i="12"/>
  <c r="B93" i="12"/>
  <c r="C39" i="12"/>
  <c r="C93" i="12"/>
  <c r="D93" i="12"/>
  <c r="I93" i="12"/>
  <c r="B40" i="12"/>
  <c r="B94" i="12"/>
  <c r="C40" i="12"/>
  <c r="C94" i="12"/>
  <c r="D94" i="12"/>
  <c r="I94" i="12"/>
  <c r="B41" i="12"/>
  <c r="B95" i="12"/>
  <c r="C41" i="12"/>
  <c r="C95" i="12"/>
  <c r="D95" i="12"/>
  <c r="I95" i="12"/>
  <c r="B42" i="12"/>
  <c r="B96" i="12"/>
  <c r="C42" i="12"/>
  <c r="C96" i="12"/>
  <c r="D96" i="12"/>
  <c r="I96" i="12"/>
  <c r="B43" i="12"/>
  <c r="B97" i="12"/>
  <c r="C43" i="12"/>
  <c r="C97" i="12"/>
  <c r="D97" i="12"/>
  <c r="I97" i="12"/>
  <c r="B44" i="12"/>
  <c r="B98" i="12"/>
  <c r="C44" i="12"/>
  <c r="C98" i="12"/>
  <c r="D98" i="12"/>
  <c r="I98" i="12"/>
  <c r="B45" i="12"/>
  <c r="B99" i="12"/>
  <c r="C45" i="12"/>
  <c r="C99" i="12"/>
  <c r="D99" i="12"/>
  <c r="I99" i="12"/>
  <c r="B46" i="12"/>
  <c r="B100" i="12"/>
  <c r="C46" i="12"/>
  <c r="C100" i="12"/>
  <c r="D100" i="12"/>
  <c r="I100" i="12"/>
  <c r="B47" i="12"/>
  <c r="B101" i="12"/>
  <c r="C47" i="12"/>
  <c r="C101" i="12"/>
  <c r="D101" i="12"/>
  <c r="I101" i="12"/>
  <c r="B48" i="12"/>
  <c r="B102" i="12"/>
  <c r="C48" i="12"/>
  <c r="C102" i="12"/>
  <c r="D102" i="12"/>
  <c r="I102" i="12"/>
  <c r="B49" i="12"/>
  <c r="B103" i="12"/>
  <c r="C49" i="12"/>
  <c r="C103" i="12"/>
  <c r="D103" i="12"/>
  <c r="I103" i="12"/>
  <c r="B50" i="12"/>
  <c r="B104" i="12"/>
  <c r="C50" i="12"/>
  <c r="C104" i="12"/>
  <c r="D104" i="12"/>
  <c r="I104" i="12"/>
  <c r="B51" i="12"/>
  <c r="B105" i="12"/>
  <c r="C51" i="12"/>
  <c r="C105" i="12"/>
  <c r="D105" i="12"/>
  <c r="I105" i="12"/>
  <c r="B52" i="12"/>
  <c r="B106" i="12"/>
  <c r="C52" i="12"/>
  <c r="C106" i="12"/>
  <c r="D106" i="12"/>
  <c r="I106" i="12"/>
  <c r="B53" i="12"/>
  <c r="B107" i="12"/>
  <c r="C53" i="12"/>
  <c r="C107" i="12"/>
  <c r="D107" i="12"/>
  <c r="I107" i="12"/>
  <c r="B54" i="12"/>
  <c r="B108" i="12"/>
  <c r="C54" i="12"/>
  <c r="C108" i="12"/>
  <c r="D108" i="12"/>
  <c r="I108" i="12"/>
  <c r="B55" i="12"/>
  <c r="B109" i="12"/>
  <c r="C55" i="12"/>
  <c r="C109" i="12"/>
  <c r="D109" i="12"/>
  <c r="I109" i="12"/>
  <c r="B56" i="12"/>
  <c r="B110" i="12"/>
  <c r="C56" i="12"/>
  <c r="C110" i="12"/>
  <c r="D110" i="12"/>
  <c r="I110" i="12"/>
  <c r="B57" i="12"/>
  <c r="B111" i="12"/>
  <c r="C57" i="12"/>
  <c r="C111" i="12"/>
  <c r="D111" i="12"/>
  <c r="I111" i="12"/>
  <c r="B58" i="12"/>
  <c r="B112" i="12"/>
  <c r="C58" i="12"/>
  <c r="C112" i="12"/>
  <c r="D112" i="12"/>
  <c r="I112" i="12"/>
  <c r="B59" i="12"/>
  <c r="B113" i="12"/>
  <c r="C59" i="12"/>
  <c r="C113" i="12"/>
  <c r="D113" i="12"/>
  <c r="I113" i="12"/>
  <c r="B60" i="12"/>
  <c r="B114" i="12"/>
  <c r="C60" i="12"/>
  <c r="C114" i="12"/>
  <c r="D114" i="12"/>
  <c r="I114" i="12"/>
  <c r="B61" i="12"/>
  <c r="B115" i="12"/>
  <c r="C61" i="12"/>
  <c r="C115" i="12"/>
  <c r="D115" i="12"/>
  <c r="I115" i="12"/>
  <c r="B62" i="12"/>
  <c r="B116" i="12"/>
  <c r="C62" i="12"/>
  <c r="C116" i="12"/>
  <c r="D116" i="12"/>
  <c r="I116" i="12"/>
  <c r="B63" i="12"/>
  <c r="B117" i="12"/>
  <c r="C63" i="12"/>
  <c r="C117" i="12"/>
  <c r="D117" i="12"/>
  <c r="I117" i="12"/>
  <c r="B64" i="12"/>
  <c r="B118" i="12"/>
  <c r="C64" i="12"/>
  <c r="C118" i="12"/>
  <c r="D118" i="12"/>
  <c r="I118" i="12"/>
  <c r="I119" i="12"/>
  <c r="B70" i="12"/>
  <c r="B124" i="12"/>
  <c r="I124" i="12"/>
  <c r="I30" i="12"/>
  <c r="I32" i="12"/>
  <c r="B71" i="12"/>
  <c r="B125" i="12"/>
  <c r="I128" i="12"/>
  <c r="I131" i="12"/>
  <c r="J6" i="12"/>
  <c r="J7" i="12"/>
  <c r="J8" i="12"/>
  <c r="J9" i="12"/>
  <c r="J10" i="12"/>
  <c r="J11" i="12"/>
  <c r="J12" i="12"/>
  <c r="J13" i="12"/>
  <c r="J14" i="12"/>
  <c r="J15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72" i="12"/>
  <c r="B126" i="12"/>
  <c r="B128" i="12"/>
  <c r="K128" i="12"/>
  <c r="L128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I83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I83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I83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G37" i="7"/>
  <c r="G37" i="8"/>
  <c r="H91" i="8"/>
  <c r="B81" i="8"/>
  <c r="G38" i="8"/>
  <c r="H92" i="8"/>
  <c r="G39" i="8"/>
  <c r="H93" i="8"/>
  <c r="G40" i="8"/>
  <c r="H94" i="8"/>
  <c r="G41" i="8"/>
  <c r="H95" i="8"/>
  <c r="G42" i="8"/>
  <c r="H96" i="8"/>
  <c r="G43" i="8"/>
  <c r="H97" i="8"/>
  <c r="G44" i="8"/>
  <c r="H98" i="8"/>
  <c r="G45" i="8"/>
  <c r="H99" i="8"/>
  <c r="G46" i="8"/>
  <c r="H100" i="8"/>
  <c r="G47" i="8"/>
  <c r="H101" i="8"/>
  <c r="G48" i="8"/>
  <c r="H102" i="8"/>
  <c r="G49" i="8"/>
  <c r="H103" i="8"/>
  <c r="G50" i="8"/>
  <c r="H104" i="8"/>
  <c r="G51" i="8"/>
  <c r="H105" i="8"/>
  <c r="G52" i="8"/>
  <c r="H106" i="8"/>
  <c r="G53" i="8"/>
  <c r="H107" i="8"/>
  <c r="G54" i="8"/>
  <c r="H108" i="8"/>
  <c r="G55" i="8"/>
  <c r="H109" i="8"/>
  <c r="G56" i="8"/>
  <c r="H110" i="8"/>
  <c r="G57" i="8"/>
  <c r="H111" i="8"/>
  <c r="G58" i="8"/>
  <c r="H112" i="8"/>
  <c r="G59" i="8"/>
  <c r="H113" i="8"/>
  <c r="G60" i="8"/>
  <c r="H114" i="8"/>
  <c r="G61" i="8"/>
  <c r="H115" i="8"/>
  <c r="G62" i="8"/>
  <c r="H116" i="8"/>
  <c r="G63" i="8"/>
  <c r="H117" i="8"/>
  <c r="G64" i="8"/>
  <c r="H118" i="8"/>
  <c r="H124" i="8"/>
  <c r="H125" i="8"/>
  <c r="H126" i="8"/>
  <c r="H127" i="8"/>
  <c r="H91" i="7"/>
  <c r="B81" i="7"/>
  <c r="G38" i="1"/>
  <c r="G38" i="7"/>
  <c r="H92" i="7"/>
  <c r="G39" i="1"/>
  <c r="G39" i="7"/>
  <c r="H93" i="7"/>
  <c r="G40" i="1"/>
  <c r="G40" i="7"/>
  <c r="H94" i="7"/>
  <c r="G41" i="1"/>
  <c r="G41" i="7"/>
  <c r="H95" i="7"/>
  <c r="G42" i="1"/>
  <c r="G42" i="7"/>
  <c r="H96" i="7"/>
  <c r="G43" i="1"/>
  <c r="G43" i="7"/>
  <c r="H97" i="7"/>
  <c r="G44" i="1"/>
  <c r="G44" i="7"/>
  <c r="H98" i="7"/>
  <c r="G45" i="1"/>
  <c r="G45" i="7"/>
  <c r="H99" i="7"/>
  <c r="G46" i="1"/>
  <c r="G46" i="7"/>
  <c r="H100" i="7"/>
  <c r="G47" i="1"/>
  <c r="G47" i="7"/>
  <c r="H101" i="7"/>
  <c r="G48" i="1"/>
  <c r="G48" i="7"/>
  <c r="H102" i="7"/>
  <c r="G49" i="1"/>
  <c r="G49" i="7"/>
  <c r="H103" i="7"/>
  <c r="G50" i="1"/>
  <c r="G50" i="7"/>
  <c r="H104" i="7"/>
  <c r="G51" i="1"/>
  <c r="G51" i="7"/>
  <c r="H105" i="7"/>
  <c r="G52" i="1"/>
  <c r="G52" i="7"/>
  <c r="H106" i="7"/>
  <c r="G53" i="1"/>
  <c r="G53" i="7"/>
  <c r="H107" i="7"/>
  <c r="G54" i="1"/>
  <c r="G54" i="7"/>
  <c r="H108" i="7"/>
  <c r="G55" i="1"/>
  <c r="G55" i="7"/>
  <c r="H109" i="7"/>
  <c r="G56" i="1"/>
  <c r="G56" i="7"/>
  <c r="H110" i="7"/>
  <c r="G57" i="1"/>
  <c r="G57" i="7"/>
  <c r="H111" i="7"/>
  <c r="G58" i="1"/>
  <c r="G58" i="7"/>
  <c r="H112" i="7"/>
  <c r="G59" i="1"/>
  <c r="G59" i="7"/>
  <c r="H113" i="7"/>
  <c r="G60" i="1"/>
  <c r="G60" i="7"/>
  <c r="H114" i="7"/>
  <c r="G61" i="1"/>
  <c r="G61" i="7"/>
  <c r="H115" i="7"/>
  <c r="G62" i="1"/>
  <c r="G62" i="7"/>
  <c r="H116" i="7"/>
  <c r="G63" i="1"/>
  <c r="G63" i="7"/>
  <c r="H117" i="7"/>
  <c r="G64" i="1"/>
  <c r="G64" i="7"/>
  <c r="H118" i="7"/>
  <c r="H124" i="7"/>
  <c r="H125" i="7"/>
  <c r="H126" i="7"/>
  <c r="H127" i="7"/>
  <c r="G37" i="12"/>
  <c r="H91" i="12"/>
  <c r="B81" i="12"/>
  <c r="G38" i="12"/>
  <c r="H92" i="12"/>
  <c r="G39" i="12"/>
  <c r="H93" i="12"/>
  <c r="G40" i="12"/>
  <c r="H94" i="12"/>
  <c r="G41" i="12"/>
  <c r="H95" i="12"/>
  <c r="G42" i="12"/>
  <c r="H96" i="12"/>
  <c r="G43" i="12"/>
  <c r="H97" i="12"/>
  <c r="G44" i="12"/>
  <c r="H98" i="12"/>
  <c r="G45" i="12"/>
  <c r="H99" i="12"/>
  <c r="G46" i="12"/>
  <c r="H100" i="12"/>
  <c r="G47" i="12"/>
  <c r="H101" i="12"/>
  <c r="G48" i="12"/>
  <c r="H102" i="12"/>
  <c r="G49" i="12"/>
  <c r="H103" i="12"/>
  <c r="G50" i="12"/>
  <c r="H104" i="12"/>
  <c r="G51" i="12"/>
  <c r="H105" i="12"/>
  <c r="G52" i="12"/>
  <c r="H106" i="12"/>
  <c r="G53" i="12"/>
  <c r="H107" i="12"/>
  <c r="G54" i="12"/>
  <c r="H108" i="12"/>
  <c r="G55" i="12"/>
  <c r="H109" i="12"/>
  <c r="G56" i="12"/>
  <c r="H110" i="12"/>
  <c r="G57" i="12"/>
  <c r="H111" i="12"/>
  <c r="G58" i="12"/>
  <c r="H112" i="12"/>
  <c r="G59" i="12"/>
  <c r="H113" i="12"/>
  <c r="G60" i="12"/>
  <c r="H114" i="12"/>
  <c r="G61" i="12"/>
  <c r="H115" i="12"/>
  <c r="G62" i="12"/>
  <c r="H116" i="12"/>
  <c r="G63" i="12"/>
  <c r="H117" i="12"/>
  <c r="G64" i="12"/>
  <c r="H118" i="12"/>
  <c r="H124" i="12"/>
  <c r="H125" i="12"/>
  <c r="H126" i="12"/>
  <c r="H127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B81" i="1"/>
  <c r="L125" i="1"/>
  <c r="L126" i="1"/>
  <c r="L130" i="1"/>
  <c r="L129" i="1"/>
  <c r="B130" i="1"/>
  <c r="B129" i="1"/>
  <c r="B75" i="1"/>
  <c r="L75" i="12"/>
  <c r="H83" i="8"/>
  <c r="H83" i="7"/>
  <c r="H83" i="12"/>
  <c r="A1" i="1"/>
  <c r="B1" i="1"/>
  <c r="I127" i="8"/>
  <c r="I73" i="8"/>
  <c r="B32" i="8"/>
  <c r="I125" i="8"/>
  <c r="I71" i="8"/>
  <c r="I126" i="8"/>
  <c r="I72" i="8"/>
  <c r="H70" i="1"/>
  <c r="F70" i="7"/>
  <c r="F70" i="8"/>
  <c r="E70" i="7"/>
  <c r="E70" i="8"/>
  <c r="F9" i="8"/>
  <c r="E71" i="7"/>
  <c r="E71" i="8"/>
  <c r="F71" i="7"/>
  <c r="F71" i="8"/>
  <c r="E72" i="7"/>
  <c r="E72" i="8"/>
  <c r="F72" i="7"/>
  <c r="F72" i="8"/>
  <c r="E29" i="7"/>
  <c r="E29" i="8"/>
  <c r="H29" i="8"/>
  <c r="E28" i="7"/>
  <c r="E28" i="8"/>
  <c r="H28" i="8"/>
  <c r="F9" i="7"/>
  <c r="H29" i="7"/>
  <c r="H28" i="7"/>
  <c r="F9" i="12"/>
  <c r="F70" i="12"/>
  <c r="E70" i="12"/>
  <c r="H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F71" i="12"/>
  <c r="E72" i="12"/>
  <c r="F72" i="12"/>
  <c r="E73" i="12"/>
  <c r="F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H70" i="7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F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F73" i="8"/>
  <c r="A38" i="1"/>
  <c r="A38" i="8"/>
  <c r="A92" i="8"/>
  <c r="A39" i="1"/>
  <c r="A39" i="8"/>
  <c r="A93" i="8"/>
  <c r="A40" i="1"/>
  <c r="A40" i="8"/>
  <c r="A94" i="8"/>
  <c r="A41" i="1"/>
  <c r="A41" i="8"/>
  <c r="A95" i="8"/>
  <c r="A42" i="1"/>
  <c r="A42" i="8"/>
  <c r="A96" i="8"/>
  <c r="A43" i="1"/>
  <c r="A43" i="8"/>
  <c r="A97" i="8"/>
  <c r="A44" i="1"/>
  <c r="A44" i="8"/>
  <c r="A98" i="8"/>
  <c r="A45" i="1"/>
  <c r="A45" i="8"/>
  <c r="A99" i="8"/>
  <c r="A46" i="1"/>
  <c r="A46" i="8"/>
  <c r="A100" i="8"/>
  <c r="A47" i="1"/>
  <c r="A47" i="8"/>
  <c r="A101" i="8"/>
  <c r="A48" i="1"/>
  <c r="A48" i="8"/>
  <c r="A102" i="8"/>
  <c r="A49" i="1"/>
  <c r="A49" i="8"/>
  <c r="A103" i="8"/>
  <c r="A50" i="1"/>
  <c r="A50" i="8"/>
  <c r="A104" i="8"/>
  <c r="A51" i="1"/>
  <c r="A51" i="8"/>
  <c r="A105" i="8"/>
  <c r="A52" i="1"/>
  <c r="A52" i="8"/>
  <c r="A106" i="8"/>
  <c r="A53" i="1"/>
  <c r="A53" i="8"/>
  <c r="A107" i="8"/>
  <c r="A54" i="1"/>
  <c r="A54" i="8"/>
  <c r="A108" i="8"/>
  <c r="A55" i="1"/>
  <c r="A55" i="8"/>
  <c r="A109" i="8"/>
  <c r="A56" i="1"/>
  <c r="A56" i="8"/>
  <c r="A110" i="8"/>
  <c r="A57" i="1"/>
  <c r="A57" i="8"/>
  <c r="A111" i="8"/>
  <c r="A58" i="1"/>
  <c r="A58" i="8"/>
  <c r="A112" i="8"/>
  <c r="A59" i="1"/>
  <c r="A59" i="8"/>
  <c r="A113" i="8"/>
  <c r="A60" i="1"/>
  <c r="A60" i="8"/>
  <c r="A114" i="8"/>
  <c r="A61" i="1"/>
  <c r="A61" i="8"/>
  <c r="A115" i="8"/>
  <c r="A62" i="1"/>
  <c r="A62" i="8"/>
  <c r="A116" i="8"/>
  <c r="A63" i="1"/>
  <c r="A63" i="8"/>
  <c r="A117" i="8"/>
  <c r="A64" i="1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1"/>
  <c r="A18" i="8"/>
  <c r="A19" i="1"/>
  <c r="A19" i="8"/>
  <c r="A20" i="1"/>
  <c r="A20" i="8"/>
  <c r="A21" i="1"/>
  <c r="A21" i="8"/>
  <c r="A22" i="1"/>
  <c r="A22" i="8"/>
  <c r="A23" i="1"/>
  <c r="A23" i="8"/>
  <c r="A24" i="1"/>
  <c r="A24" i="8"/>
  <c r="A25" i="1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"/>
  <c r="A16" i="12"/>
  <c r="A17" i="1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37" i="1"/>
  <c r="A30" i="1"/>
  <c r="A7" i="1"/>
  <c r="A8" i="1"/>
  <c r="A9" i="1"/>
  <c r="A10" i="1"/>
  <c r="A11" i="1"/>
  <c r="A12" i="1"/>
  <c r="A13" i="1"/>
  <c r="A14" i="1"/>
  <c r="A15" i="1"/>
  <c r="A26" i="1"/>
  <c r="A27" i="1"/>
  <c r="A28" i="1"/>
  <c r="A29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B87" i="8"/>
  <c r="B79" i="8"/>
  <c r="B87" i="7"/>
  <c r="B79" i="7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B2" i="13"/>
  <c r="E2" i="13"/>
  <c r="D2" i="13"/>
  <c r="C2" i="13"/>
  <c r="B87" i="1"/>
  <c r="B79" i="1"/>
  <c r="A6" i="1"/>
  <c r="B87" i="12"/>
  <c r="B79" i="12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0" i="8"/>
  <c r="H71" i="8"/>
  <c r="H72" i="8"/>
  <c r="H73" i="8"/>
  <c r="I92" i="9"/>
  <c r="H92" i="9"/>
  <c r="H71" i="1"/>
  <c r="H72" i="1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E6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E11" i="13"/>
  <c r="CI33" i="13"/>
  <c r="E4" i="13"/>
  <c r="CM27" i="13"/>
  <c r="E5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E15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7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AE8" i="1"/>
  <c r="AE9" i="1"/>
  <c r="AE10" i="1"/>
  <c r="AE11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A9" i="1"/>
  <c r="AA10" i="1"/>
  <c r="AA11" i="1"/>
  <c r="J119" i="1"/>
  <c r="J124" i="1"/>
  <c r="J70" i="1"/>
  <c r="AA70" i="1"/>
  <c r="J39" i="1"/>
  <c r="Y8" i="1"/>
  <c r="Z8" i="1"/>
  <c r="Z39" i="1"/>
  <c r="AA39" i="1"/>
  <c r="J40" i="1"/>
  <c r="Y9" i="1"/>
  <c r="Z9" i="1"/>
  <c r="Z40" i="1"/>
  <c r="AA40" i="1"/>
  <c r="J41" i="1"/>
  <c r="Y1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Y7" i="1"/>
  <c r="Z7" i="1"/>
  <c r="AB7" i="1"/>
  <c r="AD7" i="1"/>
  <c r="AF7" i="1"/>
  <c r="AG7" i="1"/>
  <c r="AC6" i="1"/>
  <c r="AC12" i="1"/>
  <c r="AC13" i="1"/>
  <c r="AC14" i="1"/>
  <c r="AC15" i="1"/>
  <c r="AC16" i="1"/>
  <c r="AC17" i="1"/>
  <c r="AC26" i="1"/>
  <c r="AC27" i="1"/>
  <c r="AC28" i="1"/>
  <c r="AC29" i="1"/>
  <c r="AC8" i="1"/>
  <c r="AB8" i="1"/>
  <c r="AD8" i="1"/>
  <c r="AF8" i="1"/>
  <c r="AG8" i="1"/>
  <c r="AC9" i="1"/>
  <c r="AB9" i="1"/>
  <c r="AD9" i="1"/>
  <c r="AF9" i="1"/>
  <c r="AG9" i="1"/>
  <c r="Y10" i="1"/>
  <c r="Z10" i="1"/>
  <c r="AC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B37" i="1"/>
  <c r="AD37" i="1"/>
  <c r="AF37" i="1"/>
  <c r="AG37" i="1"/>
  <c r="J38" i="1"/>
  <c r="Z38" i="1"/>
  <c r="AC11" i="1"/>
  <c r="AC70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8" i="1"/>
  <c r="AB38" i="1"/>
  <c r="AE70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8" i="1"/>
  <c r="AD38" i="1"/>
  <c r="AF38" i="1"/>
  <c r="AG38" i="1"/>
  <c r="AB39" i="1"/>
  <c r="AD39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39" i="1"/>
  <c r="AC37" i="1"/>
  <c r="AC65" i="1"/>
  <c r="AC79" i="1"/>
  <c r="AC30" i="1"/>
  <c r="AC74" i="1"/>
  <c r="AE39" i="1"/>
  <c r="AE37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B38" i="12"/>
  <c r="AD38" i="12"/>
  <c r="AF38" i="12"/>
  <c r="AG38" i="12"/>
  <c r="AB39" i="12"/>
  <c r="AD39" i="12"/>
  <c r="AF39" i="12"/>
  <c r="AG39" i="12"/>
  <c r="AB40" i="12"/>
  <c r="AD40" i="12"/>
  <c r="AF40" i="12"/>
  <c r="AG40" i="12"/>
  <c r="AB41" i="12"/>
  <c r="AD41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70" i="12"/>
  <c r="AC39" i="12"/>
  <c r="AC40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C38" i="12"/>
  <c r="AC65" i="12"/>
  <c r="AC79" i="12"/>
  <c r="AC30" i="12"/>
  <c r="AC74" i="12"/>
  <c r="AE70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E38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<sst xmlns="http://schemas.openxmlformats.org/spreadsheetml/2006/main" count="790" uniqueCount="145">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</sst>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4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4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  <xf numFmtId="38" fontId="7" fillId="0" borderId="0" xfId="0" applyNumberFormat="1" applyFont="1" applyBorder="1" applyAlignment="1" applyProtection="1"/>
    <xf numFmtId="174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</cellXfs>
  <cellStyles count="11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0.00834371108343711</c:v>
                </c:pt>
                <c:pt idx="1">
                  <c:v>0.00834371108343711</c:v>
                </c:pt>
                <c:pt idx="2" formatCode="0.0%">
                  <c:v>0.00834371108343711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0.0261715733966376</c:v>
                </c:pt>
                <c:pt idx="1">
                  <c:v>0.0261715733966376</c:v>
                </c:pt>
                <c:pt idx="2" formatCode="0.0%">
                  <c:v>0.0261715733966376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0.0425</c:v>
                </c:pt>
                <c:pt idx="1">
                  <c:v>0.0425</c:v>
                </c:pt>
                <c:pt idx="2" formatCode="0.0%">
                  <c:v>0.0425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0.0887185787671233</c:v>
                </c:pt>
                <c:pt idx="1">
                  <c:v>0.0887185787671233</c:v>
                </c:pt>
                <c:pt idx="2" formatCode="0.0%">
                  <c:v>0.0887185787671233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0.0828528876089664</c:v>
                </c:pt>
                <c:pt idx="1">
                  <c:v>0.0828528876089664</c:v>
                </c:pt>
                <c:pt idx="2" formatCode="0.0%">
                  <c:v>0.0828528876089664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0.0219963418430884</c:v>
                </c:pt>
                <c:pt idx="1">
                  <c:v>0.0219963418430884</c:v>
                </c:pt>
                <c:pt idx="2" formatCode="0.0%">
                  <c:v>0.0219963418430884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0.0259884806973848</c:v>
                </c:pt>
                <c:pt idx="1">
                  <c:v>0.0259884806973848</c:v>
                </c:pt>
                <c:pt idx="2" formatCode="0.0%">
                  <c:v>0.0259884806973848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0.0584907169987546</c:v>
                </c:pt>
                <c:pt idx="1">
                  <c:v>0.0584907169987546</c:v>
                </c:pt>
                <c:pt idx="2" formatCode="0.0%">
                  <c:v>0.105660650062266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0.00830946450809464</c:v>
                </c:pt>
                <c:pt idx="1">
                  <c:v>0.00830946450809464</c:v>
                </c:pt>
                <c:pt idx="2" formatCode="0.0%">
                  <c:v>0.00851175589055132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0.0208223069738481</c:v>
                </c:pt>
                <c:pt idx="1">
                  <c:v>0.0208223069738481</c:v>
                </c:pt>
                <c:pt idx="2" formatCode="0.0%">
                  <c:v>0.0208223069738481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0.0567798904109589</c:v>
                </c:pt>
                <c:pt idx="1">
                  <c:v>0.0567798904109589</c:v>
                </c:pt>
                <c:pt idx="2" formatCode="0.0%">
                  <c:v>0.0567798904109589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0.0189266301369863</c:v>
                </c:pt>
                <c:pt idx="1">
                  <c:v>0.0189266301369863</c:v>
                </c:pt>
                <c:pt idx="2" formatCode="0.0%">
                  <c:v>0.0189266301369863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0.197158914694894</c:v>
                </c:pt>
                <c:pt idx="1">
                  <c:v>0.197158914694894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0.570487345890411</c:v>
                </c:pt>
                <c:pt idx="1">
                  <c:v>0.570487345890411</c:v>
                </c:pt>
                <c:pt idx="2" formatCode="0.0%">
                  <c:v>0.149042800139135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7081896"/>
        <c:axId val="1837075944"/>
      </c:barChart>
      <c:catAx>
        <c:axId val="1837081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7075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7075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7081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0.0580500972339129</c:v>
                </c:pt>
                <c:pt idx="1">
                  <c:v>0.0580500972339129</c:v>
                </c:pt>
                <c:pt idx="2">
                  <c:v>0.0580500972339129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0.0435375729254346</c:v>
                </c:pt>
                <c:pt idx="1">
                  <c:v>0.0435375729254346</c:v>
                </c:pt>
                <c:pt idx="2">
                  <c:v>0.0486420292470503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0.0145125243084782</c:v>
                </c:pt>
                <c:pt idx="1">
                  <c:v>0.0145125243084782</c:v>
                </c:pt>
                <c:pt idx="2">
                  <c:v>0.0119602961476704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0.0362813107711955</c:v>
                </c:pt>
                <c:pt idx="1">
                  <c:v>0.0362813107711955</c:v>
                </c:pt>
                <c:pt idx="2">
                  <c:v>0.0455331378541239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0.00287347981307869</c:v>
                </c:pt>
                <c:pt idx="1">
                  <c:v>0.00287347981307869</c:v>
                </c:pt>
                <c:pt idx="2">
                  <c:v>0.00236813863723874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0.00725626215423911</c:v>
                </c:pt>
                <c:pt idx="1">
                  <c:v>0.00725626215423911</c:v>
                </c:pt>
                <c:pt idx="2">
                  <c:v>0.00598014807383519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0.00725626215423911</c:v>
                </c:pt>
                <c:pt idx="1">
                  <c:v>0.00725626215423911</c:v>
                </c:pt>
                <c:pt idx="2">
                  <c:v>0.00598014807383519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0.0224073375322904</c:v>
                </c:pt>
                <c:pt idx="1">
                  <c:v>0.0224073375322904</c:v>
                </c:pt>
                <c:pt idx="2">
                  <c:v>0.0184666972520031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0.0116100194467826</c:v>
                </c:pt>
                <c:pt idx="1">
                  <c:v>0.0116100194467826</c:v>
                </c:pt>
                <c:pt idx="2">
                  <c:v>0.0116100194467826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0.00290250486169564</c:v>
                </c:pt>
                <c:pt idx="1">
                  <c:v>0.00290250486169564</c:v>
                </c:pt>
                <c:pt idx="2">
                  <c:v>0.00290250486169564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0.0218268365599512</c:v>
                </c:pt>
                <c:pt idx="1">
                  <c:v>0.0218268365599512</c:v>
                </c:pt>
                <c:pt idx="2">
                  <c:v>0.0218268365599512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0.0124517458566743</c:v>
                </c:pt>
                <c:pt idx="1">
                  <c:v>0.0124517458566743</c:v>
                </c:pt>
                <c:pt idx="2">
                  <c:v>0.0128897082090689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0.0626941050126259</c:v>
                </c:pt>
                <c:pt idx="1">
                  <c:v>0.0626941050126259</c:v>
                </c:pt>
                <c:pt idx="2">
                  <c:v>0.0626941050126259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0.639131570545381</c:v>
                </c:pt>
                <c:pt idx="1">
                  <c:v>0.639131570545381</c:v>
                </c:pt>
                <c:pt idx="2">
                  <c:v>0.639131570545381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0.0107682930368908</c:v>
                </c:pt>
                <c:pt idx="1">
                  <c:v>0.0107682930368908</c:v>
                </c:pt>
                <c:pt idx="2">
                  <c:v>0.0107682930368908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0.0464400777871303</c:v>
                </c:pt>
                <c:pt idx="1">
                  <c:v>0.0464400777871303</c:v>
                </c:pt>
                <c:pt idx="2">
                  <c:v>0.0464400777871303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6167208"/>
        <c:axId val="1836170200"/>
      </c:barChart>
      <c:catAx>
        <c:axId val="1836167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6170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6170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6167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0.138537734215357</c:v>
                </c:pt>
                <c:pt idx="1">
                  <c:v>0.138537734215357</c:v>
                </c:pt>
                <c:pt idx="2">
                  <c:v>0.143047660711726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0.043293041942299</c:v>
                </c:pt>
                <c:pt idx="1">
                  <c:v>0.043293041942299</c:v>
                </c:pt>
                <c:pt idx="2">
                  <c:v>0.0444205235663913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0.00952446922730578</c:v>
                </c:pt>
                <c:pt idx="1">
                  <c:v>0.00952446922730578</c:v>
                </c:pt>
                <c:pt idx="2">
                  <c:v>0.00952446922730578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0.0113427769888823</c:v>
                </c:pt>
                <c:pt idx="1">
                  <c:v>0.0113427769888823</c:v>
                </c:pt>
                <c:pt idx="2">
                  <c:v>0.00986577606132144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0.0216465209711495</c:v>
                </c:pt>
                <c:pt idx="1">
                  <c:v>0.0216465209711495</c:v>
                </c:pt>
                <c:pt idx="2">
                  <c:v>0.0240706064629479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0.00171440446091504</c:v>
                </c:pt>
                <c:pt idx="1">
                  <c:v>0.00171440446091504</c:v>
                </c:pt>
                <c:pt idx="2">
                  <c:v>0.00149116309934477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0.0129879125826897</c:v>
                </c:pt>
                <c:pt idx="1">
                  <c:v>0.0129879125826897</c:v>
                </c:pt>
                <c:pt idx="2">
                  <c:v>0.0112966901465513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0.0197416271256884</c:v>
                </c:pt>
                <c:pt idx="1">
                  <c:v>0.0197416271256884</c:v>
                </c:pt>
                <c:pt idx="2">
                  <c:v>0.0171709690227579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0.00484882069753749</c:v>
                </c:pt>
                <c:pt idx="1">
                  <c:v>0.00484882069753749</c:v>
                </c:pt>
                <c:pt idx="2">
                  <c:v>0.00421743098804581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0.0086586083884598</c:v>
                </c:pt>
                <c:pt idx="1">
                  <c:v>0.0086586083884598</c:v>
                </c:pt>
                <c:pt idx="2">
                  <c:v>0.0086586083884598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0.00519516503307588</c:v>
                </c:pt>
                <c:pt idx="1">
                  <c:v>0.00519516503307588</c:v>
                </c:pt>
                <c:pt idx="2">
                  <c:v>0.00519516503307588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0.0086586083884598</c:v>
                </c:pt>
                <c:pt idx="1">
                  <c:v>0.0086586083884598</c:v>
                </c:pt>
                <c:pt idx="2">
                  <c:v>0.0086586083884598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0.00519516503307588</c:v>
                </c:pt>
                <c:pt idx="1">
                  <c:v>0.00519516503307588</c:v>
                </c:pt>
                <c:pt idx="2">
                  <c:v>0.00519516503307588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0.190489384546116</c:v>
                </c:pt>
                <c:pt idx="1">
                  <c:v>0.190489384546116</c:v>
                </c:pt>
                <c:pt idx="2">
                  <c:v>0.190489384546116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0.41145707061961</c:v>
                </c:pt>
                <c:pt idx="1">
                  <c:v>0.41145707061961</c:v>
                </c:pt>
                <c:pt idx="2">
                  <c:v>0.41145707061961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0.106708689779379</c:v>
                </c:pt>
                <c:pt idx="1">
                  <c:v>0.106708689779379</c:v>
                </c:pt>
                <c:pt idx="2">
                  <c:v>0.106708689779379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4050856"/>
        <c:axId val="2103982360"/>
      </c:barChart>
      <c:catAx>
        <c:axId val="2104050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3982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3982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050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67105544"/>
        <c:axId val="1867172072"/>
      </c:barChart>
      <c:catAx>
        <c:axId val="1867105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7172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7172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7105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ZACNI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2670.728892741367</c:v>
                </c:pt>
                <c:pt idx="1">
                  <c:v>2957.471560229642</c:v>
                </c:pt>
                <c:pt idx="2">
                  <c:v>4116.243051881936</c:v>
                </c:pt>
                <c:pt idx="3">
                  <c:v>4162.8069563668</c:v>
                </c:pt>
                <c:pt idx="4">
                  <c:v>2776.150450448504</c:v>
                </c:pt>
                <c:pt idx="5">
                  <c:v>3358.130724010122</c:v>
                </c:pt>
                <c:pt idx="6">
                  <c:v>4287.363378107894</c:v>
                </c:pt>
                <c:pt idx="7">
                  <c:v>4307.551026161834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836.0</c:v>
                </c:pt>
                <c:pt idx="2">
                  <c:v>3621.0</c:v>
                </c:pt>
                <c:pt idx="3">
                  <c:v>5132.444444444443</c:v>
                </c:pt>
                <c:pt idx="4">
                  <c:v>0.0</c:v>
                </c:pt>
                <c:pt idx="5">
                  <c:v>150.0</c:v>
                </c:pt>
                <c:pt idx="6">
                  <c:v>3610.711965731555</c:v>
                </c:pt>
                <c:pt idx="7">
                  <c:v>4918.428680718085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188.8862895390851</c:v>
                </c:pt>
                <c:pt idx="1">
                  <c:v>291.9192665990381</c:v>
                </c:pt>
                <c:pt idx="2">
                  <c:v>503.01017797997</c:v>
                </c:pt>
                <c:pt idx="3">
                  <c:v>1310.14103173755</c:v>
                </c:pt>
                <c:pt idx="4">
                  <c:v>188.8862895390851</c:v>
                </c:pt>
                <c:pt idx="5">
                  <c:v>291.9192665990381</c:v>
                </c:pt>
                <c:pt idx="6">
                  <c:v>503.01017797997</c:v>
                </c:pt>
                <c:pt idx="7">
                  <c:v>1310.14103173755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500.0</c:v>
                </c:pt>
                <c:pt idx="2">
                  <c:v>3500.0</c:v>
                </c:pt>
                <c:pt idx="3">
                  <c:v>9822.22222222222</c:v>
                </c:pt>
                <c:pt idx="4">
                  <c:v>0.0</c:v>
                </c:pt>
                <c:pt idx="5">
                  <c:v>500.0</c:v>
                </c:pt>
                <c:pt idx="6">
                  <c:v>3675.863833648624</c:v>
                </c:pt>
                <c:pt idx="7">
                  <c:v>10111.58912828815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99.00647774520394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102.2295125365856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1749.301602262017</c:v>
                </c:pt>
                <c:pt idx="2">
                  <c:v>752.0</c:v>
                </c:pt>
                <c:pt idx="3">
                  <c:v>0.0</c:v>
                </c:pt>
                <c:pt idx="4">
                  <c:v>0.0</c:v>
                </c:pt>
                <c:pt idx="5">
                  <c:v>1749.301602262017</c:v>
                </c:pt>
                <c:pt idx="6">
                  <c:v>752.0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30897.77777777778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30897.77777777778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371.0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371.0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429.0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444.089116927052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2160.0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2160.0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1006.866788619538</c:v>
                </c:pt>
                <c:pt idx="1">
                  <c:v>1006.866788619538</c:v>
                </c:pt>
                <c:pt idx="2">
                  <c:v>1006.866788619538</c:v>
                </c:pt>
                <c:pt idx="3">
                  <c:v>894.9927009951452</c:v>
                </c:pt>
                <c:pt idx="4">
                  <c:v>1006.866788619538</c:v>
                </c:pt>
                <c:pt idx="5">
                  <c:v>1006.866788619538</c:v>
                </c:pt>
                <c:pt idx="6">
                  <c:v>1006.866788619538</c:v>
                </c:pt>
                <c:pt idx="7">
                  <c:v>894.9927009951452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344.7737595429588</c:v>
                </c:pt>
                <c:pt idx="3">
                  <c:v>669.0936269029477</c:v>
                </c:pt>
                <c:pt idx="4">
                  <c:v>0.0</c:v>
                </c:pt>
                <c:pt idx="5">
                  <c:v>0.0</c:v>
                </c:pt>
                <c:pt idx="6">
                  <c:v>344.7737595429588</c:v>
                </c:pt>
                <c:pt idx="7">
                  <c:v>669.0936269029477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22020.0</c:v>
                </c:pt>
                <c:pt idx="1">
                  <c:v>22020.0</c:v>
                </c:pt>
                <c:pt idx="2">
                  <c:v>22020.0</c:v>
                </c:pt>
                <c:pt idx="3">
                  <c:v>5477.333333333333</c:v>
                </c:pt>
                <c:pt idx="4">
                  <c:v>22020.0</c:v>
                </c:pt>
                <c:pt idx="5">
                  <c:v>22020.0</c:v>
                </c:pt>
                <c:pt idx="6">
                  <c:v>22020.0</c:v>
                </c:pt>
                <c:pt idx="7">
                  <c:v>5477.333333333333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1600.0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1600.0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78830616"/>
        <c:axId val="-1978854440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20136.90379366834</c:v>
                </c:pt>
                <c:pt idx="1">
                  <c:v>20136.90379366834</c:v>
                </c:pt>
                <c:pt idx="2">
                  <c:v>20136.90379366834</c:v>
                </c:pt>
                <c:pt idx="3">
                  <c:v>20136.90379366834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20136.90379366834</c:v>
                </c:pt>
                <c:pt idx="5" formatCode="#,##0">
                  <c:v>20136.90379366834</c:v>
                </c:pt>
                <c:pt idx="6" formatCode="#,##0">
                  <c:v>20136.90379366834</c:v>
                </c:pt>
                <c:pt idx="7" formatCode="#,##0">
                  <c:v>20136.90379366834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34115.57046033502</c:v>
                </c:pt>
                <c:pt idx="1">
                  <c:v>34115.57046033502</c:v>
                </c:pt>
                <c:pt idx="2">
                  <c:v>34115.57046033502</c:v>
                </c:pt>
                <c:pt idx="3">
                  <c:v>34115.57046033502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34115.57046033502</c:v>
                </c:pt>
                <c:pt idx="5" formatCode="#,##0">
                  <c:v>34115.57046033502</c:v>
                </c:pt>
                <c:pt idx="6" formatCode="#,##0">
                  <c:v>34115.57046033502</c:v>
                </c:pt>
                <c:pt idx="7" formatCode="#,##0">
                  <c:v>34115.57046033502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61859.57046033501</c:v>
                </c:pt>
                <c:pt idx="1">
                  <c:v>61859.57046033501</c:v>
                </c:pt>
                <c:pt idx="2">
                  <c:v>61859.57046033501</c:v>
                </c:pt>
                <c:pt idx="3">
                  <c:v>61859.57046033502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61859.57046033501</c:v>
                </c:pt>
                <c:pt idx="5" formatCode="#,##0">
                  <c:v>61859.57046033501</c:v>
                </c:pt>
                <c:pt idx="6" formatCode="#,##0">
                  <c:v>61859.57046033501</c:v>
                </c:pt>
                <c:pt idx="7" formatCode="#,##0">
                  <c:v>61859.57046033502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8830616"/>
        <c:axId val="-1978854440"/>
      </c:lineChart>
      <c:catAx>
        <c:axId val="-1978830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8854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8854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88306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2670.728892741367</c:v>
                </c:pt>
                <c:pt idx="1">
                  <c:v>2957.471560229642</c:v>
                </c:pt>
                <c:pt idx="2">
                  <c:v>4116.243051881936</c:v>
                </c:pt>
                <c:pt idx="3">
                  <c:v>4162.8069563668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836.0</c:v>
                </c:pt>
                <c:pt idx="2">
                  <c:v>3621.0</c:v>
                </c:pt>
                <c:pt idx="3">
                  <c:v>5132.444444444443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188.8862895390851</c:v>
                </c:pt>
                <c:pt idx="1">
                  <c:v>291.9192665990381</c:v>
                </c:pt>
                <c:pt idx="2">
                  <c:v>503.01017797997</c:v>
                </c:pt>
                <c:pt idx="3">
                  <c:v>1310.14103173755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500.0</c:v>
                </c:pt>
                <c:pt idx="2">
                  <c:v>3500.0</c:v>
                </c:pt>
                <c:pt idx="3">
                  <c:v>9822.22222222222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99.00647774520394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1749.301602262017</c:v>
                </c:pt>
                <c:pt idx="2">
                  <c:v>752.0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30897.77777777778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371.0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429.0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2160.0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1006.866788619538</c:v>
                </c:pt>
                <c:pt idx="1">
                  <c:v>1006.866788619538</c:v>
                </c:pt>
                <c:pt idx="2">
                  <c:v>1006.866788619538</c:v>
                </c:pt>
                <c:pt idx="3">
                  <c:v>894.9927009951452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344.7737595429588</c:v>
                </c:pt>
                <c:pt idx="3">
                  <c:v>669.0936269029477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22020.0</c:v>
                </c:pt>
                <c:pt idx="1">
                  <c:v>22020.0</c:v>
                </c:pt>
                <c:pt idx="2">
                  <c:v>22020.0</c:v>
                </c:pt>
                <c:pt idx="3">
                  <c:v>5477.333333333333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1600.0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3586520"/>
        <c:axId val="183605778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20136.90379366834</c:v>
                </c:pt>
                <c:pt idx="1">
                  <c:v>20136.90379366834</c:v>
                </c:pt>
                <c:pt idx="2">
                  <c:v>20136.90379366834</c:v>
                </c:pt>
                <c:pt idx="3">
                  <c:v>20136.90379366834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34115.57046033502</c:v>
                </c:pt>
                <c:pt idx="1">
                  <c:v>34115.57046033502</c:v>
                </c:pt>
                <c:pt idx="2">
                  <c:v>34115.57046033502</c:v>
                </c:pt>
                <c:pt idx="3">
                  <c:v>34115.57046033502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61859.57046033501</c:v>
                </c:pt>
                <c:pt idx="1">
                  <c:v>61859.57046033501</c:v>
                </c:pt>
                <c:pt idx="2">
                  <c:v>61859.57046033501</c:v>
                </c:pt>
                <c:pt idx="3">
                  <c:v>61859.57046033502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586520"/>
        <c:axId val="1836057784"/>
      </c:lineChart>
      <c:catAx>
        <c:axId val="2103586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6057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6057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3586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2670.728892741367</c:v>
                </c:pt>
                <c:pt idx="1">
                  <c:v>2670.728892741367</c:v>
                </c:pt>
                <c:pt idx="2">
                  <c:v>2670.728892741367</c:v>
                </c:pt>
                <c:pt idx="3">
                  <c:v>2670.728892741367</c:v>
                </c:pt>
                <c:pt idx="4">
                  <c:v>2670.728892741367</c:v>
                </c:pt>
                <c:pt idx="5">
                  <c:v>2670.728892741367</c:v>
                </c:pt>
                <c:pt idx="6">
                  <c:v>2670.728892741367</c:v>
                </c:pt>
                <c:pt idx="7">
                  <c:v>2670.728892741367</c:v>
                </c:pt>
                <c:pt idx="8">
                  <c:v>2670.728892741367</c:v>
                </c:pt>
                <c:pt idx="9">
                  <c:v>2670.728892741367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188.8862895390851</c:v>
                </c:pt>
                <c:pt idx="1">
                  <c:v>188.8862895390851</c:v>
                </c:pt>
                <c:pt idx="2">
                  <c:v>188.8862895390851</c:v>
                </c:pt>
                <c:pt idx="3">
                  <c:v>188.8862895390851</c:v>
                </c:pt>
                <c:pt idx="4">
                  <c:v>188.8862895390851</c:v>
                </c:pt>
                <c:pt idx="5">
                  <c:v>188.8862895390851</c:v>
                </c:pt>
                <c:pt idx="6">
                  <c:v>188.8862895390851</c:v>
                </c:pt>
                <c:pt idx="7">
                  <c:v>188.8862895390851</c:v>
                </c:pt>
                <c:pt idx="8">
                  <c:v>188.8862895390851</c:v>
                </c:pt>
                <c:pt idx="9">
                  <c:v>188.8862895390851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1006.866788619538</c:v>
                </c:pt>
                <c:pt idx="1">
                  <c:v>1006.866788619538</c:v>
                </c:pt>
                <c:pt idx="2">
                  <c:v>1006.866788619538</c:v>
                </c:pt>
                <c:pt idx="3">
                  <c:v>1006.866788619538</c:v>
                </c:pt>
                <c:pt idx="4">
                  <c:v>1006.866788619538</c:v>
                </c:pt>
                <c:pt idx="5">
                  <c:v>1006.866788619538</c:v>
                </c:pt>
                <c:pt idx="6">
                  <c:v>1006.866788619538</c:v>
                </c:pt>
                <c:pt idx="7">
                  <c:v>1006.866788619538</c:v>
                </c:pt>
                <c:pt idx="8">
                  <c:v>1006.866788619538</c:v>
                </c:pt>
                <c:pt idx="9">
                  <c:v>1006.866788619538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78976216"/>
        <c:axId val="-197898304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20136.90379366834</c:v>
                </c:pt>
                <c:pt idx="1">
                  <c:v>20136.90379366834</c:v>
                </c:pt>
                <c:pt idx="2">
                  <c:v>20136.90379366834</c:v>
                </c:pt>
                <c:pt idx="3">
                  <c:v>20136.90379366834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34115.57046033502</c:v>
                </c:pt>
                <c:pt idx="1">
                  <c:v>34115.57046033502</c:v>
                </c:pt>
                <c:pt idx="2">
                  <c:v>34115.57046033502</c:v>
                </c:pt>
                <c:pt idx="3">
                  <c:v>34115.57046033502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8976216"/>
        <c:axId val="-1978983048"/>
      </c:lineChart>
      <c:catAx>
        <c:axId val="-19789762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8983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8983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8976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0.555043079894413</c:v>
                </c:pt>
                <c:pt idx="1">
                  <c:v>0.555043079894413</c:v>
                </c:pt>
                <c:pt idx="2">
                  <c:v>0.555043079894413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0.571374071803256</c:v>
                </c:pt>
                <c:pt idx="1">
                  <c:v>0.444956920105587</c:v>
                </c:pt>
                <c:pt idx="2">
                  <c:v>0.416916862880981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1.1340282035561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0.152871449008788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0.197220519108931</c:v>
                </c:pt>
                <c:pt idx="1">
                  <c:v>0.197220519108931</c:v>
                </c:pt>
                <c:pt idx="2">
                  <c:v>0.0515248911735467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-0.571374071803256</c:v>
                </c:pt>
                <c:pt idx="2">
                  <c:v>-0.205982100095822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4342984"/>
        <c:axId val="2104322920"/>
      </c:barChart>
      <c:catAx>
        <c:axId val="2104342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4322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4322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4342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0.394134877938548</c:v>
                </c:pt>
                <c:pt idx="1">
                  <c:v>0.394134877938548</c:v>
                </c:pt>
                <c:pt idx="2">
                  <c:v>0.394134877938548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0.13859392323813</c:v>
                </c:pt>
                <c:pt idx="1">
                  <c:v>0.13859392323813</c:v>
                </c:pt>
                <c:pt idx="2">
                  <c:v>0.0080357204826404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0.217978115113343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0.805270948828839</c:v>
                </c:pt>
                <c:pt idx="1">
                  <c:v>0.0615397192230937</c:v>
                </c:pt>
                <c:pt idx="2">
                  <c:v>0.197341729957779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2.18034126682233E-16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0.13859392323813</c:v>
                </c:pt>
                <c:pt idx="1">
                  <c:v>0.13859392323813</c:v>
                </c:pt>
                <c:pt idx="2">
                  <c:v>0.0080357204826404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-0.344191760377135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4055944"/>
        <c:axId val="2104035896"/>
      </c:barChart>
      <c:catAx>
        <c:axId val="2104055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4035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4035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40559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0.264546809620041</c:v>
                </c:pt>
                <c:pt idx="1">
                  <c:v>0.264546809620041</c:v>
                </c:pt>
                <c:pt idx="2">
                  <c:v>0.264546809620041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0.0997870155938903</c:v>
                </c:pt>
                <c:pt idx="1">
                  <c:v>0.0997870155938903</c:v>
                </c:pt>
                <c:pt idx="2">
                  <c:v>-0.0152928290040131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0.199321165102345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0.0997870155938903</c:v>
                </c:pt>
                <c:pt idx="1">
                  <c:v>0.0997870155938903</c:v>
                </c:pt>
                <c:pt idx="2">
                  <c:v>-0.0152928290040131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3897128"/>
        <c:axId val="2103873544"/>
      </c:barChart>
      <c:catAx>
        <c:axId val="2103897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3873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3873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3897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0.616672522689228</c:v>
                </c:pt>
                <c:pt idx="1">
                  <c:v>0.616672522689228</c:v>
                </c:pt>
                <c:pt idx="2">
                  <c:v>0.616672522689228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0.634816833181956</c:v>
                </c:pt>
                <c:pt idx="1">
                  <c:v>0.383327477310772</c:v>
                </c:pt>
                <c:pt idx="2">
                  <c:v>0.383327477310772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1.259945504087193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0.127157129881926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0.22092134949331</c:v>
                </c:pt>
                <c:pt idx="1">
                  <c:v>0.22092134949331</c:v>
                </c:pt>
                <c:pt idx="2">
                  <c:v>0.117432848112825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-0.634816833181956</c:v>
                </c:pt>
                <c:pt idx="2">
                  <c:v>-0.368922203984009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7441336"/>
        <c:axId val="1857439240"/>
      </c:barChart>
      <c:catAx>
        <c:axId val="1857441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7439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7439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7441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0.0130370485678705</c:v>
                </c:pt>
                <c:pt idx="1">
                  <c:v>0.0130370485678705</c:v>
                </c:pt>
                <c:pt idx="2" formatCode="0.0%">
                  <c:v>0.0130370485678705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0.0464367216687422</c:v>
                </c:pt>
                <c:pt idx="1">
                  <c:v>0.0464367216687422</c:v>
                </c:pt>
                <c:pt idx="2" formatCode="0.0%">
                  <c:v>0.0464367216687422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0.0425</c:v>
                </c:pt>
                <c:pt idx="1">
                  <c:v>0.0425</c:v>
                </c:pt>
                <c:pt idx="2" formatCode="0.0%">
                  <c:v>0.0425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0.133077868150685</c:v>
                </c:pt>
                <c:pt idx="1">
                  <c:v>0.133077868150685</c:v>
                </c:pt>
                <c:pt idx="2" formatCode="0.0%">
                  <c:v>0.146079859298888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0.107708753891656</c:v>
                </c:pt>
                <c:pt idx="1">
                  <c:v>0.107708753891656</c:v>
                </c:pt>
                <c:pt idx="2" formatCode="0.0%">
                  <c:v>0.100666187777167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0.00224851494396015</c:v>
                </c:pt>
                <c:pt idx="1">
                  <c:v>0.00224851494396015</c:v>
                </c:pt>
                <c:pt idx="2" formatCode="0.0%">
                  <c:v>0.00244623117299068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0.0612585616438356</c:v>
                </c:pt>
                <c:pt idx="1">
                  <c:v>0.0612585616438356</c:v>
                </c:pt>
                <c:pt idx="2" formatCode="0.0%">
                  <c:v>0.0628908594460304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0.0943398661270237</c:v>
                </c:pt>
                <c:pt idx="1">
                  <c:v>0.0943398661270237</c:v>
                </c:pt>
                <c:pt idx="2" formatCode="0.0%">
                  <c:v>0.102635351388522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0.024561799501868</c:v>
                </c:pt>
                <c:pt idx="1">
                  <c:v>0.024561799501868</c:v>
                </c:pt>
                <c:pt idx="2" formatCode="0.0%">
                  <c:v>0.0287094100431094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0.0209915940224159</c:v>
                </c:pt>
                <c:pt idx="1">
                  <c:v>0.0209915940224159</c:v>
                </c:pt>
                <c:pt idx="2" formatCode="0.0%">
                  <c:v>0.0209915940224159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0.0176948349937733</c:v>
                </c:pt>
                <c:pt idx="1">
                  <c:v>0.0176948349937733</c:v>
                </c:pt>
                <c:pt idx="2" formatCode="0.0%">
                  <c:v>0.0176948349937733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0.0230697384806974</c:v>
                </c:pt>
                <c:pt idx="1">
                  <c:v>0.0230697384806974</c:v>
                </c:pt>
                <c:pt idx="2" formatCode="0.0%">
                  <c:v>0.0230697384806974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0.027312824466078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0.211423949719801</c:v>
                </c:pt>
                <c:pt idx="1">
                  <c:v>0.211423949719801</c:v>
                </c:pt>
                <c:pt idx="2" formatCode="0.0%">
                  <c:v>0.213747607640842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0.564572773972603</c:v>
                </c:pt>
                <c:pt idx="1">
                  <c:v>0.564572773972603</c:v>
                </c:pt>
                <c:pt idx="2" formatCode="0.0%">
                  <c:v>0.0327341119852549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66935896"/>
        <c:axId val="1866926472"/>
      </c:barChart>
      <c:catAx>
        <c:axId val="1866935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6926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6926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6935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2670.728892741367</c:v>
                </c:pt>
                <c:pt idx="1">
                  <c:v>2670.728892741367</c:v>
                </c:pt>
                <c:pt idx="2">
                  <c:v>2670.728892741367</c:v>
                </c:pt>
                <c:pt idx="3">
                  <c:v>2670.728892741367</c:v>
                </c:pt>
                <c:pt idx="4">
                  <c:v>2670.728892741367</c:v>
                </c:pt>
                <c:pt idx="5">
                  <c:v>2670.728892741367</c:v>
                </c:pt>
                <c:pt idx="6">
                  <c:v>2670.728892741367</c:v>
                </c:pt>
                <c:pt idx="7">
                  <c:v>2670.728892741367</c:v>
                </c:pt>
                <c:pt idx="8">
                  <c:v>2670.728892741367</c:v>
                </c:pt>
                <c:pt idx="9">
                  <c:v>2670.728892741367</c:v>
                </c:pt>
                <c:pt idx="10">
                  <c:v>2670.728892741367</c:v>
                </c:pt>
                <c:pt idx="11">
                  <c:v>2670.728892741367</c:v>
                </c:pt>
                <c:pt idx="12">
                  <c:v>2670.728892741367</c:v>
                </c:pt>
                <c:pt idx="13">
                  <c:v>2670.728892741367</c:v>
                </c:pt>
                <c:pt idx="14">
                  <c:v>2670.728892741367</c:v>
                </c:pt>
                <c:pt idx="15">
                  <c:v>2670.728892741367</c:v>
                </c:pt>
                <c:pt idx="16">
                  <c:v>2670.728892741367</c:v>
                </c:pt>
                <c:pt idx="17">
                  <c:v>2670.728892741367</c:v>
                </c:pt>
                <c:pt idx="18">
                  <c:v>2670.728892741367</c:v>
                </c:pt>
                <c:pt idx="19">
                  <c:v>2670.728892741367</c:v>
                </c:pt>
                <c:pt idx="20">
                  <c:v>2670.728892741367</c:v>
                </c:pt>
                <c:pt idx="21">
                  <c:v>2670.728892741367</c:v>
                </c:pt>
                <c:pt idx="22">
                  <c:v>2670.728892741367</c:v>
                </c:pt>
                <c:pt idx="23">
                  <c:v>2670.728892741367</c:v>
                </c:pt>
                <c:pt idx="24">
                  <c:v>2670.728892741367</c:v>
                </c:pt>
                <c:pt idx="25">
                  <c:v>2670.728892741367</c:v>
                </c:pt>
                <c:pt idx="26">
                  <c:v>2670.728892741367</c:v>
                </c:pt>
                <c:pt idx="27">
                  <c:v>2670.728892741367</c:v>
                </c:pt>
                <c:pt idx="28">
                  <c:v>2670.728892741367</c:v>
                </c:pt>
                <c:pt idx="29">
                  <c:v>2670.728892741367</c:v>
                </c:pt>
                <c:pt idx="30">
                  <c:v>2670.728892741367</c:v>
                </c:pt>
                <c:pt idx="31">
                  <c:v>2670.728892741367</c:v>
                </c:pt>
                <c:pt idx="32">
                  <c:v>2670.728892741367</c:v>
                </c:pt>
                <c:pt idx="33">
                  <c:v>2670.728892741367</c:v>
                </c:pt>
                <c:pt idx="34">
                  <c:v>2670.728892741367</c:v>
                </c:pt>
                <c:pt idx="35">
                  <c:v>2670.728892741367</c:v>
                </c:pt>
                <c:pt idx="36">
                  <c:v>2670.728892741367</c:v>
                </c:pt>
                <c:pt idx="37">
                  <c:v>2670.728892741367</c:v>
                </c:pt>
                <c:pt idx="38">
                  <c:v>2670.728892741367</c:v>
                </c:pt>
                <c:pt idx="39">
                  <c:v>2670.728892741367</c:v>
                </c:pt>
                <c:pt idx="40">
                  <c:v>2670.728892741367</c:v>
                </c:pt>
                <c:pt idx="41">
                  <c:v>2670.728892741367</c:v>
                </c:pt>
                <c:pt idx="42">
                  <c:v>2670.728892741367</c:v>
                </c:pt>
                <c:pt idx="43">
                  <c:v>2670.728892741367</c:v>
                </c:pt>
                <c:pt idx="44">
                  <c:v>2670.728892741367</c:v>
                </c:pt>
                <c:pt idx="45">
                  <c:v>2670.728892741367</c:v>
                </c:pt>
                <c:pt idx="46">
                  <c:v>2670.728892741367</c:v>
                </c:pt>
                <c:pt idx="47">
                  <c:v>2670.728892741367</c:v>
                </c:pt>
                <c:pt idx="48">
                  <c:v>2670.728892741367</c:v>
                </c:pt>
                <c:pt idx="49">
                  <c:v>2670.728892741367</c:v>
                </c:pt>
                <c:pt idx="50">
                  <c:v>2957.471560229642</c:v>
                </c:pt>
                <c:pt idx="51">
                  <c:v>2957.471560229642</c:v>
                </c:pt>
                <c:pt idx="52">
                  <c:v>2957.471560229642</c:v>
                </c:pt>
                <c:pt idx="53">
                  <c:v>2957.471560229642</c:v>
                </c:pt>
                <c:pt idx="54">
                  <c:v>2957.471560229642</c:v>
                </c:pt>
                <c:pt idx="55">
                  <c:v>2957.471560229642</c:v>
                </c:pt>
                <c:pt idx="56">
                  <c:v>2957.471560229642</c:v>
                </c:pt>
                <c:pt idx="57">
                  <c:v>2957.471560229642</c:v>
                </c:pt>
                <c:pt idx="58">
                  <c:v>2957.471560229642</c:v>
                </c:pt>
                <c:pt idx="59">
                  <c:v>2957.471560229642</c:v>
                </c:pt>
                <c:pt idx="60">
                  <c:v>2957.471560229642</c:v>
                </c:pt>
                <c:pt idx="61">
                  <c:v>2957.471560229642</c:v>
                </c:pt>
                <c:pt idx="62">
                  <c:v>2957.471560229642</c:v>
                </c:pt>
                <c:pt idx="63">
                  <c:v>2957.471560229642</c:v>
                </c:pt>
                <c:pt idx="64">
                  <c:v>2957.471560229642</c:v>
                </c:pt>
                <c:pt idx="65">
                  <c:v>2957.471560229642</c:v>
                </c:pt>
                <c:pt idx="66">
                  <c:v>2957.471560229642</c:v>
                </c:pt>
                <c:pt idx="67">
                  <c:v>2957.471560229642</c:v>
                </c:pt>
                <c:pt idx="68">
                  <c:v>2957.471560229642</c:v>
                </c:pt>
                <c:pt idx="69">
                  <c:v>2957.471560229642</c:v>
                </c:pt>
                <c:pt idx="70">
                  <c:v>2957.471560229642</c:v>
                </c:pt>
                <c:pt idx="71">
                  <c:v>2957.471560229642</c:v>
                </c:pt>
                <c:pt idx="72">
                  <c:v>2957.471560229642</c:v>
                </c:pt>
                <c:pt idx="73">
                  <c:v>2957.471560229642</c:v>
                </c:pt>
                <c:pt idx="74">
                  <c:v>2957.471560229642</c:v>
                </c:pt>
                <c:pt idx="75">
                  <c:v>2957.471560229642</c:v>
                </c:pt>
                <c:pt idx="76">
                  <c:v>2957.471560229642</c:v>
                </c:pt>
                <c:pt idx="77">
                  <c:v>2957.471560229642</c:v>
                </c:pt>
                <c:pt idx="78">
                  <c:v>2957.471560229642</c:v>
                </c:pt>
                <c:pt idx="79">
                  <c:v>2957.471560229642</c:v>
                </c:pt>
                <c:pt idx="80">
                  <c:v>4116.243051881936</c:v>
                </c:pt>
                <c:pt idx="81">
                  <c:v>4116.243051881936</c:v>
                </c:pt>
                <c:pt idx="82">
                  <c:v>4116.243051881936</c:v>
                </c:pt>
                <c:pt idx="83">
                  <c:v>4116.243051881936</c:v>
                </c:pt>
                <c:pt idx="84">
                  <c:v>4116.243051881936</c:v>
                </c:pt>
                <c:pt idx="85">
                  <c:v>4116.243051881936</c:v>
                </c:pt>
                <c:pt idx="86">
                  <c:v>4116.243051881936</c:v>
                </c:pt>
                <c:pt idx="87">
                  <c:v>4116.243051881936</c:v>
                </c:pt>
                <c:pt idx="88">
                  <c:v>4116.243051881936</c:v>
                </c:pt>
                <c:pt idx="89">
                  <c:v>4116.243051881936</c:v>
                </c:pt>
                <c:pt idx="90">
                  <c:v>4116.243051881936</c:v>
                </c:pt>
                <c:pt idx="91">
                  <c:v>4116.243051881936</c:v>
                </c:pt>
                <c:pt idx="92">
                  <c:v>4116.243051881936</c:v>
                </c:pt>
                <c:pt idx="93">
                  <c:v>4116.243051881936</c:v>
                </c:pt>
                <c:pt idx="94">
                  <c:v>4116.243051881936</c:v>
                </c:pt>
                <c:pt idx="95">
                  <c:v>4162.8069563668</c:v>
                </c:pt>
                <c:pt idx="96">
                  <c:v>4162.8069563668</c:v>
                </c:pt>
                <c:pt idx="97">
                  <c:v>4162.8069563668</c:v>
                </c:pt>
                <c:pt idx="98">
                  <c:v>4162.8069563668</c:v>
                </c:pt>
                <c:pt idx="99">
                  <c:v>4162.8069563668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836.0</c:v>
                </c:pt>
                <c:pt idx="51">
                  <c:v>836.0</c:v>
                </c:pt>
                <c:pt idx="52">
                  <c:v>836.0</c:v>
                </c:pt>
                <c:pt idx="53">
                  <c:v>836.0</c:v>
                </c:pt>
                <c:pt idx="54">
                  <c:v>836.0</c:v>
                </c:pt>
                <c:pt idx="55">
                  <c:v>836.0</c:v>
                </c:pt>
                <c:pt idx="56">
                  <c:v>836.0</c:v>
                </c:pt>
                <c:pt idx="57">
                  <c:v>836.0</c:v>
                </c:pt>
                <c:pt idx="58">
                  <c:v>836.0</c:v>
                </c:pt>
                <c:pt idx="59">
                  <c:v>836.0</c:v>
                </c:pt>
                <c:pt idx="60">
                  <c:v>836.0</c:v>
                </c:pt>
                <c:pt idx="61">
                  <c:v>836.0</c:v>
                </c:pt>
                <c:pt idx="62">
                  <c:v>836.0</c:v>
                </c:pt>
                <c:pt idx="63">
                  <c:v>836.0</c:v>
                </c:pt>
                <c:pt idx="64">
                  <c:v>836.0</c:v>
                </c:pt>
                <c:pt idx="65">
                  <c:v>836.0</c:v>
                </c:pt>
                <c:pt idx="66">
                  <c:v>836.0</c:v>
                </c:pt>
                <c:pt idx="67">
                  <c:v>836.0</c:v>
                </c:pt>
                <c:pt idx="68">
                  <c:v>836.0</c:v>
                </c:pt>
                <c:pt idx="69">
                  <c:v>836.0</c:v>
                </c:pt>
                <c:pt idx="70">
                  <c:v>836.0</c:v>
                </c:pt>
                <c:pt idx="71">
                  <c:v>836.0</c:v>
                </c:pt>
                <c:pt idx="72">
                  <c:v>836.0</c:v>
                </c:pt>
                <c:pt idx="73">
                  <c:v>836.0</c:v>
                </c:pt>
                <c:pt idx="74">
                  <c:v>836.0</c:v>
                </c:pt>
                <c:pt idx="75">
                  <c:v>836.0</c:v>
                </c:pt>
                <c:pt idx="76">
                  <c:v>836.0</c:v>
                </c:pt>
                <c:pt idx="77">
                  <c:v>836.0</c:v>
                </c:pt>
                <c:pt idx="78">
                  <c:v>836.0</c:v>
                </c:pt>
                <c:pt idx="79">
                  <c:v>836.0</c:v>
                </c:pt>
                <c:pt idx="80">
                  <c:v>3621.0</c:v>
                </c:pt>
                <c:pt idx="81">
                  <c:v>3621.0</c:v>
                </c:pt>
                <c:pt idx="82">
                  <c:v>3621.0</c:v>
                </c:pt>
                <c:pt idx="83">
                  <c:v>3621.0</c:v>
                </c:pt>
                <c:pt idx="84">
                  <c:v>3621.0</c:v>
                </c:pt>
                <c:pt idx="85">
                  <c:v>3621.0</c:v>
                </c:pt>
                <c:pt idx="86">
                  <c:v>3621.0</c:v>
                </c:pt>
                <c:pt idx="87">
                  <c:v>3621.0</c:v>
                </c:pt>
                <c:pt idx="88">
                  <c:v>3621.0</c:v>
                </c:pt>
                <c:pt idx="89">
                  <c:v>3621.0</c:v>
                </c:pt>
                <c:pt idx="90">
                  <c:v>3621.0</c:v>
                </c:pt>
                <c:pt idx="91">
                  <c:v>3621.0</c:v>
                </c:pt>
                <c:pt idx="92">
                  <c:v>3621.0</c:v>
                </c:pt>
                <c:pt idx="93">
                  <c:v>3621.0</c:v>
                </c:pt>
                <c:pt idx="94">
                  <c:v>3621.0</c:v>
                </c:pt>
                <c:pt idx="95">
                  <c:v>5132.444444444443</c:v>
                </c:pt>
                <c:pt idx="96">
                  <c:v>5132.444444444443</c:v>
                </c:pt>
                <c:pt idx="97">
                  <c:v>5132.444444444443</c:v>
                </c:pt>
                <c:pt idx="98">
                  <c:v>5132.444444444443</c:v>
                </c:pt>
                <c:pt idx="99">
                  <c:v>5132.444444444443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188.8862895390851</c:v>
                </c:pt>
                <c:pt idx="1">
                  <c:v>188.8862895390851</c:v>
                </c:pt>
                <c:pt idx="2">
                  <c:v>188.8862895390851</c:v>
                </c:pt>
                <c:pt idx="3">
                  <c:v>188.8862895390851</c:v>
                </c:pt>
                <c:pt idx="4">
                  <c:v>188.8862895390851</c:v>
                </c:pt>
                <c:pt idx="5">
                  <c:v>188.8862895390851</c:v>
                </c:pt>
                <c:pt idx="6">
                  <c:v>188.8862895390851</c:v>
                </c:pt>
                <c:pt idx="7">
                  <c:v>188.8862895390851</c:v>
                </c:pt>
                <c:pt idx="8">
                  <c:v>188.8862895390851</c:v>
                </c:pt>
                <c:pt idx="9">
                  <c:v>188.8862895390851</c:v>
                </c:pt>
                <c:pt idx="10">
                  <c:v>188.8862895390851</c:v>
                </c:pt>
                <c:pt idx="11">
                  <c:v>188.8862895390851</c:v>
                </c:pt>
                <c:pt idx="12">
                  <c:v>188.8862895390851</c:v>
                </c:pt>
                <c:pt idx="13">
                  <c:v>188.8862895390851</c:v>
                </c:pt>
                <c:pt idx="14">
                  <c:v>188.8862895390851</c:v>
                </c:pt>
                <c:pt idx="15">
                  <c:v>188.8862895390851</c:v>
                </c:pt>
                <c:pt idx="16">
                  <c:v>188.8862895390851</c:v>
                </c:pt>
                <c:pt idx="17">
                  <c:v>188.8862895390851</c:v>
                </c:pt>
                <c:pt idx="18">
                  <c:v>188.8862895390851</c:v>
                </c:pt>
                <c:pt idx="19">
                  <c:v>188.8862895390851</c:v>
                </c:pt>
                <c:pt idx="20">
                  <c:v>188.8862895390851</c:v>
                </c:pt>
                <c:pt idx="21">
                  <c:v>188.8862895390851</c:v>
                </c:pt>
                <c:pt idx="22">
                  <c:v>188.8862895390851</c:v>
                </c:pt>
                <c:pt idx="23">
                  <c:v>188.8862895390851</c:v>
                </c:pt>
                <c:pt idx="24">
                  <c:v>188.8862895390851</c:v>
                </c:pt>
                <c:pt idx="25">
                  <c:v>188.8862895390851</c:v>
                </c:pt>
                <c:pt idx="26">
                  <c:v>188.8862895390851</c:v>
                </c:pt>
                <c:pt idx="27">
                  <c:v>188.8862895390851</c:v>
                </c:pt>
                <c:pt idx="28">
                  <c:v>188.8862895390851</c:v>
                </c:pt>
                <c:pt idx="29">
                  <c:v>188.8862895390851</c:v>
                </c:pt>
                <c:pt idx="30">
                  <c:v>188.8862895390851</c:v>
                </c:pt>
                <c:pt idx="31">
                  <c:v>188.8862895390851</c:v>
                </c:pt>
                <c:pt idx="32">
                  <c:v>188.8862895390851</c:v>
                </c:pt>
                <c:pt idx="33">
                  <c:v>188.8862895390851</c:v>
                </c:pt>
                <c:pt idx="34">
                  <c:v>188.8862895390851</c:v>
                </c:pt>
                <c:pt idx="35">
                  <c:v>188.8862895390851</c:v>
                </c:pt>
                <c:pt idx="36">
                  <c:v>188.8862895390851</c:v>
                </c:pt>
                <c:pt idx="37">
                  <c:v>188.8862895390851</c:v>
                </c:pt>
                <c:pt idx="38">
                  <c:v>188.8862895390851</c:v>
                </c:pt>
                <c:pt idx="39">
                  <c:v>188.8862895390851</c:v>
                </c:pt>
                <c:pt idx="40">
                  <c:v>188.8862895390851</c:v>
                </c:pt>
                <c:pt idx="41">
                  <c:v>188.8862895390851</c:v>
                </c:pt>
                <c:pt idx="42">
                  <c:v>188.8862895390851</c:v>
                </c:pt>
                <c:pt idx="43">
                  <c:v>188.8862895390851</c:v>
                </c:pt>
                <c:pt idx="44">
                  <c:v>188.8862895390851</c:v>
                </c:pt>
                <c:pt idx="45">
                  <c:v>188.8862895390851</c:v>
                </c:pt>
                <c:pt idx="46">
                  <c:v>188.8862895390851</c:v>
                </c:pt>
                <c:pt idx="47">
                  <c:v>188.8862895390851</c:v>
                </c:pt>
                <c:pt idx="48">
                  <c:v>188.8862895390851</c:v>
                </c:pt>
                <c:pt idx="49">
                  <c:v>188.8862895390851</c:v>
                </c:pt>
                <c:pt idx="50">
                  <c:v>291.9192665990381</c:v>
                </c:pt>
                <c:pt idx="51">
                  <c:v>291.9192665990381</c:v>
                </c:pt>
                <c:pt idx="52">
                  <c:v>291.9192665990381</c:v>
                </c:pt>
                <c:pt idx="53">
                  <c:v>291.9192665990381</c:v>
                </c:pt>
                <c:pt idx="54">
                  <c:v>291.9192665990381</c:v>
                </c:pt>
                <c:pt idx="55">
                  <c:v>291.9192665990381</c:v>
                </c:pt>
                <c:pt idx="56">
                  <c:v>291.9192665990381</c:v>
                </c:pt>
                <c:pt idx="57">
                  <c:v>291.9192665990381</c:v>
                </c:pt>
                <c:pt idx="58">
                  <c:v>291.9192665990381</c:v>
                </c:pt>
                <c:pt idx="59">
                  <c:v>291.9192665990381</c:v>
                </c:pt>
                <c:pt idx="60">
                  <c:v>291.9192665990381</c:v>
                </c:pt>
                <c:pt idx="61">
                  <c:v>291.9192665990381</c:v>
                </c:pt>
                <c:pt idx="62">
                  <c:v>291.9192665990381</c:v>
                </c:pt>
                <c:pt idx="63">
                  <c:v>291.9192665990381</c:v>
                </c:pt>
                <c:pt idx="64">
                  <c:v>291.9192665990381</c:v>
                </c:pt>
                <c:pt idx="65">
                  <c:v>291.9192665990381</c:v>
                </c:pt>
                <c:pt idx="66">
                  <c:v>291.9192665990381</c:v>
                </c:pt>
                <c:pt idx="67">
                  <c:v>291.9192665990381</c:v>
                </c:pt>
                <c:pt idx="68">
                  <c:v>291.9192665990381</c:v>
                </c:pt>
                <c:pt idx="69">
                  <c:v>291.9192665990381</c:v>
                </c:pt>
                <c:pt idx="70">
                  <c:v>291.9192665990381</c:v>
                </c:pt>
                <c:pt idx="71">
                  <c:v>291.9192665990381</c:v>
                </c:pt>
                <c:pt idx="72">
                  <c:v>291.9192665990381</c:v>
                </c:pt>
                <c:pt idx="73">
                  <c:v>291.9192665990381</c:v>
                </c:pt>
                <c:pt idx="74">
                  <c:v>291.9192665990381</c:v>
                </c:pt>
                <c:pt idx="75">
                  <c:v>291.9192665990381</c:v>
                </c:pt>
                <c:pt idx="76">
                  <c:v>291.9192665990381</c:v>
                </c:pt>
                <c:pt idx="77">
                  <c:v>291.9192665990381</c:v>
                </c:pt>
                <c:pt idx="78">
                  <c:v>291.9192665990381</c:v>
                </c:pt>
                <c:pt idx="79">
                  <c:v>291.9192665990381</c:v>
                </c:pt>
                <c:pt idx="80">
                  <c:v>503.01017797997</c:v>
                </c:pt>
                <c:pt idx="81">
                  <c:v>503.01017797997</c:v>
                </c:pt>
                <c:pt idx="82">
                  <c:v>503.01017797997</c:v>
                </c:pt>
                <c:pt idx="83">
                  <c:v>503.01017797997</c:v>
                </c:pt>
                <c:pt idx="84">
                  <c:v>503.01017797997</c:v>
                </c:pt>
                <c:pt idx="85">
                  <c:v>503.01017797997</c:v>
                </c:pt>
                <c:pt idx="86">
                  <c:v>503.01017797997</c:v>
                </c:pt>
                <c:pt idx="87">
                  <c:v>503.01017797997</c:v>
                </c:pt>
                <c:pt idx="88">
                  <c:v>503.01017797997</c:v>
                </c:pt>
                <c:pt idx="89">
                  <c:v>503.01017797997</c:v>
                </c:pt>
                <c:pt idx="90">
                  <c:v>503.01017797997</c:v>
                </c:pt>
                <c:pt idx="91">
                  <c:v>503.01017797997</c:v>
                </c:pt>
                <c:pt idx="92">
                  <c:v>503.01017797997</c:v>
                </c:pt>
                <c:pt idx="93">
                  <c:v>503.01017797997</c:v>
                </c:pt>
                <c:pt idx="94">
                  <c:v>503.01017797997</c:v>
                </c:pt>
                <c:pt idx="95">
                  <c:v>1310.14103173755</c:v>
                </c:pt>
                <c:pt idx="96">
                  <c:v>1310.14103173755</c:v>
                </c:pt>
                <c:pt idx="97">
                  <c:v>1310.14103173755</c:v>
                </c:pt>
                <c:pt idx="98">
                  <c:v>1310.14103173755</c:v>
                </c:pt>
                <c:pt idx="99">
                  <c:v>1310.14103173755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500.0</c:v>
                </c:pt>
                <c:pt idx="51">
                  <c:v>500.0</c:v>
                </c:pt>
                <c:pt idx="52">
                  <c:v>500.0</c:v>
                </c:pt>
                <c:pt idx="53">
                  <c:v>500.0</c:v>
                </c:pt>
                <c:pt idx="54">
                  <c:v>500.0</c:v>
                </c:pt>
                <c:pt idx="55">
                  <c:v>500.0</c:v>
                </c:pt>
                <c:pt idx="56">
                  <c:v>500.0</c:v>
                </c:pt>
                <c:pt idx="57">
                  <c:v>500.0</c:v>
                </c:pt>
                <c:pt idx="58">
                  <c:v>500.0</c:v>
                </c:pt>
                <c:pt idx="59">
                  <c:v>500.0</c:v>
                </c:pt>
                <c:pt idx="60">
                  <c:v>500.0</c:v>
                </c:pt>
                <c:pt idx="61">
                  <c:v>500.0</c:v>
                </c:pt>
                <c:pt idx="62">
                  <c:v>500.0</c:v>
                </c:pt>
                <c:pt idx="63">
                  <c:v>500.0</c:v>
                </c:pt>
                <c:pt idx="64">
                  <c:v>500.0</c:v>
                </c:pt>
                <c:pt idx="65">
                  <c:v>500.0</c:v>
                </c:pt>
                <c:pt idx="66">
                  <c:v>500.0</c:v>
                </c:pt>
                <c:pt idx="67">
                  <c:v>500.0</c:v>
                </c:pt>
                <c:pt idx="68">
                  <c:v>500.0</c:v>
                </c:pt>
                <c:pt idx="69">
                  <c:v>500.0</c:v>
                </c:pt>
                <c:pt idx="70">
                  <c:v>500.0</c:v>
                </c:pt>
                <c:pt idx="71">
                  <c:v>500.0</c:v>
                </c:pt>
                <c:pt idx="72">
                  <c:v>500.0</c:v>
                </c:pt>
                <c:pt idx="73">
                  <c:v>500.0</c:v>
                </c:pt>
                <c:pt idx="74">
                  <c:v>500.0</c:v>
                </c:pt>
                <c:pt idx="75">
                  <c:v>500.0</c:v>
                </c:pt>
                <c:pt idx="76">
                  <c:v>500.0</c:v>
                </c:pt>
                <c:pt idx="77">
                  <c:v>500.0</c:v>
                </c:pt>
                <c:pt idx="78">
                  <c:v>500.0</c:v>
                </c:pt>
                <c:pt idx="79">
                  <c:v>500.0</c:v>
                </c:pt>
                <c:pt idx="80">
                  <c:v>3500.0</c:v>
                </c:pt>
                <c:pt idx="81">
                  <c:v>3500.0</c:v>
                </c:pt>
                <c:pt idx="82">
                  <c:v>3500.0</c:v>
                </c:pt>
                <c:pt idx="83">
                  <c:v>3500.0</c:v>
                </c:pt>
                <c:pt idx="84">
                  <c:v>3500.0</c:v>
                </c:pt>
                <c:pt idx="85">
                  <c:v>3500.0</c:v>
                </c:pt>
                <c:pt idx="86">
                  <c:v>3500.0</c:v>
                </c:pt>
                <c:pt idx="87">
                  <c:v>3500.0</c:v>
                </c:pt>
                <c:pt idx="88">
                  <c:v>3500.0</c:v>
                </c:pt>
                <c:pt idx="89">
                  <c:v>3500.0</c:v>
                </c:pt>
                <c:pt idx="90">
                  <c:v>3500.0</c:v>
                </c:pt>
                <c:pt idx="91">
                  <c:v>3500.0</c:v>
                </c:pt>
                <c:pt idx="92">
                  <c:v>3500.0</c:v>
                </c:pt>
                <c:pt idx="93">
                  <c:v>3500.0</c:v>
                </c:pt>
                <c:pt idx="94">
                  <c:v>3500.0</c:v>
                </c:pt>
                <c:pt idx="95">
                  <c:v>9822.22222222222</c:v>
                </c:pt>
                <c:pt idx="96">
                  <c:v>9822.22222222222</c:v>
                </c:pt>
                <c:pt idx="97">
                  <c:v>9822.22222222222</c:v>
                </c:pt>
                <c:pt idx="98">
                  <c:v>9822.22222222222</c:v>
                </c:pt>
                <c:pt idx="99">
                  <c:v>9822.22222222222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99.00647774520394</c:v>
                </c:pt>
                <c:pt idx="96">
                  <c:v>99.00647774520394</c:v>
                </c:pt>
                <c:pt idx="97">
                  <c:v>99.00647774520394</c:v>
                </c:pt>
                <c:pt idx="98">
                  <c:v>99.00647774520394</c:v>
                </c:pt>
                <c:pt idx="99">
                  <c:v>99.00647774520394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1749.301602262017</c:v>
                </c:pt>
                <c:pt idx="51">
                  <c:v>1749.301602262017</c:v>
                </c:pt>
                <c:pt idx="52">
                  <c:v>1749.301602262017</c:v>
                </c:pt>
                <c:pt idx="53">
                  <c:v>1749.301602262017</c:v>
                </c:pt>
                <c:pt idx="54">
                  <c:v>1749.301602262017</c:v>
                </c:pt>
                <c:pt idx="55">
                  <c:v>1749.301602262017</c:v>
                </c:pt>
                <c:pt idx="56">
                  <c:v>1749.301602262017</c:v>
                </c:pt>
                <c:pt idx="57">
                  <c:v>1749.301602262017</c:v>
                </c:pt>
                <c:pt idx="58">
                  <c:v>1749.301602262017</c:v>
                </c:pt>
                <c:pt idx="59">
                  <c:v>1749.301602262017</c:v>
                </c:pt>
                <c:pt idx="60">
                  <c:v>1749.301602262017</c:v>
                </c:pt>
                <c:pt idx="61">
                  <c:v>1749.301602262017</c:v>
                </c:pt>
                <c:pt idx="62">
                  <c:v>1749.301602262017</c:v>
                </c:pt>
                <c:pt idx="63">
                  <c:v>1749.301602262017</c:v>
                </c:pt>
                <c:pt idx="64">
                  <c:v>1749.301602262017</c:v>
                </c:pt>
                <c:pt idx="65">
                  <c:v>1749.301602262017</c:v>
                </c:pt>
                <c:pt idx="66">
                  <c:v>1749.301602262017</c:v>
                </c:pt>
                <c:pt idx="67">
                  <c:v>1749.301602262017</c:v>
                </c:pt>
                <c:pt idx="68">
                  <c:v>1749.301602262017</c:v>
                </c:pt>
                <c:pt idx="69">
                  <c:v>1749.301602262017</c:v>
                </c:pt>
                <c:pt idx="70">
                  <c:v>1749.301602262017</c:v>
                </c:pt>
                <c:pt idx="71">
                  <c:v>1749.301602262017</c:v>
                </c:pt>
                <c:pt idx="72">
                  <c:v>1749.301602262017</c:v>
                </c:pt>
                <c:pt idx="73">
                  <c:v>1749.301602262017</c:v>
                </c:pt>
                <c:pt idx="74">
                  <c:v>1749.301602262017</c:v>
                </c:pt>
                <c:pt idx="75">
                  <c:v>1749.301602262017</c:v>
                </c:pt>
                <c:pt idx="76">
                  <c:v>1749.301602262017</c:v>
                </c:pt>
                <c:pt idx="77">
                  <c:v>1749.301602262017</c:v>
                </c:pt>
                <c:pt idx="78">
                  <c:v>1749.301602262017</c:v>
                </c:pt>
                <c:pt idx="79">
                  <c:v>1749.301602262017</c:v>
                </c:pt>
                <c:pt idx="80">
                  <c:v>752.0</c:v>
                </c:pt>
                <c:pt idx="81">
                  <c:v>752.0</c:v>
                </c:pt>
                <c:pt idx="82">
                  <c:v>752.0</c:v>
                </c:pt>
                <c:pt idx="83">
                  <c:v>752.0</c:v>
                </c:pt>
                <c:pt idx="84">
                  <c:v>752.0</c:v>
                </c:pt>
                <c:pt idx="85">
                  <c:v>752.0</c:v>
                </c:pt>
                <c:pt idx="86">
                  <c:v>752.0</c:v>
                </c:pt>
                <c:pt idx="87">
                  <c:v>752.0</c:v>
                </c:pt>
                <c:pt idx="88">
                  <c:v>752.0</c:v>
                </c:pt>
                <c:pt idx="89">
                  <c:v>752.0</c:v>
                </c:pt>
                <c:pt idx="90">
                  <c:v>752.0</c:v>
                </c:pt>
                <c:pt idx="91">
                  <c:v>752.0</c:v>
                </c:pt>
                <c:pt idx="92">
                  <c:v>752.0</c:v>
                </c:pt>
                <c:pt idx="93">
                  <c:v>752.0</c:v>
                </c:pt>
                <c:pt idx="94">
                  <c:v>752.0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30897.77777777778</c:v>
                </c:pt>
                <c:pt idx="96">
                  <c:v>30897.77777777778</c:v>
                </c:pt>
                <c:pt idx="97">
                  <c:v>30897.77777777778</c:v>
                </c:pt>
                <c:pt idx="98">
                  <c:v>30897.77777777778</c:v>
                </c:pt>
                <c:pt idx="99">
                  <c:v>30897.77777777778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429.0</c:v>
                </c:pt>
                <c:pt idx="81">
                  <c:v>429.0</c:v>
                </c:pt>
                <c:pt idx="82">
                  <c:v>429.0</c:v>
                </c:pt>
                <c:pt idx="83">
                  <c:v>429.0</c:v>
                </c:pt>
                <c:pt idx="84">
                  <c:v>429.0</c:v>
                </c:pt>
                <c:pt idx="85">
                  <c:v>429.0</c:v>
                </c:pt>
                <c:pt idx="86">
                  <c:v>429.0</c:v>
                </c:pt>
                <c:pt idx="87">
                  <c:v>429.0</c:v>
                </c:pt>
                <c:pt idx="88">
                  <c:v>429.0</c:v>
                </c:pt>
                <c:pt idx="89">
                  <c:v>429.0</c:v>
                </c:pt>
                <c:pt idx="90">
                  <c:v>429.0</c:v>
                </c:pt>
                <c:pt idx="91">
                  <c:v>429.0</c:v>
                </c:pt>
                <c:pt idx="92">
                  <c:v>429.0</c:v>
                </c:pt>
                <c:pt idx="93">
                  <c:v>429.0</c:v>
                </c:pt>
                <c:pt idx="94">
                  <c:v>429.0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2160.0</c:v>
                </c:pt>
                <c:pt idx="81">
                  <c:v>2160.0</c:v>
                </c:pt>
                <c:pt idx="82">
                  <c:v>2160.0</c:v>
                </c:pt>
                <c:pt idx="83">
                  <c:v>2160.0</c:v>
                </c:pt>
                <c:pt idx="84">
                  <c:v>2160.0</c:v>
                </c:pt>
                <c:pt idx="85">
                  <c:v>2160.0</c:v>
                </c:pt>
                <c:pt idx="86">
                  <c:v>2160.0</c:v>
                </c:pt>
                <c:pt idx="87">
                  <c:v>2160.0</c:v>
                </c:pt>
                <c:pt idx="88">
                  <c:v>2160.0</c:v>
                </c:pt>
                <c:pt idx="89">
                  <c:v>2160.0</c:v>
                </c:pt>
                <c:pt idx="90">
                  <c:v>2160.0</c:v>
                </c:pt>
                <c:pt idx="91">
                  <c:v>2160.0</c:v>
                </c:pt>
                <c:pt idx="92">
                  <c:v>2160.0</c:v>
                </c:pt>
                <c:pt idx="93">
                  <c:v>2160.0</c:v>
                </c:pt>
                <c:pt idx="94">
                  <c:v>2160.0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1006.866788619538</c:v>
                </c:pt>
                <c:pt idx="1">
                  <c:v>1006.866788619538</c:v>
                </c:pt>
                <c:pt idx="2">
                  <c:v>1006.866788619538</c:v>
                </c:pt>
                <c:pt idx="3">
                  <c:v>1006.866788619538</c:v>
                </c:pt>
                <c:pt idx="4">
                  <c:v>1006.866788619538</c:v>
                </c:pt>
                <c:pt idx="5">
                  <c:v>1006.866788619538</c:v>
                </c:pt>
                <c:pt idx="6">
                  <c:v>1006.866788619538</c:v>
                </c:pt>
                <c:pt idx="7">
                  <c:v>1006.866788619538</c:v>
                </c:pt>
                <c:pt idx="8">
                  <c:v>1006.866788619538</c:v>
                </c:pt>
                <c:pt idx="9">
                  <c:v>1006.866788619538</c:v>
                </c:pt>
                <c:pt idx="10">
                  <c:v>1006.866788619538</c:v>
                </c:pt>
                <c:pt idx="11">
                  <c:v>1006.866788619538</c:v>
                </c:pt>
                <c:pt idx="12">
                  <c:v>1006.866788619538</c:v>
                </c:pt>
                <c:pt idx="13">
                  <c:v>1006.866788619538</c:v>
                </c:pt>
                <c:pt idx="14">
                  <c:v>1006.866788619538</c:v>
                </c:pt>
                <c:pt idx="15">
                  <c:v>1006.866788619538</c:v>
                </c:pt>
                <c:pt idx="16">
                  <c:v>1006.866788619538</c:v>
                </c:pt>
                <c:pt idx="17">
                  <c:v>1006.866788619538</c:v>
                </c:pt>
                <c:pt idx="18">
                  <c:v>1006.866788619538</c:v>
                </c:pt>
                <c:pt idx="19">
                  <c:v>1006.866788619538</c:v>
                </c:pt>
                <c:pt idx="20">
                  <c:v>1006.866788619538</c:v>
                </c:pt>
                <c:pt idx="21">
                  <c:v>1006.866788619538</c:v>
                </c:pt>
                <c:pt idx="22">
                  <c:v>1006.866788619538</c:v>
                </c:pt>
                <c:pt idx="23">
                  <c:v>1006.866788619538</c:v>
                </c:pt>
                <c:pt idx="24">
                  <c:v>1006.866788619538</c:v>
                </c:pt>
                <c:pt idx="25">
                  <c:v>1006.866788619538</c:v>
                </c:pt>
                <c:pt idx="26">
                  <c:v>1006.866788619538</c:v>
                </c:pt>
                <c:pt idx="27">
                  <c:v>1006.866788619538</c:v>
                </c:pt>
                <c:pt idx="28">
                  <c:v>1006.866788619538</c:v>
                </c:pt>
                <c:pt idx="29">
                  <c:v>1006.866788619538</c:v>
                </c:pt>
                <c:pt idx="30">
                  <c:v>1006.866788619538</c:v>
                </c:pt>
                <c:pt idx="31">
                  <c:v>1006.866788619538</c:v>
                </c:pt>
                <c:pt idx="32">
                  <c:v>1006.866788619538</c:v>
                </c:pt>
                <c:pt idx="33">
                  <c:v>1006.866788619538</c:v>
                </c:pt>
                <c:pt idx="34">
                  <c:v>1006.866788619538</c:v>
                </c:pt>
                <c:pt idx="35">
                  <c:v>1006.866788619538</c:v>
                </c:pt>
                <c:pt idx="36">
                  <c:v>1006.866788619538</c:v>
                </c:pt>
                <c:pt idx="37">
                  <c:v>1006.866788619538</c:v>
                </c:pt>
                <c:pt idx="38">
                  <c:v>1006.866788619538</c:v>
                </c:pt>
                <c:pt idx="39">
                  <c:v>1006.866788619538</c:v>
                </c:pt>
                <c:pt idx="40">
                  <c:v>1006.866788619538</c:v>
                </c:pt>
                <c:pt idx="41">
                  <c:v>1006.866788619538</c:v>
                </c:pt>
                <c:pt idx="42">
                  <c:v>1006.866788619538</c:v>
                </c:pt>
                <c:pt idx="43">
                  <c:v>1006.866788619538</c:v>
                </c:pt>
                <c:pt idx="44">
                  <c:v>1006.866788619538</c:v>
                </c:pt>
                <c:pt idx="45">
                  <c:v>1006.866788619538</c:v>
                </c:pt>
                <c:pt idx="46">
                  <c:v>1006.866788619538</c:v>
                </c:pt>
                <c:pt idx="47">
                  <c:v>1006.866788619538</c:v>
                </c:pt>
                <c:pt idx="48">
                  <c:v>1006.866788619538</c:v>
                </c:pt>
                <c:pt idx="49">
                  <c:v>1006.866788619538</c:v>
                </c:pt>
                <c:pt idx="50">
                  <c:v>1006.866788619538</c:v>
                </c:pt>
                <c:pt idx="51">
                  <c:v>1006.866788619538</c:v>
                </c:pt>
                <c:pt idx="52">
                  <c:v>1006.866788619538</c:v>
                </c:pt>
                <c:pt idx="53">
                  <c:v>1006.866788619538</c:v>
                </c:pt>
                <c:pt idx="54">
                  <c:v>1006.866788619538</c:v>
                </c:pt>
                <c:pt idx="55">
                  <c:v>1006.866788619538</c:v>
                </c:pt>
                <c:pt idx="56">
                  <c:v>1006.866788619538</c:v>
                </c:pt>
                <c:pt idx="57">
                  <c:v>1006.866788619538</c:v>
                </c:pt>
                <c:pt idx="58">
                  <c:v>1006.866788619538</c:v>
                </c:pt>
                <c:pt idx="59">
                  <c:v>1006.866788619538</c:v>
                </c:pt>
                <c:pt idx="60">
                  <c:v>1006.866788619538</c:v>
                </c:pt>
                <c:pt idx="61">
                  <c:v>1006.866788619538</c:v>
                </c:pt>
                <c:pt idx="62">
                  <c:v>1006.866788619538</c:v>
                </c:pt>
                <c:pt idx="63">
                  <c:v>1006.866788619538</c:v>
                </c:pt>
                <c:pt idx="64">
                  <c:v>1006.866788619538</c:v>
                </c:pt>
                <c:pt idx="65">
                  <c:v>1006.866788619538</c:v>
                </c:pt>
                <c:pt idx="66">
                  <c:v>1006.866788619538</c:v>
                </c:pt>
                <c:pt idx="67">
                  <c:v>1006.866788619538</c:v>
                </c:pt>
                <c:pt idx="68">
                  <c:v>1006.866788619538</c:v>
                </c:pt>
                <c:pt idx="69">
                  <c:v>1006.866788619538</c:v>
                </c:pt>
                <c:pt idx="70">
                  <c:v>1006.866788619538</c:v>
                </c:pt>
                <c:pt idx="71">
                  <c:v>1006.866788619538</c:v>
                </c:pt>
                <c:pt idx="72">
                  <c:v>1006.866788619538</c:v>
                </c:pt>
                <c:pt idx="73">
                  <c:v>1006.866788619538</c:v>
                </c:pt>
                <c:pt idx="74">
                  <c:v>1006.866788619538</c:v>
                </c:pt>
                <c:pt idx="75">
                  <c:v>1006.866788619538</c:v>
                </c:pt>
                <c:pt idx="76">
                  <c:v>1006.866788619538</c:v>
                </c:pt>
                <c:pt idx="77">
                  <c:v>1006.866788619538</c:v>
                </c:pt>
                <c:pt idx="78">
                  <c:v>1006.866788619538</c:v>
                </c:pt>
                <c:pt idx="79">
                  <c:v>1006.866788619538</c:v>
                </c:pt>
                <c:pt idx="80">
                  <c:v>1006.866788619538</c:v>
                </c:pt>
                <c:pt idx="81">
                  <c:v>1006.866788619538</c:v>
                </c:pt>
                <c:pt idx="82">
                  <c:v>1006.866788619538</c:v>
                </c:pt>
                <c:pt idx="83">
                  <c:v>1006.866788619538</c:v>
                </c:pt>
                <c:pt idx="84">
                  <c:v>1006.866788619538</c:v>
                </c:pt>
                <c:pt idx="85">
                  <c:v>1006.866788619538</c:v>
                </c:pt>
                <c:pt idx="86">
                  <c:v>1006.866788619538</c:v>
                </c:pt>
                <c:pt idx="87">
                  <c:v>1006.866788619538</c:v>
                </c:pt>
                <c:pt idx="88">
                  <c:v>1006.866788619538</c:v>
                </c:pt>
                <c:pt idx="89">
                  <c:v>1006.866788619538</c:v>
                </c:pt>
                <c:pt idx="90">
                  <c:v>1006.866788619538</c:v>
                </c:pt>
                <c:pt idx="91">
                  <c:v>1006.866788619538</c:v>
                </c:pt>
                <c:pt idx="92">
                  <c:v>1006.866788619538</c:v>
                </c:pt>
                <c:pt idx="93">
                  <c:v>1006.866788619538</c:v>
                </c:pt>
                <c:pt idx="94">
                  <c:v>1006.866788619538</c:v>
                </c:pt>
                <c:pt idx="95">
                  <c:v>894.9927009951452</c:v>
                </c:pt>
                <c:pt idx="96">
                  <c:v>894.9927009951452</c:v>
                </c:pt>
                <c:pt idx="97">
                  <c:v>894.9927009951452</c:v>
                </c:pt>
                <c:pt idx="98">
                  <c:v>894.9927009951452</c:v>
                </c:pt>
                <c:pt idx="99">
                  <c:v>894.9927009951452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22020.0</c:v>
                </c:pt>
                <c:pt idx="1">
                  <c:v>22020.0</c:v>
                </c:pt>
                <c:pt idx="2">
                  <c:v>22020.0</c:v>
                </c:pt>
                <c:pt idx="3">
                  <c:v>22020.0</c:v>
                </c:pt>
                <c:pt idx="4">
                  <c:v>22020.0</c:v>
                </c:pt>
                <c:pt idx="5">
                  <c:v>22020.0</c:v>
                </c:pt>
                <c:pt idx="6">
                  <c:v>22020.0</c:v>
                </c:pt>
                <c:pt idx="7">
                  <c:v>22020.0</c:v>
                </c:pt>
                <c:pt idx="8">
                  <c:v>22020.0</c:v>
                </c:pt>
                <c:pt idx="9">
                  <c:v>22020.0</c:v>
                </c:pt>
                <c:pt idx="10">
                  <c:v>22020.0</c:v>
                </c:pt>
                <c:pt idx="11">
                  <c:v>22020.0</c:v>
                </c:pt>
                <c:pt idx="12">
                  <c:v>22020.0</c:v>
                </c:pt>
                <c:pt idx="13">
                  <c:v>22020.0</c:v>
                </c:pt>
                <c:pt idx="14">
                  <c:v>22020.0</c:v>
                </c:pt>
                <c:pt idx="15">
                  <c:v>22020.0</c:v>
                </c:pt>
                <c:pt idx="16">
                  <c:v>22020.0</c:v>
                </c:pt>
                <c:pt idx="17">
                  <c:v>22020.0</c:v>
                </c:pt>
                <c:pt idx="18">
                  <c:v>22020.0</c:v>
                </c:pt>
                <c:pt idx="19">
                  <c:v>22020.0</c:v>
                </c:pt>
                <c:pt idx="20">
                  <c:v>22020.0</c:v>
                </c:pt>
                <c:pt idx="21">
                  <c:v>22020.0</c:v>
                </c:pt>
                <c:pt idx="22">
                  <c:v>22020.0</c:v>
                </c:pt>
                <c:pt idx="23">
                  <c:v>22020.0</c:v>
                </c:pt>
                <c:pt idx="24">
                  <c:v>22020.0</c:v>
                </c:pt>
                <c:pt idx="25">
                  <c:v>22020.0</c:v>
                </c:pt>
                <c:pt idx="26">
                  <c:v>22020.0</c:v>
                </c:pt>
                <c:pt idx="27">
                  <c:v>22020.0</c:v>
                </c:pt>
                <c:pt idx="28">
                  <c:v>22020.0</c:v>
                </c:pt>
                <c:pt idx="29">
                  <c:v>22020.0</c:v>
                </c:pt>
                <c:pt idx="30">
                  <c:v>22020.0</c:v>
                </c:pt>
                <c:pt idx="31">
                  <c:v>22020.0</c:v>
                </c:pt>
                <c:pt idx="32">
                  <c:v>22020.0</c:v>
                </c:pt>
                <c:pt idx="33">
                  <c:v>22020.0</c:v>
                </c:pt>
                <c:pt idx="34">
                  <c:v>22020.0</c:v>
                </c:pt>
                <c:pt idx="35">
                  <c:v>22020.0</c:v>
                </c:pt>
                <c:pt idx="36">
                  <c:v>22020.0</c:v>
                </c:pt>
                <c:pt idx="37">
                  <c:v>22020.0</c:v>
                </c:pt>
                <c:pt idx="38">
                  <c:v>22020.0</c:v>
                </c:pt>
                <c:pt idx="39">
                  <c:v>22020.0</c:v>
                </c:pt>
                <c:pt idx="40">
                  <c:v>22020.0</c:v>
                </c:pt>
                <c:pt idx="41">
                  <c:v>22020.0</c:v>
                </c:pt>
                <c:pt idx="42">
                  <c:v>22020.0</c:v>
                </c:pt>
                <c:pt idx="43">
                  <c:v>22020.0</c:v>
                </c:pt>
                <c:pt idx="44">
                  <c:v>22020.0</c:v>
                </c:pt>
                <c:pt idx="45">
                  <c:v>22020.0</c:v>
                </c:pt>
                <c:pt idx="46">
                  <c:v>22020.0</c:v>
                </c:pt>
                <c:pt idx="47">
                  <c:v>22020.0</c:v>
                </c:pt>
                <c:pt idx="48">
                  <c:v>22020.0</c:v>
                </c:pt>
                <c:pt idx="49">
                  <c:v>22020.0</c:v>
                </c:pt>
                <c:pt idx="50">
                  <c:v>22020.0</c:v>
                </c:pt>
                <c:pt idx="51">
                  <c:v>22020.0</c:v>
                </c:pt>
                <c:pt idx="52">
                  <c:v>22020.0</c:v>
                </c:pt>
                <c:pt idx="53">
                  <c:v>22020.0</c:v>
                </c:pt>
                <c:pt idx="54">
                  <c:v>22020.0</c:v>
                </c:pt>
                <c:pt idx="55">
                  <c:v>22020.0</c:v>
                </c:pt>
                <c:pt idx="56">
                  <c:v>22020.0</c:v>
                </c:pt>
                <c:pt idx="57">
                  <c:v>22020.0</c:v>
                </c:pt>
                <c:pt idx="58">
                  <c:v>22020.0</c:v>
                </c:pt>
                <c:pt idx="59">
                  <c:v>22020.0</c:v>
                </c:pt>
                <c:pt idx="60">
                  <c:v>22020.0</c:v>
                </c:pt>
                <c:pt idx="61">
                  <c:v>22020.0</c:v>
                </c:pt>
                <c:pt idx="62">
                  <c:v>22020.0</c:v>
                </c:pt>
                <c:pt idx="63">
                  <c:v>22020.0</c:v>
                </c:pt>
                <c:pt idx="64">
                  <c:v>22020.0</c:v>
                </c:pt>
                <c:pt idx="65">
                  <c:v>22020.0</c:v>
                </c:pt>
                <c:pt idx="66">
                  <c:v>22020.0</c:v>
                </c:pt>
                <c:pt idx="67">
                  <c:v>22020.0</c:v>
                </c:pt>
                <c:pt idx="68">
                  <c:v>22020.0</c:v>
                </c:pt>
                <c:pt idx="69">
                  <c:v>22020.0</c:v>
                </c:pt>
                <c:pt idx="70">
                  <c:v>22020.0</c:v>
                </c:pt>
                <c:pt idx="71">
                  <c:v>22020.0</c:v>
                </c:pt>
                <c:pt idx="72">
                  <c:v>22020.0</c:v>
                </c:pt>
                <c:pt idx="73">
                  <c:v>22020.0</c:v>
                </c:pt>
                <c:pt idx="74">
                  <c:v>22020.0</c:v>
                </c:pt>
                <c:pt idx="75">
                  <c:v>22020.0</c:v>
                </c:pt>
                <c:pt idx="76">
                  <c:v>22020.0</c:v>
                </c:pt>
                <c:pt idx="77">
                  <c:v>22020.0</c:v>
                </c:pt>
                <c:pt idx="78">
                  <c:v>22020.0</c:v>
                </c:pt>
                <c:pt idx="79">
                  <c:v>22020.0</c:v>
                </c:pt>
                <c:pt idx="80">
                  <c:v>22020.0</c:v>
                </c:pt>
                <c:pt idx="81">
                  <c:v>22020.0</c:v>
                </c:pt>
                <c:pt idx="82">
                  <c:v>22020.0</c:v>
                </c:pt>
                <c:pt idx="83">
                  <c:v>22020.0</c:v>
                </c:pt>
                <c:pt idx="84">
                  <c:v>22020.0</c:v>
                </c:pt>
                <c:pt idx="85">
                  <c:v>22020.0</c:v>
                </c:pt>
                <c:pt idx="86">
                  <c:v>22020.0</c:v>
                </c:pt>
                <c:pt idx="87">
                  <c:v>22020.0</c:v>
                </c:pt>
                <c:pt idx="88">
                  <c:v>22020.0</c:v>
                </c:pt>
                <c:pt idx="89">
                  <c:v>22020.0</c:v>
                </c:pt>
                <c:pt idx="90">
                  <c:v>22020.0</c:v>
                </c:pt>
                <c:pt idx="91">
                  <c:v>22020.0</c:v>
                </c:pt>
                <c:pt idx="92">
                  <c:v>22020.0</c:v>
                </c:pt>
                <c:pt idx="93">
                  <c:v>22020.0</c:v>
                </c:pt>
                <c:pt idx="94">
                  <c:v>22020.0</c:v>
                </c:pt>
                <c:pt idx="95">
                  <c:v>5477.333333333333</c:v>
                </c:pt>
                <c:pt idx="96">
                  <c:v>5477.333333333333</c:v>
                </c:pt>
                <c:pt idx="97">
                  <c:v>5477.333333333333</c:v>
                </c:pt>
                <c:pt idx="98">
                  <c:v>5477.333333333333</c:v>
                </c:pt>
                <c:pt idx="99">
                  <c:v>5477.333333333333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4106072"/>
        <c:axId val="183437527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20136.90379366834</c:v>
                </c:pt>
                <c:pt idx="1">
                  <c:v>20136.90379366834</c:v>
                </c:pt>
                <c:pt idx="2">
                  <c:v>20136.90379366834</c:v>
                </c:pt>
                <c:pt idx="3">
                  <c:v>20136.90379366834</c:v>
                </c:pt>
                <c:pt idx="4">
                  <c:v>20136.90379366834</c:v>
                </c:pt>
                <c:pt idx="5">
                  <c:v>20136.90379366834</c:v>
                </c:pt>
                <c:pt idx="6">
                  <c:v>20136.90379366834</c:v>
                </c:pt>
                <c:pt idx="7">
                  <c:v>20136.90379366834</c:v>
                </c:pt>
                <c:pt idx="8">
                  <c:v>20136.90379366834</c:v>
                </c:pt>
                <c:pt idx="9">
                  <c:v>20136.90379366834</c:v>
                </c:pt>
                <c:pt idx="10">
                  <c:v>20136.90379366834</c:v>
                </c:pt>
                <c:pt idx="11">
                  <c:v>20136.90379366834</c:v>
                </c:pt>
                <c:pt idx="12">
                  <c:v>20136.90379366834</c:v>
                </c:pt>
                <c:pt idx="13">
                  <c:v>20136.90379366834</c:v>
                </c:pt>
                <c:pt idx="14">
                  <c:v>20136.90379366834</c:v>
                </c:pt>
                <c:pt idx="15">
                  <c:v>20136.90379366834</c:v>
                </c:pt>
                <c:pt idx="16">
                  <c:v>20136.90379366834</c:v>
                </c:pt>
                <c:pt idx="17">
                  <c:v>20136.90379366834</c:v>
                </c:pt>
                <c:pt idx="18">
                  <c:v>20136.90379366834</c:v>
                </c:pt>
                <c:pt idx="19">
                  <c:v>20136.90379366834</c:v>
                </c:pt>
                <c:pt idx="20">
                  <c:v>20136.90379366834</c:v>
                </c:pt>
                <c:pt idx="21">
                  <c:v>20136.90379366834</c:v>
                </c:pt>
                <c:pt idx="22">
                  <c:v>20136.90379366834</c:v>
                </c:pt>
                <c:pt idx="23">
                  <c:v>20136.90379366834</c:v>
                </c:pt>
                <c:pt idx="24">
                  <c:v>20136.90379366834</c:v>
                </c:pt>
                <c:pt idx="25">
                  <c:v>20136.90379366834</c:v>
                </c:pt>
                <c:pt idx="26">
                  <c:v>20136.90379366834</c:v>
                </c:pt>
                <c:pt idx="27">
                  <c:v>20136.90379366834</c:v>
                </c:pt>
                <c:pt idx="28">
                  <c:v>20136.90379366834</c:v>
                </c:pt>
                <c:pt idx="29">
                  <c:v>20136.90379366834</c:v>
                </c:pt>
                <c:pt idx="30">
                  <c:v>20136.90379366834</c:v>
                </c:pt>
                <c:pt idx="31">
                  <c:v>20136.90379366834</c:v>
                </c:pt>
                <c:pt idx="32">
                  <c:v>20136.90379366834</c:v>
                </c:pt>
                <c:pt idx="33">
                  <c:v>20136.90379366834</c:v>
                </c:pt>
                <c:pt idx="34">
                  <c:v>20136.90379366834</c:v>
                </c:pt>
                <c:pt idx="35">
                  <c:v>20136.90379366834</c:v>
                </c:pt>
                <c:pt idx="36">
                  <c:v>20136.90379366834</c:v>
                </c:pt>
                <c:pt idx="37">
                  <c:v>20136.90379366834</c:v>
                </c:pt>
                <c:pt idx="38">
                  <c:v>20136.90379366834</c:v>
                </c:pt>
                <c:pt idx="39">
                  <c:v>20136.90379366834</c:v>
                </c:pt>
                <c:pt idx="40">
                  <c:v>20136.90379366834</c:v>
                </c:pt>
                <c:pt idx="41">
                  <c:v>20136.90379366834</c:v>
                </c:pt>
                <c:pt idx="42">
                  <c:v>20136.90379366834</c:v>
                </c:pt>
                <c:pt idx="43">
                  <c:v>20136.90379366834</c:v>
                </c:pt>
                <c:pt idx="44">
                  <c:v>20136.90379366834</c:v>
                </c:pt>
                <c:pt idx="45">
                  <c:v>20136.90379366834</c:v>
                </c:pt>
                <c:pt idx="46">
                  <c:v>20136.90379366834</c:v>
                </c:pt>
                <c:pt idx="47">
                  <c:v>20136.90379366834</c:v>
                </c:pt>
                <c:pt idx="48">
                  <c:v>20136.90379366834</c:v>
                </c:pt>
                <c:pt idx="49">
                  <c:v>20136.90379366834</c:v>
                </c:pt>
                <c:pt idx="50">
                  <c:v>20136.90379366834</c:v>
                </c:pt>
                <c:pt idx="51">
                  <c:v>20136.90379366834</c:v>
                </c:pt>
                <c:pt idx="52">
                  <c:v>20136.90379366834</c:v>
                </c:pt>
                <c:pt idx="53">
                  <c:v>20136.90379366834</c:v>
                </c:pt>
                <c:pt idx="54">
                  <c:v>20136.90379366834</c:v>
                </c:pt>
                <c:pt idx="55">
                  <c:v>20136.90379366834</c:v>
                </c:pt>
                <c:pt idx="56">
                  <c:v>20136.90379366834</c:v>
                </c:pt>
                <c:pt idx="57">
                  <c:v>20136.90379366834</c:v>
                </c:pt>
                <c:pt idx="58">
                  <c:v>20136.90379366834</c:v>
                </c:pt>
                <c:pt idx="59">
                  <c:v>20136.90379366834</c:v>
                </c:pt>
                <c:pt idx="60">
                  <c:v>20136.90379366834</c:v>
                </c:pt>
                <c:pt idx="61">
                  <c:v>20136.90379366834</c:v>
                </c:pt>
                <c:pt idx="62">
                  <c:v>20136.90379366834</c:v>
                </c:pt>
                <c:pt idx="63">
                  <c:v>20136.90379366834</c:v>
                </c:pt>
                <c:pt idx="64">
                  <c:v>20136.90379366834</c:v>
                </c:pt>
                <c:pt idx="65">
                  <c:v>20136.90379366834</c:v>
                </c:pt>
                <c:pt idx="66">
                  <c:v>20136.90379366834</c:v>
                </c:pt>
                <c:pt idx="67">
                  <c:v>20136.90379366834</c:v>
                </c:pt>
                <c:pt idx="68">
                  <c:v>20136.90379366834</c:v>
                </c:pt>
                <c:pt idx="69">
                  <c:v>20136.90379366834</c:v>
                </c:pt>
                <c:pt idx="70">
                  <c:v>20136.90379366834</c:v>
                </c:pt>
                <c:pt idx="71">
                  <c:v>20136.90379366834</c:v>
                </c:pt>
                <c:pt idx="72">
                  <c:v>20136.90379366834</c:v>
                </c:pt>
                <c:pt idx="73">
                  <c:v>20136.90379366834</c:v>
                </c:pt>
                <c:pt idx="74">
                  <c:v>20136.90379366834</c:v>
                </c:pt>
                <c:pt idx="75">
                  <c:v>20136.90379366834</c:v>
                </c:pt>
                <c:pt idx="76">
                  <c:v>20136.90379366834</c:v>
                </c:pt>
                <c:pt idx="77">
                  <c:v>20136.90379366834</c:v>
                </c:pt>
                <c:pt idx="78">
                  <c:v>20136.90379366834</c:v>
                </c:pt>
                <c:pt idx="79">
                  <c:v>20136.90379366834</c:v>
                </c:pt>
                <c:pt idx="80">
                  <c:v>20136.90379366834</c:v>
                </c:pt>
                <c:pt idx="81">
                  <c:v>20136.90379366834</c:v>
                </c:pt>
                <c:pt idx="82">
                  <c:v>20136.90379366834</c:v>
                </c:pt>
                <c:pt idx="83">
                  <c:v>20136.90379366834</c:v>
                </c:pt>
                <c:pt idx="84">
                  <c:v>20136.90379366834</c:v>
                </c:pt>
                <c:pt idx="85">
                  <c:v>20136.90379366834</c:v>
                </c:pt>
                <c:pt idx="86">
                  <c:v>20136.90379366834</c:v>
                </c:pt>
                <c:pt idx="87">
                  <c:v>20136.90379366834</c:v>
                </c:pt>
                <c:pt idx="88">
                  <c:v>20136.90379366834</c:v>
                </c:pt>
                <c:pt idx="89">
                  <c:v>20136.90379366834</c:v>
                </c:pt>
                <c:pt idx="90">
                  <c:v>20136.90379366834</c:v>
                </c:pt>
                <c:pt idx="91">
                  <c:v>20136.90379366834</c:v>
                </c:pt>
                <c:pt idx="92">
                  <c:v>20136.90379366834</c:v>
                </c:pt>
                <c:pt idx="93">
                  <c:v>20136.90379366834</c:v>
                </c:pt>
                <c:pt idx="94">
                  <c:v>20136.90379366834</c:v>
                </c:pt>
                <c:pt idx="95">
                  <c:v>20136.90379366834</c:v>
                </c:pt>
                <c:pt idx="96">
                  <c:v>20136.90379366834</c:v>
                </c:pt>
                <c:pt idx="97">
                  <c:v>20136.90379366834</c:v>
                </c:pt>
                <c:pt idx="98">
                  <c:v>20136.90379366834</c:v>
                </c:pt>
                <c:pt idx="99">
                  <c:v>20136.90379366834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106072"/>
        <c:axId val="183437527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25886.48197089999</c:v>
                </c:pt>
                <c:pt idx="13">
                  <c:v>25973.35890207025</c:v>
                </c:pt>
                <c:pt idx="14">
                  <c:v>26060.2358332405</c:v>
                </c:pt>
                <c:pt idx="15">
                  <c:v>26147.11276441076</c:v>
                </c:pt>
                <c:pt idx="16">
                  <c:v>26233.98969558101</c:v>
                </c:pt>
                <c:pt idx="17">
                  <c:v>26320.86662675127</c:v>
                </c:pt>
                <c:pt idx="18">
                  <c:v>26407.74355792153</c:v>
                </c:pt>
                <c:pt idx="19">
                  <c:v>26494.62048909178</c:v>
                </c:pt>
                <c:pt idx="20">
                  <c:v>26581.49742026204</c:v>
                </c:pt>
                <c:pt idx="21">
                  <c:v>26668.3743514323</c:v>
                </c:pt>
                <c:pt idx="22">
                  <c:v>26755.25128260255</c:v>
                </c:pt>
                <c:pt idx="23">
                  <c:v>26842.1282137728</c:v>
                </c:pt>
                <c:pt idx="24">
                  <c:v>26929.00514494306</c:v>
                </c:pt>
                <c:pt idx="25">
                  <c:v>27015.88207611332</c:v>
                </c:pt>
                <c:pt idx="26">
                  <c:v>27102.75900728357</c:v>
                </c:pt>
                <c:pt idx="27">
                  <c:v>27189.63593845383</c:v>
                </c:pt>
                <c:pt idx="28">
                  <c:v>27276.51286962409</c:v>
                </c:pt>
                <c:pt idx="29">
                  <c:v>27363.38980079434</c:v>
                </c:pt>
                <c:pt idx="30">
                  <c:v>27450.2667319646</c:v>
                </c:pt>
                <c:pt idx="31">
                  <c:v>27537.14366313486</c:v>
                </c:pt>
                <c:pt idx="32">
                  <c:v>27624.02059430511</c:v>
                </c:pt>
                <c:pt idx="33">
                  <c:v>27710.89752547537</c:v>
                </c:pt>
                <c:pt idx="34">
                  <c:v>27797.77445664562</c:v>
                </c:pt>
                <c:pt idx="35">
                  <c:v>27884.65138781588</c:v>
                </c:pt>
                <c:pt idx="36">
                  <c:v>27971.52831898614</c:v>
                </c:pt>
                <c:pt idx="37">
                  <c:v>28058.40525015639</c:v>
                </c:pt>
                <c:pt idx="38">
                  <c:v>28145.28218132665</c:v>
                </c:pt>
                <c:pt idx="39">
                  <c:v>28232.15911249691</c:v>
                </c:pt>
                <c:pt idx="40">
                  <c:v>28319.03604366716</c:v>
                </c:pt>
                <c:pt idx="41">
                  <c:v>28405.91297483742</c:v>
                </c:pt>
                <c:pt idx="42">
                  <c:v>28492.78990600767</c:v>
                </c:pt>
                <c:pt idx="43">
                  <c:v>28579.66683717793</c:v>
                </c:pt>
                <c:pt idx="44">
                  <c:v>28666.54376834818</c:v>
                </c:pt>
                <c:pt idx="45">
                  <c:v>28753.42069951844</c:v>
                </c:pt>
                <c:pt idx="46">
                  <c:v>28840.2976306887</c:v>
                </c:pt>
                <c:pt idx="47">
                  <c:v>28927.17456185895</c:v>
                </c:pt>
                <c:pt idx="48">
                  <c:v>29014.05149302921</c:v>
                </c:pt>
                <c:pt idx="49">
                  <c:v>29100.92842419946</c:v>
                </c:pt>
                <c:pt idx="50">
                  <c:v>29187.80535536972</c:v>
                </c:pt>
                <c:pt idx="51">
                  <c:v>29274.68228653998</c:v>
                </c:pt>
                <c:pt idx="52">
                  <c:v>29361.55921771023</c:v>
                </c:pt>
                <c:pt idx="53">
                  <c:v>29853.21853150197</c:v>
                </c:pt>
                <c:pt idx="54">
                  <c:v>30344.87784529371</c:v>
                </c:pt>
                <c:pt idx="55">
                  <c:v>30836.53715908546</c:v>
                </c:pt>
                <c:pt idx="56">
                  <c:v>31328.1964728772</c:v>
                </c:pt>
                <c:pt idx="57">
                  <c:v>31819.85578666894</c:v>
                </c:pt>
                <c:pt idx="58">
                  <c:v>32311.51510046068</c:v>
                </c:pt>
                <c:pt idx="59">
                  <c:v>32803.17441425242</c:v>
                </c:pt>
                <c:pt idx="60">
                  <c:v>33294.83372804416</c:v>
                </c:pt>
                <c:pt idx="61">
                  <c:v>33786.4930418359</c:v>
                </c:pt>
                <c:pt idx="62">
                  <c:v>34278.15235562764</c:v>
                </c:pt>
                <c:pt idx="63">
                  <c:v>34769.81166941938</c:v>
                </c:pt>
                <c:pt idx="64">
                  <c:v>35261.47098321113</c:v>
                </c:pt>
                <c:pt idx="65">
                  <c:v>35753.13029700286</c:v>
                </c:pt>
                <c:pt idx="66">
                  <c:v>36244.78961079461</c:v>
                </c:pt>
                <c:pt idx="67">
                  <c:v>36736.44892458634</c:v>
                </c:pt>
                <c:pt idx="68">
                  <c:v>37228.10823837808</c:v>
                </c:pt>
                <c:pt idx="69">
                  <c:v>37719.76755216983</c:v>
                </c:pt>
                <c:pt idx="70">
                  <c:v>38211.42686596157</c:v>
                </c:pt>
                <c:pt idx="71">
                  <c:v>38703.08617975331</c:v>
                </c:pt>
                <c:pt idx="72">
                  <c:v>39194.74549354505</c:v>
                </c:pt>
                <c:pt idx="73">
                  <c:v>39686.40480733678</c:v>
                </c:pt>
                <c:pt idx="74">
                  <c:v>40178.06412112853</c:v>
                </c:pt>
                <c:pt idx="75">
                  <c:v>41325.99001769945</c:v>
                </c:pt>
                <c:pt idx="76">
                  <c:v>43130.18249704955</c:v>
                </c:pt>
                <c:pt idx="77">
                  <c:v>44934.37497639966</c:v>
                </c:pt>
                <c:pt idx="78">
                  <c:v>46738.56745574976</c:v>
                </c:pt>
                <c:pt idx="79">
                  <c:v>48542.75993509986</c:v>
                </c:pt>
                <c:pt idx="80">
                  <c:v>50346.95241444995</c:v>
                </c:pt>
                <c:pt idx="81">
                  <c:v>52151.14489380007</c:v>
                </c:pt>
                <c:pt idx="82">
                  <c:v>53955.33737315016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06072"/>
        <c:axId val="1834375272"/>
      </c:scatterChart>
      <c:catAx>
        <c:axId val="183410607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43752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343752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410607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2670.728892741367</c:v>
                </c:pt>
                <c:pt idx="1">
                  <c:v>2670.728892741367</c:v>
                </c:pt>
                <c:pt idx="2">
                  <c:v>2670.728892741367</c:v>
                </c:pt>
                <c:pt idx="3">
                  <c:v>2670.728892741367</c:v>
                </c:pt>
                <c:pt idx="4">
                  <c:v>2670.728892741367</c:v>
                </c:pt>
                <c:pt idx="5">
                  <c:v>2670.728892741367</c:v>
                </c:pt>
                <c:pt idx="6">
                  <c:v>2670.728892741367</c:v>
                </c:pt>
                <c:pt idx="7">
                  <c:v>2670.728892741367</c:v>
                </c:pt>
                <c:pt idx="8">
                  <c:v>2670.728892741367</c:v>
                </c:pt>
                <c:pt idx="9">
                  <c:v>2670.728892741367</c:v>
                </c:pt>
                <c:pt idx="10">
                  <c:v>2670.728892741367</c:v>
                </c:pt>
                <c:pt idx="11">
                  <c:v>2670.728892741367</c:v>
                </c:pt>
                <c:pt idx="12">
                  <c:v>2670.728892741367</c:v>
                </c:pt>
                <c:pt idx="13">
                  <c:v>2670.728892741367</c:v>
                </c:pt>
                <c:pt idx="14">
                  <c:v>2670.728892741367</c:v>
                </c:pt>
                <c:pt idx="15">
                  <c:v>2670.728892741367</c:v>
                </c:pt>
                <c:pt idx="16">
                  <c:v>2670.728892741367</c:v>
                </c:pt>
                <c:pt idx="17">
                  <c:v>2670.728892741367</c:v>
                </c:pt>
                <c:pt idx="18">
                  <c:v>2670.728892741367</c:v>
                </c:pt>
                <c:pt idx="19">
                  <c:v>2670.728892741367</c:v>
                </c:pt>
                <c:pt idx="20">
                  <c:v>2670.728892741367</c:v>
                </c:pt>
                <c:pt idx="21">
                  <c:v>2670.728892741367</c:v>
                </c:pt>
                <c:pt idx="22">
                  <c:v>2670.728892741367</c:v>
                </c:pt>
                <c:pt idx="23">
                  <c:v>2670.728892741367</c:v>
                </c:pt>
                <c:pt idx="24">
                  <c:v>2670.728892741367</c:v>
                </c:pt>
                <c:pt idx="25">
                  <c:v>2670.728892741367</c:v>
                </c:pt>
                <c:pt idx="26">
                  <c:v>2677.897459428573</c:v>
                </c:pt>
                <c:pt idx="27">
                  <c:v>2685.06602611578</c:v>
                </c:pt>
                <c:pt idx="28">
                  <c:v>2692.234592802987</c:v>
                </c:pt>
                <c:pt idx="29">
                  <c:v>2699.403159490194</c:v>
                </c:pt>
                <c:pt idx="30">
                  <c:v>2706.5717261774</c:v>
                </c:pt>
                <c:pt idx="31">
                  <c:v>2713.740292864608</c:v>
                </c:pt>
                <c:pt idx="32">
                  <c:v>2720.908859551815</c:v>
                </c:pt>
                <c:pt idx="33">
                  <c:v>2728.077426239021</c:v>
                </c:pt>
                <c:pt idx="34">
                  <c:v>2735.245992926229</c:v>
                </c:pt>
                <c:pt idx="35">
                  <c:v>2742.414559613435</c:v>
                </c:pt>
                <c:pt idx="36">
                  <c:v>2749.583126300642</c:v>
                </c:pt>
                <c:pt idx="37">
                  <c:v>2756.75169298785</c:v>
                </c:pt>
                <c:pt idx="38">
                  <c:v>2763.920259675056</c:v>
                </c:pt>
                <c:pt idx="39">
                  <c:v>2771.088826362263</c:v>
                </c:pt>
                <c:pt idx="40">
                  <c:v>2778.25739304947</c:v>
                </c:pt>
                <c:pt idx="41">
                  <c:v>2785.425959736677</c:v>
                </c:pt>
                <c:pt idx="42">
                  <c:v>2792.594526423884</c:v>
                </c:pt>
                <c:pt idx="43">
                  <c:v>2799.76309311109</c:v>
                </c:pt>
                <c:pt idx="44">
                  <c:v>2806.931659798297</c:v>
                </c:pt>
                <c:pt idx="45">
                  <c:v>2814.100226485504</c:v>
                </c:pt>
                <c:pt idx="46">
                  <c:v>2821.268793172711</c:v>
                </c:pt>
                <c:pt idx="47">
                  <c:v>2828.437359859918</c:v>
                </c:pt>
                <c:pt idx="48">
                  <c:v>2835.605926547125</c:v>
                </c:pt>
                <c:pt idx="49">
                  <c:v>2842.774493234332</c:v>
                </c:pt>
                <c:pt idx="50">
                  <c:v>2849.943059921538</c:v>
                </c:pt>
                <c:pt idx="51">
                  <c:v>2857.111626608746</c:v>
                </c:pt>
                <c:pt idx="52">
                  <c:v>2864.280193295952</c:v>
                </c:pt>
                <c:pt idx="53">
                  <c:v>2871.44875998316</c:v>
                </c:pt>
                <c:pt idx="54">
                  <c:v>2878.617326670366</c:v>
                </c:pt>
                <c:pt idx="55">
                  <c:v>2885.785893357573</c:v>
                </c:pt>
                <c:pt idx="56">
                  <c:v>2892.95446004478</c:v>
                </c:pt>
                <c:pt idx="57">
                  <c:v>2900.123026731987</c:v>
                </c:pt>
                <c:pt idx="58">
                  <c:v>2907.291593419194</c:v>
                </c:pt>
                <c:pt idx="59">
                  <c:v>2914.460160106401</c:v>
                </c:pt>
                <c:pt idx="60">
                  <c:v>2921.628726793608</c:v>
                </c:pt>
                <c:pt idx="61">
                  <c:v>2928.797293480814</c:v>
                </c:pt>
                <c:pt idx="62">
                  <c:v>2935.965860168021</c:v>
                </c:pt>
                <c:pt idx="63">
                  <c:v>2943.134426855228</c:v>
                </c:pt>
                <c:pt idx="64">
                  <c:v>2950.302993542435</c:v>
                </c:pt>
                <c:pt idx="65">
                  <c:v>2957.471560229642</c:v>
                </c:pt>
                <c:pt idx="66">
                  <c:v>3008.972515414188</c:v>
                </c:pt>
                <c:pt idx="67">
                  <c:v>3060.473470598735</c:v>
                </c:pt>
                <c:pt idx="68">
                  <c:v>3111.974425783281</c:v>
                </c:pt>
                <c:pt idx="69">
                  <c:v>3163.475380967827</c:v>
                </c:pt>
                <c:pt idx="70">
                  <c:v>3214.976336152373</c:v>
                </c:pt>
                <c:pt idx="71">
                  <c:v>3266.47729133692</c:v>
                </c:pt>
                <c:pt idx="72">
                  <c:v>3317.978246521467</c:v>
                </c:pt>
                <c:pt idx="73">
                  <c:v>3369.479201706013</c:v>
                </c:pt>
                <c:pt idx="74">
                  <c:v>3420.98015689056</c:v>
                </c:pt>
                <c:pt idx="75">
                  <c:v>3472.481112075105</c:v>
                </c:pt>
                <c:pt idx="76">
                  <c:v>3523.982067259652</c:v>
                </c:pt>
                <c:pt idx="77">
                  <c:v>3575.483022444198</c:v>
                </c:pt>
                <c:pt idx="78">
                  <c:v>3626.983977628745</c:v>
                </c:pt>
                <c:pt idx="79">
                  <c:v>3678.484932813291</c:v>
                </c:pt>
                <c:pt idx="80">
                  <c:v>3729.985887997838</c:v>
                </c:pt>
                <c:pt idx="81">
                  <c:v>3781.486843182384</c:v>
                </c:pt>
                <c:pt idx="82">
                  <c:v>3832.98779836693</c:v>
                </c:pt>
                <c:pt idx="83">
                  <c:v>3884.488753551477</c:v>
                </c:pt>
                <c:pt idx="84">
                  <c:v>3935.989708736023</c:v>
                </c:pt>
                <c:pt idx="85">
                  <c:v>3987.49066392057</c:v>
                </c:pt>
                <c:pt idx="86">
                  <c:v>4038.991619105116</c:v>
                </c:pt>
                <c:pt idx="87">
                  <c:v>4090.492574289663</c:v>
                </c:pt>
                <c:pt idx="88">
                  <c:v>4118.571247106179</c:v>
                </c:pt>
                <c:pt idx="89">
                  <c:v>4123.227637554665</c:v>
                </c:pt>
                <c:pt idx="90">
                  <c:v>4127.884028003151</c:v>
                </c:pt>
                <c:pt idx="91">
                  <c:v>4132.540418451638</c:v>
                </c:pt>
                <c:pt idx="92">
                  <c:v>4137.196808900125</c:v>
                </c:pt>
                <c:pt idx="93">
                  <c:v>4141.853199348611</c:v>
                </c:pt>
                <c:pt idx="94">
                  <c:v>4146.509589797097</c:v>
                </c:pt>
                <c:pt idx="95">
                  <c:v>4151.165980245584</c:v>
                </c:pt>
                <c:pt idx="96">
                  <c:v>4155.82237069407</c:v>
                </c:pt>
                <c:pt idx="97">
                  <c:v>4160.478761142557</c:v>
                </c:pt>
                <c:pt idx="98">
                  <c:v>4162.8069563668</c:v>
                </c:pt>
                <c:pt idx="99">
                  <c:v>4162.8069563668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20.9</c:v>
                </c:pt>
                <c:pt idx="27">
                  <c:v>41.8</c:v>
                </c:pt>
                <c:pt idx="28">
                  <c:v>62.7</c:v>
                </c:pt>
                <c:pt idx="29">
                  <c:v>83.6</c:v>
                </c:pt>
                <c:pt idx="30">
                  <c:v>104.5</c:v>
                </c:pt>
                <c:pt idx="31">
                  <c:v>125.4</c:v>
                </c:pt>
                <c:pt idx="32">
                  <c:v>146.3</c:v>
                </c:pt>
                <c:pt idx="33">
                  <c:v>167.2</c:v>
                </c:pt>
                <c:pt idx="34">
                  <c:v>188.1</c:v>
                </c:pt>
                <c:pt idx="35">
                  <c:v>209.0</c:v>
                </c:pt>
                <c:pt idx="36">
                  <c:v>229.9</c:v>
                </c:pt>
                <c:pt idx="37">
                  <c:v>250.8</c:v>
                </c:pt>
                <c:pt idx="38">
                  <c:v>271.7</c:v>
                </c:pt>
                <c:pt idx="39">
                  <c:v>292.6</c:v>
                </c:pt>
                <c:pt idx="40">
                  <c:v>313.5</c:v>
                </c:pt>
                <c:pt idx="41">
                  <c:v>334.4</c:v>
                </c:pt>
                <c:pt idx="42">
                  <c:v>355.3</c:v>
                </c:pt>
                <c:pt idx="43">
                  <c:v>376.2</c:v>
                </c:pt>
                <c:pt idx="44">
                  <c:v>397.1</c:v>
                </c:pt>
                <c:pt idx="45">
                  <c:v>418.0</c:v>
                </c:pt>
                <c:pt idx="46">
                  <c:v>438.9</c:v>
                </c:pt>
                <c:pt idx="47">
                  <c:v>459.8</c:v>
                </c:pt>
                <c:pt idx="48">
                  <c:v>480.7</c:v>
                </c:pt>
                <c:pt idx="49">
                  <c:v>501.6</c:v>
                </c:pt>
                <c:pt idx="50">
                  <c:v>522.5</c:v>
                </c:pt>
                <c:pt idx="51">
                  <c:v>543.4</c:v>
                </c:pt>
                <c:pt idx="52">
                  <c:v>564.3</c:v>
                </c:pt>
                <c:pt idx="53">
                  <c:v>585.2</c:v>
                </c:pt>
                <c:pt idx="54">
                  <c:v>606.1</c:v>
                </c:pt>
                <c:pt idx="55">
                  <c:v>627.0</c:v>
                </c:pt>
                <c:pt idx="56">
                  <c:v>647.9</c:v>
                </c:pt>
                <c:pt idx="57">
                  <c:v>668.8</c:v>
                </c:pt>
                <c:pt idx="58">
                  <c:v>689.7</c:v>
                </c:pt>
                <c:pt idx="59">
                  <c:v>710.6</c:v>
                </c:pt>
                <c:pt idx="60">
                  <c:v>731.5</c:v>
                </c:pt>
                <c:pt idx="61">
                  <c:v>752.4</c:v>
                </c:pt>
                <c:pt idx="62">
                  <c:v>773.3</c:v>
                </c:pt>
                <c:pt idx="63">
                  <c:v>794.2</c:v>
                </c:pt>
                <c:pt idx="64">
                  <c:v>815.1</c:v>
                </c:pt>
                <c:pt idx="65">
                  <c:v>836.0</c:v>
                </c:pt>
                <c:pt idx="66">
                  <c:v>959.7777777777778</c:v>
                </c:pt>
                <c:pt idx="67">
                  <c:v>1083.555555555556</c:v>
                </c:pt>
                <c:pt idx="68">
                  <c:v>1207.333333333333</c:v>
                </c:pt>
                <c:pt idx="69">
                  <c:v>1331.111111111111</c:v>
                </c:pt>
                <c:pt idx="70">
                  <c:v>1454.888888888889</c:v>
                </c:pt>
                <c:pt idx="71">
                  <c:v>1578.666666666667</c:v>
                </c:pt>
                <c:pt idx="72">
                  <c:v>1702.444444444444</c:v>
                </c:pt>
                <c:pt idx="73">
                  <c:v>1826.222222222222</c:v>
                </c:pt>
                <c:pt idx="74">
                  <c:v>1950.0</c:v>
                </c:pt>
                <c:pt idx="75">
                  <c:v>2073.777777777778</c:v>
                </c:pt>
                <c:pt idx="76">
                  <c:v>2197.555555555555</c:v>
                </c:pt>
                <c:pt idx="77">
                  <c:v>2321.333333333333</c:v>
                </c:pt>
                <c:pt idx="78">
                  <c:v>2445.111111111111</c:v>
                </c:pt>
                <c:pt idx="79">
                  <c:v>2568.888888888889</c:v>
                </c:pt>
                <c:pt idx="80">
                  <c:v>2692.666666666667</c:v>
                </c:pt>
                <c:pt idx="81">
                  <c:v>2816.444444444444</c:v>
                </c:pt>
                <c:pt idx="82">
                  <c:v>2940.222222222222</c:v>
                </c:pt>
                <c:pt idx="83">
                  <c:v>3064.0</c:v>
                </c:pt>
                <c:pt idx="84">
                  <c:v>3187.777777777778</c:v>
                </c:pt>
                <c:pt idx="85">
                  <c:v>3311.555555555555</c:v>
                </c:pt>
                <c:pt idx="86">
                  <c:v>3435.333333333333</c:v>
                </c:pt>
                <c:pt idx="87">
                  <c:v>3559.111111111111</c:v>
                </c:pt>
                <c:pt idx="88">
                  <c:v>3696.572222222222</c:v>
                </c:pt>
                <c:pt idx="89">
                  <c:v>3847.716666666667</c:v>
                </c:pt>
                <c:pt idx="90">
                  <c:v>3998.861111111111</c:v>
                </c:pt>
                <c:pt idx="91">
                  <c:v>4150.005555555555</c:v>
                </c:pt>
                <c:pt idx="92">
                  <c:v>4301.15</c:v>
                </c:pt>
                <c:pt idx="93">
                  <c:v>4452.294444444444</c:v>
                </c:pt>
                <c:pt idx="94">
                  <c:v>4603.438888888888</c:v>
                </c:pt>
                <c:pt idx="95">
                  <c:v>4754.583333333332</c:v>
                </c:pt>
                <c:pt idx="96">
                  <c:v>4905.727777777777</c:v>
                </c:pt>
                <c:pt idx="97">
                  <c:v>5056.872222222221</c:v>
                </c:pt>
                <c:pt idx="98">
                  <c:v>5132.444444444443</c:v>
                </c:pt>
                <c:pt idx="99">
                  <c:v>5132.444444444443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188.8862895390851</c:v>
                </c:pt>
                <c:pt idx="1">
                  <c:v>188.8862895390851</c:v>
                </c:pt>
                <c:pt idx="2">
                  <c:v>188.8862895390851</c:v>
                </c:pt>
                <c:pt idx="3">
                  <c:v>188.8862895390851</c:v>
                </c:pt>
                <c:pt idx="4">
                  <c:v>188.8862895390851</c:v>
                </c:pt>
                <c:pt idx="5">
                  <c:v>188.8862895390851</c:v>
                </c:pt>
                <c:pt idx="6">
                  <c:v>188.8862895390851</c:v>
                </c:pt>
                <c:pt idx="7">
                  <c:v>188.8862895390851</c:v>
                </c:pt>
                <c:pt idx="8">
                  <c:v>188.8862895390851</c:v>
                </c:pt>
                <c:pt idx="9">
                  <c:v>188.8862895390851</c:v>
                </c:pt>
                <c:pt idx="10">
                  <c:v>188.8862895390851</c:v>
                </c:pt>
                <c:pt idx="11">
                  <c:v>188.8862895390851</c:v>
                </c:pt>
                <c:pt idx="12">
                  <c:v>188.8862895390851</c:v>
                </c:pt>
                <c:pt idx="13">
                  <c:v>188.8862895390851</c:v>
                </c:pt>
                <c:pt idx="14">
                  <c:v>188.8862895390851</c:v>
                </c:pt>
                <c:pt idx="15">
                  <c:v>188.8862895390851</c:v>
                </c:pt>
                <c:pt idx="16">
                  <c:v>188.8862895390851</c:v>
                </c:pt>
                <c:pt idx="17">
                  <c:v>188.8862895390851</c:v>
                </c:pt>
                <c:pt idx="18">
                  <c:v>188.8862895390851</c:v>
                </c:pt>
                <c:pt idx="19">
                  <c:v>188.8862895390851</c:v>
                </c:pt>
                <c:pt idx="20">
                  <c:v>188.8862895390851</c:v>
                </c:pt>
                <c:pt idx="21">
                  <c:v>188.8862895390851</c:v>
                </c:pt>
                <c:pt idx="22">
                  <c:v>188.8862895390851</c:v>
                </c:pt>
                <c:pt idx="23">
                  <c:v>188.8862895390851</c:v>
                </c:pt>
                <c:pt idx="24">
                  <c:v>188.8862895390851</c:v>
                </c:pt>
                <c:pt idx="25">
                  <c:v>188.8862895390851</c:v>
                </c:pt>
                <c:pt idx="26">
                  <c:v>191.462113965584</c:v>
                </c:pt>
                <c:pt idx="27">
                  <c:v>194.0379383920828</c:v>
                </c:pt>
                <c:pt idx="28">
                  <c:v>196.6137628185816</c:v>
                </c:pt>
                <c:pt idx="29">
                  <c:v>199.1895872450804</c:v>
                </c:pt>
                <c:pt idx="30">
                  <c:v>201.7654116715792</c:v>
                </c:pt>
                <c:pt idx="31">
                  <c:v>204.3412360980781</c:v>
                </c:pt>
                <c:pt idx="32">
                  <c:v>206.9170605245769</c:v>
                </c:pt>
                <c:pt idx="33">
                  <c:v>209.4928849510757</c:v>
                </c:pt>
                <c:pt idx="34">
                  <c:v>212.0687093775745</c:v>
                </c:pt>
                <c:pt idx="35">
                  <c:v>214.6445338040734</c:v>
                </c:pt>
                <c:pt idx="36">
                  <c:v>217.2203582305722</c:v>
                </c:pt>
                <c:pt idx="37">
                  <c:v>219.796182657071</c:v>
                </c:pt>
                <c:pt idx="38">
                  <c:v>222.3720070835698</c:v>
                </c:pt>
                <c:pt idx="39">
                  <c:v>224.9478315100687</c:v>
                </c:pt>
                <c:pt idx="40">
                  <c:v>227.5236559365675</c:v>
                </c:pt>
                <c:pt idx="41">
                  <c:v>230.0994803630663</c:v>
                </c:pt>
                <c:pt idx="42">
                  <c:v>232.6753047895651</c:v>
                </c:pt>
                <c:pt idx="43">
                  <c:v>235.251129216064</c:v>
                </c:pt>
                <c:pt idx="44">
                  <c:v>237.8269536425628</c:v>
                </c:pt>
                <c:pt idx="45">
                  <c:v>240.4027780690616</c:v>
                </c:pt>
                <c:pt idx="46">
                  <c:v>242.9786024955604</c:v>
                </c:pt>
                <c:pt idx="47">
                  <c:v>245.5544269220593</c:v>
                </c:pt>
                <c:pt idx="48">
                  <c:v>248.1302513485581</c:v>
                </c:pt>
                <c:pt idx="49">
                  <c:v>250.7060757750569</c:v>
                </c:pt>
                <c:pt idx="50">
                  <c:v>253.2819002015557</c:v>
                </c:pt>
                <c:pt idx="51">
                  <c:v>255.8577246280546</c:v>
                </c:pt>
                <c:pt idx="52">
                  <c:v>258.4335490545534</c:v>
                </c:pt>
                <c:pt idx="53">
                  <c:v>261.0093734810522</c:v>
                </c:pt>
                <c:pt idx="54">
                  <c:v>263.585197907551</c:v>
                </c:pt>
                <c:pt idx="55">
                  <c:v>266.1610223340498</c:v>
                </c:pt>
                <c:pt idx="56">
                  <c:v>268.7368467605487</c:v>
                </c:pt>
                <c:pt idx="57">
                  <c:v>271.3126711870475</c:v>
                </c:pt>
                <c:pt idx="58">
                  <c:v>273.8884956135462</c:v>
                </c:pt>
                <c:pt idx="59">
                  <c:v>276.4643200400452</c:v>
                </c:pt>
                <c:pt idx="60">
                  <c:v>279.040144466544</c:v>
                </c:pt>
                <c:pt idx="61">
                  <c:v>281.6159688930428</c:v>
                </c:pt>
                <c:pt idx="62">
                  <c:v>284.1917933195416</c:v>
                </c:pt>
                <c:pt idx="63">
                  <c:v>286.7676177460405</c:v>
                </c:pt>
                <c:pt idx="64">
                  <c:v>289.3434421725393</c:v>
                </c:pt>
                <c:pt idx="65">
                  <c:v>291.9192665990381</c:v>
                </c:pt>
                <c:pt idx="66">
                  <c:v>301.3010848826351</c:v>
                </c:pt>
                <c:pt idx="67">
                  <c:v>310.6829031662321</c:v>
                </c:pt>
                <c:pt idx="68">
                  <c:v>320.0647214498291</c:v>
                </c:pt>
                <c:pt idx="69">
                  <c:v>329.446539733426</c:v>
                </c:pt>
                <c:pt idx="70">
                  <c:v>338.828358017023</c:v>
                </c:pt>
                <c:pt idx="71">
                  <c:v>348.2101763006199</c:v>
                </c:pt>
                <c:pt idx="72">
                  <c:v>357.5919945842169</c:v>
                </c:pt>
                <c:pt idx="73">
                  <c:v>366.9738128678139</c:v>
                </c:pt>
                <c:pt idx="74">
                  <c:v>376.3556311514109</c:v>
                </c:pt>
                <c:pt idx="75">
                  <c:v>385.7374494350079</c:v>
                </c:pt>
                <c:pt idx="76">
                  <c:v>395.1192677186048</c:v>
                </c:pt>
                <c:pt idx="77">
                  <c:v>404.5010860022018</c:v>
                </c:pt>
                <c:pt idx="78">
                  <c:v>413.8829042857988</c:v>
                </c:pt>
                <c:pt idx="79">
                  <c:v>423.2647225693958</c:v>
                </c:pt>
                <c:pt idx="80">
                  <c:v>432.6465408529927</c:v>
                </c:pt>
                <c:pt idx="81">
                  <c:v>442.0283591365897</c:v>
                </c:pt>
                <c:pt idx="82">
                  <c:v>451.4101774201866</c:v>
                </c:pt>
                <c:pt idx="83">
                  <c:v>460.7919957037836</c:v>
                </c:pt>
                <c:pt idx="84">
                  <c:v>470.1738139873806</c:v>
                </c:pt>
                <c:pt idx="85">
                  <c:v>479.5556322709776</c:v>
                </c:pt>
                <c:pt idx="86">
                  <c:v>488.9374505545745</c:v>
                </c:pt>
                <c:pt idx="87">
                  <c:v>498.3192688381715</c:v>
                </c:pt>
                <c:pt idx="88">
                  <c:v>543.366720667849</c:v>
                </c:pt>
                <c:pt idx="89">
                  <c:v>624.079806043607</c:v>
                </c:pt>
                <c:pt idx="90">
                  <c:v>704.792891419365</c:v>
                </c:pt>
                <c:pt idx="91">
                  <c:v>785.505976795123</c:v>
                </c:pt>
                <c:pt idx="92">
                  <c:v>866.219062170881</c:v>
                </c:pt>
                <c:pt idx="93">
                  <c:v>946.932147546639</c:v>
                </c:pt>
                <c:pt idx="94">
                  <c:v>1027.645232922397</c:v>
                </c:pt>
                <c:pt idx="95">
                  <c:v>1108.358318298155</c:v>
                </c:pt>
                <c:pt idx="96">
                  <c:v>1189.071403673913</c:v>
                </c:pt>
                <c:pt idx="97">
                  <c:v>1269.784489049671</c:v>
                </c:pt>
                <c:pt idx="98">
                  <c:v>1310.14103173755</c:v>
                </c:pt>
                <c:pt idx="99">
                  <c:v>1310.14103173755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12.5</c:v>
                </c:pt>
                <c:pt idx="27">
                  <c:v>25.0</c:v>
                </c:pt>
                <c:pt idx="28">
                  <c:v>37.5</c:v>
                </c:pt>
                <c:pt idx="29">
                  <c:v>50.0</c:v>
                </c:pt>
                <c:pt idx="30">
                  <c:v>62.5</c:v>
                </c:pt>
                <c:pt idx="31">
                  <c:v>75.0</c:v>
                </c:pt>
                <c:pt idx="32">
                  <c:v>87.5</c:v>
                </c:pt>
                <c:pt idx="33">
                  <c:v>100.0</c:v>
                </c:pt>
                <c:pt idx="34">
                  <c:v>112.5</c:v>
                </c:pt>
                <c:pt idx="35">
                  <c:v>125.0</c:v>
                </c:pt>
                <c:pt idx="36">
                  <c:v>137.5</c:v>
                </c:pt>
                <c:pt idx="37">
                  <c:v>150.0</c:v>
                </c:pt>
                <c:pt idx="38">
                  <c:v>162.5</c:v>
                </c:pt>
                <c:pt idx="39">
                  <c:v>175.0</c:v>
                </c:pt>
                <c:pt idx="40">
                  <c:v>187.5</c:v>
                </c:pt>
                <c:pt idx="41">
                  <c:v>200.0</c:v>
                </c:pt>
                <c:pt idx="42">
                  <c:v>212.5</c:v>
                </c:pt>
                <c:pt idx="43">
                  <c:v>225.0</c:v>
                </c:pt>
                <c:pt idx="44">
                  <c:v>237.5</c:v>
                </c:pt>
                <c:pt idx="45">
                  <c:v>250.0</c:v>
                </c:pt>
                <c:pt idx="46">
                  <c:v>262.5</c:v>
                </c:pt>
                <c:pt idx="47">
                  <c:v>275.0</c:v>
                </c:pt>
                <c:pt idx="48">
                  <c:v>287.5</c:v>
                </c:pt>
                <c:pt idx="49">
                  <c:v>300.0</c:v>
                </c:pt>
                <c:pt idx="50">
                  <c:v>312.5</c:v>
                </c:pt>
                <c:pt idx="51">
                  <c:v>325.0</c:v>
                </c:pt>
                <c:pt idx="52">
                  <c:v>337.5</c:v>
                </c:pt>
                <c:pt idx="53">
                  <c:v>350.0</c:v>
                </c:pt>
                <c:pt idx="54">
                  <c:v>362.5</c:v>
                </c:pt>
                <c:pt idx="55">
                  <c:v>375.0</c:v>
                </c:pt>
                <c:pt idx="56">
                  <c:v>387.5</c:v>
                </c:pt>
                <c:pt idx="57">
                  <c:v>400.0</c:v>
                </c:pt>
                <c:pt idx="58">
                  <c:v>412.5</c:v>
                </c:pt>
                <c:pt idx="59">
                  <c:v>425.0</c:v>
                </c:pt>
                <c:pt idx="60">
                  <c:v>437.5</c:v>
                </c:pt>
                <c:pt idx="61">
                  <c:v>450.0</c:v>
                </c:pt>
                <c:pt idx="62">
                  <c:v>462.5</c:v>
                </c:pt>
                <c:pt idx="63">
                  <c:v>475.0</c:v>
                </c:pt>
                <c:pt idx="64">
                  <c:v>487.5</c:v>
                </c:pt>
                <c:pt idx="65">
                  <c:v>500.0</c:v>
                </c:pt>
                <c:pt idx="66">
                  <c:v>633.3333333333333</c:v>
                </c:pt>
                <c:pt idx="67">
                  <c:v>766.6666666666667</c:v>
                </c:pt>
                <c:pt idx="68">
                  <c:v>900.0</c:v>
                </c:pt>
                <c:pt idx="69">
                  <c:v>1033.333333333333</c:v>
                </c:pt>
                <c:pt idx="70">
                  <c:v>1166.666666666667</c:v>
                </c:pt>
                <c:pt idx="71">
                  <c:v>1300.0</c:v>
                </c:pt>
                <c:pt idx="72">
                  <c:v>1433.333333333333</c:v>
                </c:pt>
                <c:pt idx="73">
                  <c:v>1566.666666666667</c:v>
                </c:pt>
                <c:pt idx="74">
                  <c:v>1700.0</c:v>
                </c:pt>
                <c:pt idx="75">
                  <c:v>1833.333333333333</c:v>
                </c:pt>
                <c:pt idx="76">
                  <c:v>1966.666666666667</c:v>
                </c:pt>
                <c:pt idx="77">
                  <c:v>2100.0</c:v>
                </c:pt>
                <c:pt idx="78">
                  <c:v>2233.333333333333</c:v>
                </c:pt>
                <c:pt idx="79">
                  <c:v>2366.666666666667</c:v>
                </c:pt>
                <c:pt idx="80">
                  <c:v>2500.0</c:v>
                </c:pt>
                <c:pt idx="81">
                  <c:v>2633.333333333333</c:v>
                </c:pt>
                <c:pt idx="82">
                  <c:v>2766.666666666667</c:v>
                </c:pt>
                <c:pt idx="83">
                  <c:v>2900.0</c:v>
                </c:pt>
                <c:pt idx="84">
                  <c:v>3033.333333333333</c:v>
                </c:pt>
                <c:pt idx="85">
                  <c:v>3166.666666666667</c:v>
                </c:pt>
                <c:pt idx="86">
                  <c:v>3300.0</c:v>
                </c:pt>
                <c:pt idx="87">
                  <c:v>3433.333333333333</c:v>
                </c:pt>
                <c:pt idx="88">
                  <c:v>3816.111111111111</c:v>
                </c:pt>
                <c:pt idx="89">
                  <c:v>4448.333333333333</c:v>
                </c:pt>
                <c:pt idx="90">
                  <c:v>5080.555555555555</c:v>
                </c:pt>
                <c:pt idx="91">
                  <c:v>5712.777777777778</c:v>
                </c:pt>
                <c:pt idx="92">
                  <c:v>6345.0</c:v>
                </c:pt>
                <c:pt idx="93">
                  <c:v>6977.222222222222</c:v>
                </c:pt>
                <c:pt idx="94">
                  <c:v>7609.444444444444</c:v>
                </c:pt>
                <c:pt idx="95">
                  <c:v>8241.666666666668</c:v>
                </c:pt>
                <c:pt idx="96">
                  <c:v>8873.888888888889</c:v>
                </c:pt>
                <c:pt idx="97">
                  <c:v>9506.11111111111</c:v>
                </c:pt>
                <c:pt idx="98">
                  <c:v>9822.22222222222</c:v>
                </c:pt>
                <c:pt idx="99">
                  <c:v>9822.22222222222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4.950323887260196</c:v>
                </c:pt>
                <c:pt idx="89">
                  <c:v>14.85097166178059</c:v>
                </c:pt>
                <c:pt idx="90">
                  <c:v>24.75161943630098</c:v>
                </c:pt>
                <c:pt idx="91">
                  <c:v>34.65226721082138</c:v>
                </c:pt>
                <c:pt idx="92">
                  <c:v>44.55291498534177</c:v>
                </c:pt>
                <c:pt idx="93">
                  <c:v>54.45356275986217</c:v>
                </c:pt>
                <c:pt idx="94">
                  <c:v>64.35421053438255</c:v>
                </c:pt>
                <c:pt idx="95">
                  <c:v>74.25485830890295</c:v>
                </c:pt>
                <c:pt idx="96">
                  <c:v>84.15550608342335</c:v>
                </c:pt>
                <c:pt idx="97">
                  <c:v>94.05615385794374</c:v>
                </c:pt>
                <c:pt idx="98">
                  <c:v>99.00647774520394</c:v>
                </c:pt>
                <c:pt idx="99">
                  <c:v>99.00647774520394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43.73254005655042</c:v>
                </c:pt>
                <c:pt idx="27">
                  <c:v>87.46508011310085</c:v>
                </c:pt>
                <c:pt idx="28">
                  <c:v>131.1976201696513</c:v>
                </c:pt>
                <c:pt idx="29">
                  <c:v>174.9301602262017</c:v>
                </c:pt>
                <c:pt idx="30">
                  <c:v>218.6627002827521</c:v>
                </c:pt>
                <c:pt idx="31">
                  <c:v>262.3952403393025</c:v>
                </c:pt>
                <c:pt idx="32">
                  <c:v>306.127780395853</c:v>
                </c:pt>
                <c:pt idx="33">
                  <c:v>349.8603204524034</c:v>
                </c:pt>
                <c:pt idx="34">
                  <c:v>393.5928605089538</c:v>
                </c:pt>
                <c:pt idx="35">
                  <c:v>437.3254005655043</c:v>
                </c:pt>
                <c:pt idx="36">
                  <c:v>481.0579406220546</c:v>
                </c:pt>
                <c:pt idx="37">
                  <c:v>524.790480678605</c:v>
                </c:pt>
                <c:pt idx="38">
                  <c:v>568.5230207351556</c:v>
                </c:pt>
                <c:pt idx="39">
                  <c:v>612.2555607917059</c:v>
                </c:pt>
                <c:pt idx="40">
                  <c:v>655.9881008482564</c:v>
                </c:pt>
                <c:pt idx="41">
                  <c:v>699.7206409048068</c:v>
                </c:pt>
                <c:pt idx="42">
                  <c:v>743.4531809613572</c:v>
                </c:pt>
                <c:pt idx="43">
                  <c:v>787.1857210179076</c:v>
                </c:pt>
                <c:pt idx="44">
                  <c:v>830.9182610744581</c:v>
                </c:pt>
                <c:pt idx="45">
                  <c:v>874.6508011310085</c:v>
                </c:pt>
                <c:pt idx="46">
                  <c:v>918.383341187559</c:v>
                </c:pt>
                <c:pt idx="47">
                  <c:v>962.1158812441093</c:v>
                </c:pt>
                <c:pt idx="48">
                  <c:v>1005.84842130066</c:v>
                </c:pt>
                <c:pt idx="49">
                  <c:v>1049.58096135721</c:v>
                </c:pt>
                <c:pt idx="50">
                  <c:v>1093.313501413761</c:v>
                </c:pt>
                <c:pt idx="51">
                  <c:v>1137.046041470311</c:v>
                </c:pt>
                <c:pt idx="52">
                  <c:v>1180.778581526861</c:v>
                </c:pt>
                <c:pt idx="53">
                  <c:v>1224.511121583412</c:v>
                </c:pt>
                <c:pt idx="54">
                  <c:v>1268.243661639962</c:v>
                </c:pt>
                <c:pt idx="55">
                  <c:v>1311.976201696513</c:v>
                </c:pt>
                <c:pt idx="56">
                  <c:v>1355.708741753063</c:v>
                </c:pt>
                <c:pt idx="57">
                  <c:v>1399.441281809614</c:v>
                </c:pt>
                <c:pt idx="58">
                  <c:v>1443.173821866164</c:v>
                </c:pt>
                <c:pt idx="59">
                  <c:v>1486.906361922714</c:v>
                </c:pt>
                <c:pt idx="60">
                  <c:v>1530.638901979265</c:v>
                </c:pt>
                <c:pt idx="61">
                  <c:v>1574.371442035815</c:v>
                </c:pt>
                <c:pt idx="62">
                  <c:v>1618.103982092366</c:v>
                </c:pt>
                <c:pt idx="63">
                  <c:v>1661.836522148916</c:v>
                </c:pt>
                <c:pt idx="64">
                  <c:v>1705.569062205467</c:v>
                </c:pt>
                <c:pt idx="65">
                  <c:v>1749.301602262017</c:v>
                </c:pt>
                <c:pt idx="66">
                  <c:v>1704.977086605927</c:v>
                </c:pt>
                <c:pt idx="67">
                  <c:v>1660.652570949838</c:v>
                </c:pt>
                <c:pt idx="68">
                  <c:v>1616.328055293748</c:v>
                </c:pt>
                <c:pt idx="69">
                  <c:v>1572.003539637658</c:v>
                </c:pt>
                <c:pt idx="70">
                  <c:v>1527.679023981569</c:v>
                </c:pt>
                <c:pt idx="71">
                  <c:v>1483.354508325479</c:v>
                </c:pt>
                <c:pt idx="72">
                  <c:v>1439.029992669389</c:v>
                </c:pt>
                <c:pt idx="73">
                  <c:v>1394.7054770133</c:v>
                </c:pt>
                <c:pt idx="74">
                  <c:v>1350.38096135721</c:v>
                </c:pt>
                <c:pt idx="75">
                  <c:v>1306.056445701121</c:v>
                </c:pt>
                <c:pt idx="76">
                  <c:v>1261.731930045031</c:v>
                </c:pt>
                <c:pt idx="77">
                  <c:v>1217.407414388941</c:v>
                </c:pt>
                <c:pt idx="78">
                  <c:v>1173.082898732852</c:v>
                </c:pt>
                <c:pt idx="79">
                  <c:v>1128.758383076762</c:v>
                </c:pt>
                <c:pt idx="80">
                  <c:v>1084.433867420672</c:v>
                </c:pt>
                <c:pt idx="81">
                  <c:v>1040.109351764583</c:v>
                </c:pt>
                <c:pt idx="82">
                  <c:v>995.784836108493</c:v>
                </c:pt>
                <c:pt idx="83">
                  <c:v>951.4603204524034</c:v>
                </c:pt>
                <c:pt idx="84">
                  <c:v>907.1358047963138</c:v>
                </c:pt>
                <c:pt idx="85">
                  <c:v>862.8112891402242</c:v>
                </c:pt>
                <c:pt idx="86">
                  <c:v>818.4867734841344</c:v>
                </c:pt>
                <c:pt idx="87">
                  <c:v>774.1622578280449</c:v>
                </c:pt>
                <c:pt idx="88">
                  <c:v>714.4</c:v>
                </c:pt>
                <c:pt idx="89">
                  <c:v>639.2</c:v>
                </c:pt>
                <c:pt idx="90">
                  <c:v>564.0</c:v>
                </c:pt>
                <c:pt idx="91">
                  <c:v>488.8</c:v>
                </c:pt>
                <c:pt idx="92">
                  <c:v>413.6</c:v>
                </c:pt>
                <c:pt idx="93">
                  <c:v>338.4</c:v>
                </c:pt>
                <c:pt idx="94">
                  <c:v>263.2</c:v>
                </c:pt>
                <c:pt idx="95">
                  <c:v>188.0</c:v>
                </c:pt>
                <c:pt idx="96">
                  <c:v>112.8</c:v>
                </c:pt>
                <c:pt idx="97">
                  <c:v>37.60000000000002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1544.888888888889</c:v>
                </c:pt>
                <c:pt idx="89">
                  <c:v>4634.666666666666</c:v>
                </c:pt>
                <c:pt idx="90">
                  <c:v>7724.444444444443</c:v>
                </c:pt>
                <c:pt idx="91">
                  <c:v>10814.22222222222</c:v>
                </c:pt>
                <c:pt idx="92">
                  <c:v>13904.0</c:v>
                </c:pt>
                <c:pt idx="93">
                  <c:v>16993.77777777778</c:v>
                </c:pt>
                <c:pt idx="94">
                  <c:v>20083.55555555555</c:v>
                </c:pt>
                <c:pt idx="95">
                  <c:v>23173.33333333334</c:v>
                </c:pt>
                <c:pt idx="96">
                  <c:v>26263.11111111111</c:v>
                </c:pt>
                <c:pt idx="97">
                  <c:v>29352.88888888889</c:v>
                </c:pt>
                <c:pt idx="98">
                  <c:v>30897.77777777778</c:v>
                </c:pt>
                <c:pt idx="99">
                  <c:v>30897.77777777778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19.06666666666667</c:v>
                </c:pt>
                <c:pt idx="67">
                  <c:v>38.13333333333333</c:v>
                </c:pt>
                <c:pt idx="68">
                  <c:v>57.2</c:v>
                </c:pt>
                <c:pt idx="69">
                  <c:v>76.26666666666666</c:v>
                </c:pt>
                <c:pt idx="70">
                  <c:v>95.33333333333333</c:v>
                </c:pt>
                <c:pt idx="71">
                  <c:v>114.4</c:v>
                </c:pt>
                <c:pt idx="72">
                  <c:v>133.4666666666667</c:v>
                </c:pt>
                <c:pt idx="73">
                  <c:v>152.5333333333333</c:v>
                </c:pt>
                <c:pt idx="74">
                  <c:v>171.6</c:v>
                </c:pt>
                <c:pt idx="75">
                  <c:v>190.6666666666667</c:v>
                </c:pt>
                <c:pt idx="76">
                  <c:v>209.7333333333333</c:v>
                </c:pt>
                <c:pt idx="77">
                  <c:v>228.8</c:v>
                </c:pt>
                <c:pt idx="78">
                  <c:v>247.8666666666667</c:v>
                </c:pt>
                <c:pt idx="79">
                  <c:v>266.9333333333333</c:v>
                </c:pt>
                <c:pt idx="80">
                  <c:v>286.0</c:v>
                </c:pt>
                <c:pt idx="81">
                  <c:v>305.0666666666666</c:v>
                </c:pt>
                <c:pt idx="82">
                  <c:v>324.1333333333333</c:v>
                </c:pt>
                <c:pt idx="83">
                  <c:v>343.2</c:v>
                </c:pt>
                <c:pt idx="84">
                  <c:v>362.2666666666666</c:v>
                </c:pt>
                <c:pt idx="85">
                  <c:v>381.3333333333333</c:v>
                </c:pt>
                <c:pt idx="86">
                  <c:v>400.4</c:v>
                </c:pt>
                <c:pt idx="87">
                  <c:v>419.4666666666666</c:v>
                </c:pt>
                <c:pt idx="88">
                  <c:v>407.55</c:v>
                </c:pt>
                <c:pt idx="89">
                  <c:v>364.65</c:v>
                </c:pt>
                <c:pt idx="90">
                  <c:v>321.75</c:v>
                </c:pt>
                <c:pt idx="91">
                  <c:v>278.85</c:v>
                </c:pt>
                <c:pt idx="92">
                  <c:v>235.95</c:v>
                </c:pt>
                <c:pt idx="93">
                  <c:v>193.05</c:v>
                </c:pt>
                <c:pt idx="94">
                  <c:v>150.15</c:v>
                </c:pt>
                <c:pt idx="95">
                  <c:v>107.25</c:v>
                </c:pt>
                <c:pt idx="96">
                  <c:v>64.35000000000002</c:v>
                </c:pt>
                <c:pt idx="97">
                  <c:v>21.44999999999999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96.0</c:v>
                </c:pt>
                <c:pt idx="67">
                  <c:v>192.0</c:v>
                </c:pt>
                <c:pt idx="68">
                  <c:v>288.0</c:v>
                </c:pt>
                <c:pt idx="69">
                  <c:v>384.0</c:v>
                </c:pt>
                <c:pt idx="70">
                  <c:v>480.0</c:v>
                </c:pt>
                <c:pt idx="71">
                  <c:v>576.0</c:v>
                </c:pt>
                <c:pt idx="72">
                  <c:v>672.0</c:v>
                </c:pt>
                <c:pt idx="73">
                  <c:v>768.0</c:v>
                </c:pt>
                <c:pt idx="74">
                  <c:v>864.0</c:v>
                </c:pt>
                <c:pt idx="75">
                  <c:v>960.0</c:v>
                </c:pt>
                <c:pt idx="76">
                  <c:v>1056.0</c:v>
                </c:pt>
                <c:pt idx="77">
                  <c:v>1152.0</c:v>
                </c:pt>
                <c:pt idx="78">
                  <c:v>1248.0</c:v>
                </c:pt>
                <c:pt idx="79">
                  <c:v>1344.0</c:v>
                </c:pt>
                <c:pt idx="80">
                  <c:v>1440.0</c:v>
                </c:pt>
                <c:pt idx="81">
                  <c:v>1536.0</c:v>
                </c:pt>
                <c:pt idx="82">
                  <c:v>1632.0</c:v>
                </c:pt>
                <c:pt idx="83">
                  <c:v>1728.0</c:v>
                </c:pt>
                <c:pt idx="84">
                  <c:v>1824.0</c:v>
                </c:pt>
                <c:pt idx="85">
                  <c:v>1920.0</c:v>
                </c:pt>
                <c:pt idx="86">
                  <c:v>2016.0</c:v>
                </c:pt>
                <c:pt idx="87">
                  <c:v>2112.0</c:v>
                </c:pt>
                <c:pt idx="88">
                  <c:v>2052.0</c:v>
                </c:pt>
                <c:pt idx="89">
                  <c:v>1836.0</c:v>
                </c:pt>
                <c:pt idx="90">
                  <c:v>1620.0</c:v>
                </c:pt>
                <c:pt idx="91">
                  <c:v>1404.0</c:v>
                </c:pt>
                <c:pt idx="92">
                  <c:v>1188.0</c:v>
                </c:pt>
                <c:pt idx="93">
                  <c:v>972.0</c:v>
                </c:pt>
                <c:pt idx="94">
                  <c:v>756.0</c:v>
                </c:pt>
                <c:pt idx="95">
                  <c:v>540.0</c:v>
                </c:pt>
                <c:pt idx="96">
                  <c:v>324.0</c:v>
                </c:pt>
                <c:pt idx="97">
                  <c:v>108.0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1006.866788619538</c:v>
                </c:pt>
                <c:pt idx="1">
                  <c:v>1006.866788619538</c:v>
                </c:pt>
                <c:pt idx="2">
                  <c:v>1006.866788619538</c:v>
                </c:pt>
                <c:pt idx="3">
                  <c:v>1006.866788619538</c:v>
                </c:pt>
                <c:pt idx="4">
                  <c:v>1006.866788619538</c:v>
                </c:pt>
                <c:pt idx="5">
                  <c:v>1006.866788619538</c:v>
                </c:pt>
                <c:pt idx="6">
                  <c:v>1006.866788619538</c:v>
                </c:pt>
                <c:pt idx="7">
                  <c:v>1006.866788619538</c:v>
                </c:pt>
                <c:pt idx="8">
                  <c:v>1006.866788619538</c:v>
                </c:pt>
                <c:pt idx="9">
                  <c:v>1006.866788619538</c:v>
                </c:pt>
                <c:pt idx="10">
                  <c:v>1006.866788619538</c:v>
                </c:pt>
                <c:pt idx="11">
                  <c:v>1006.866788619538</c:v>
                </c:pt>
                <c:pt idx="12">
                  <c:v>1006.866788619538</c:v>
                </c:pt>
                <c:pt idx="13">
                  <c:v>1006.866788619538</c:v>
                </c:pt>
                <c:pt idx="14">
                  <c:v>1006.866788619538</c:v>
                </c:pt>
                <c:pt idx="15">
                  <c:v>1006.866788619538</c:v>
                </c:pt>
                <c:pt idx="16">
                  <c:v>1006.866788619538</c:v>
                </c:pt>
                <c:pt idx="17">
                  <c:v>1006.866788619538</c:v>
                </c:pt>
                <c:pt idx="18">
                  <c:v>1006.866788619538</c:v>
                </c:pt>
                <c:pt idx="19">
                  <c:v>1006.866788619538</c:v>
                </c:pt>
                <c:pt idx="20">
                  <c:v>1006.866788619538</c:v>
                </c:pt>
                <c:pt idx="21">
                  <c:v>1006.866788619538</c:v>
                </c:pt>
                <c:pt idx="22">
                  <c:v>1006.866788619538</c:v>
                </c:pt>
                <c:pt idx="23">
                  <c:v>1006.866788619538</c:v>
                </c:pt>
                <c:pt idx="24">
                  <c:v>1006.866788619538</c:v>
                </c:pt>
                <c:pt idx="25">
                  <c:v>1006.866788619538</c:v>
                </c:pt>
                <c:pt idx="26">
                  <c:v>1006.866788619538</c:v>
                </c:pt>
                <c:pt idx="27">
                  <c:v>1006.866788619538</c:v>
                </c:pt>
                <c:pt idx="28">
                  <c:v>1006.866788619538</c:v>
                </c:pt>
                <c:pt idx="29">
                  <c:v>1006.866788619538</c:v>
                </c:pt>
                <c:pt idx="30">
                  <c:v>1006.866788619538</c:v>
                </c:pt>
                <c:pt idx="31">
                  <c:v>1006.866788619538</c:v>
                </c:pt>
                <c:pt idx="32">
                  <c:v>1006.866788619538</c:v>
                </c:pt>
                <c:pt idx="33">
                  <c:v>1006.866788619538</c:v>
                </c:pt>
                <c:pt idx="34">
                  <c:v>1006.866788619538</c:v>
                </c:pt>
                <c:pt idx="35">
                  <c:v>1006.866788619538</c:v>
                </c:pt>
                <c:pt idx="36">
                  <c:v>1006.866788619538</c:v>
                </c:pt>
                <c:pt idx="37">
                  <c:v>1006.866788619538</c:v>
                </c:pt>
                <c:pt idx="38">
                  <c:v>1006.866788619538</c:v>
                </c:pt>
                <c:pt idx="39">
                  <c:v>1006.866788619538</c:v>
                </c:pt>
                <c:pt idx="40">
                  <c:v>1006.866788619538</c:v>
                </c:pt>
                <c:pt idx="41">
                  <c:v>1006.866788619538</c:v>
                </c:pt>
                <c:pt idx="42">
                  <c:v>1006.866788619538</c:v>
                </c:pt>
                <c:pt idx="43">
                  <c:v>1006.866788619538</c:v>
                </c:pt>
                <c:pt idx="44">
                  <c:v>1006.866788619538</c:v>
                </c:pt>
                <c:pt idx="45">
                  <c:v>1006.866788619538</c:v>
                </c:pt>
                <c:pt idx="46">
                  <c:v>1006.866788619538</c:v>
                </c:pt>
                <c:pt idx="47">
                  <c:v>1006.866788619538</c:v>
                </c:pt>
                <c:pt idx="48">
                  <c:v>1006.866788619538</c:v>
                </c:pt>
                <c:pt idx="49">
                  <c:v>1006.866788619538</c:v>
                </c:pt>
                <c:pt idx="50">
                  <c:v>1006.866788619538</c:v>
                </c:pt>
                <c:pt idx="51">
                  <c:v>1006.866788619538</c:v>
                </c:pt>
                <c:pt idx="52">
                  <c:v>1006.866788619538</c:v>
                </c:pt>
                <c:pt idx="53">
                  <c:v>1006.866788619538</c:v>
                </c:pt>
                <c:pt idx="54">
                  <c:v>1006.866788619538</c:v>
                </c:pt>
                <c:pt idx="55">
                  <c:v>1006.866788619538</c:v>
                </c:pt>
                <c:pt idx="56">
                  <c:v>1006.866788619538</c:v>
                </c:pt>
                <c:pt idx="57">
                  <c:v>1006.866788619538</c:v>
                </c:pt>
                <c:pt idx="58">
                  <c:v>1006.866788619538</c:v>
                </c:pt>
                <c:pt idx="59">
                  <c:v>1006.866788619538</c:v>
                </c:pt>
                <c:pt idx="60">
                  <c:v>1006.866788619538</c:v>
                </c:pt>
                <c:pt idx="61">
                  <c:v>1006.866788619538</c:v>
                </c:pt>
                <c:pt idx="62">
                  <c:v>1006.866788619538</c:v>
                </c:pt>
                <c:pt idx="63">
                  <c:v>1006.866788619538</c:v>
                </c:pt>
                <c:pt idx="64">
                  <c:v>1006.866788619538</c:v>
                </c:pt>
                <c:pt idx="65">
                  <c:v>1006.866788619538</c:v>
                </c:pt>
                <c:pt idx="66">
                  <c:v>1006.866788619538</c:v>
                </c:pt>
                <c:pt idx="67">
                  <c:v>1006.866788619538</c:v>
                </c:pt>
                <c:pt idx="68">
                  <c:v>1006.866788619538</c:v>
                </c:pt>
                <c:pt idx="69">
                  <c:v>1006.866788619538</c:v>
                </c:pt>
                <c:pt idx="70">
                  <c:v>1006.866788619538</c:v>
                </c:pt>
                <c:pt idx="71">
                  <c:v>1006.866788619538</c:v>
                </c:pt>
                <c:pt idx="72">
                  <c:v>1006.866788619538</c:v>
                </c:pt>
                <c:pt idx="73">
                  <c:v>1006.866788619538</c:v>
                </c:pt>
                <c:pt idx="74">
                  <c:v>1006.866788619538</c:v>
                </c:pt>
                <c:pt idx="75">
                  <c:v>1006.866788619538</c:v>
                </c:pt>
                <c:pt idx="76">
                  <c:v>1006.866788619538</c:v>
                </c:pt>
                <c:pt idx="77">
                  <c:v>1006.866788619538</c:v>
                </c:pt>
                <c:pt idx="78">
                  <c:v>1006.866788619538</c:v>
                </c:pt>
                <c:pt idx="79">
                  <c:v>1006.866788619538</c:v>
                </c:pt>
                <c:pt idx="80">
                  <c:v>1006.866788619538</c:v>
                </c:pt>
                <c:pt idx="81">
                  <c:v>1006.866788619538</c:v>
                </c:pt>
                <c:pt idx="82">
                  <c:v>1006.866788619538</c:v>
                </c:pt>
                <c:pt idx="83">
                  <c:v>1006.866788619538</c:v>
                </c:pt>
                <c:pt idx="84">
                  <c:v>1006.866788619538</c:v>
                </c:pt>
                <c:pt idx="85">
                  <c:v>1006.866788619538</c:v>
                </c:pt>
                <c:pt idx="86">
                  <c:v>1006.866788619538</c:v>
                </c:pt>
                <c:pt idx="87">
                  <c:v>1006.866788619538</c:v>
                </c:pt>
                <c:pt idx="88">
                  <c:v>1001.273084238319</c:v>
                </c:pt>
                <c:pt idx="89">
                  <c:v>990.0856754758793</c:v>
                </c:pt>
                <c:pt idx="90">
                  <c:v>978.8982667134401</c:v>
                </c:pt>
                <c:pt idx="91">
                  <c:v>967.7108579510007</c:v>
                </c:pt>
                <c:pt idx="92">
                  <c:v>956.5234491885614</c:v>
                </c:pt>
                <c:pt idx="93">
                  <c:v>945.3360404261221</c:v>
                </c:pt>
                <c:pt idx="94">
                  <c:v>934.1486316636828</c:v>
                </c:pt>
                <c:pt idx="95">
                  <c:v>922.9612229012436</c:v>
                </c:pt>
                <c:pt idx="96">
                  <c:v>911.7738141388042</c:v>
                </c:pt>
                <c:pt idx="97">
                  <c:v>900.586405376365</c:v>
                </c:pt>
                <c:pt idx="98">
                  <c:v>894.9927009951452</c:v>
                </c:pt>
                <c:pt idx="99">
                  <c:v>894.9927009951452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22020.0</c:v>
                </c:pt>
                <c:pt idx="1">
                  <c:v>22020.0</c:v>
                </c:pt>
                <c:pt idx="2">
                  <c:v>22020.0</c:v>
                </c:pt>
                <c:pt idx="3">
                  <c:v>22020.0</c:v>
                </c:pt>
                <c:pt idx="4">
                  <c:v>22020.0</c:v>
                </c:pt>
                <c:pt idx="5">
                  <c:v>22020.0</c:v>
                </c:pt>
                <c:pt idx="6">
                  <c:v>22020.0</c:v>
                </c:pt>
                <c:pt idx="7">
                  <c:v>22020.0</c:v>
                </c:pt>
                <c:pt idx="8">
                  <c:v>22020.0</c:v>
                </c:pt>
                <c:pt idx="9">
                  <c:v>22020.0</c:v>
                </c:pt>
                <c:pt idx="10">
                  <c:v>22020.0</c:v>
                </c:pt>
                <c:pt idx="11">
                  <c:v>22020.0</c:v>
                </c:pt>
                <c:pt idx="12">
                  <c:v>22020.0</c:v>
                </c:pt>
                <c:pt idx="13">
                  <c:v>22020.0</c:v>
                </c:pt>
                <c:pt idx="14">
                  <c:v>22020.0</c:v>
                </c:pt>
                <c:pt idx="15">
                  <c:v>22020.0</c:v>
                </c:pt>
                <c:pt idx="16">
                  <c:v>22020.0</c:v>
                </c:pt>
                <c:pt idx="17">
                  <c:v>22020.0</c:v>
                </c:pt>
                <c:pt idx="18">
                  <c:v>22020.0</c:v>
                </c:pt>
                <c:pt idx="19">
                  <c:v>22020.0</c:v>
                </c:pt>
                <c:pt idx="20">
                  <c:v>22020.0</c:v>
                </c:pt>
                <c:pt idx="21">
                  <c:v>22020.0</c:v>
                </c:pt>
                <c:pt idx="22">
                  <c:v>22020.0</c:v>
                </c:pt>
                <c:pt idx="23">
                  <c:v>22020.0</c:v>
                </c:pt>
                <c:pt idx="24">
                  <c:v>22020.0</c:v>
                </c:pt>
                <c:pt idx="25">
                  <c:v>22020.0</c:v>
                </c:pt>
                <c:pt idx="26">
                  <c:v>22020.0</c:v>
                </c:pt>
                <c:pt idx="27">
                  <c:v>22020.0</c:v>
                </c:pt>
                <c:pt idx="28">
                  <c:v>22020.0</c:v>
                </c:pt>
                <c:pt idx="29">
                  <c:v>22020.0</c:v>
                </c:pt>
                <c:pt idx="30">
                  <c:v>22020.0</c:v>
                </c:pt>
                <c:pt idx="31">
                  <c:v>22020.0</c:v>
                </c:pt>
                <c:pt idx="32">
                  <c:v>22020.0</c:v>
                </c:pt>
                <c:pt idx="33">
                  <c:v>22020.0</c:v>
                </c:pt>
                <c:pt idx="34">
                  <c:v>22020.0</c:v>
                </c:pt>
                <c:pt idx="35">
                  <c:v>22020.0</c:v>
                </c:pt>
                <c:pt idx="36">
                  <c:v>22020.0</c:v>
                </c:pt>
                <c:pt idx="37">
                  <c:v>22020.0</c:v>
                </c:pt>
                <c:pt idx="38">
                  <c:v>22020.0</c:v>
                </c:pt>
                <c:pt idx="39">
                  <c:v>22020.0</c:v>
                </c:pt>
                <c:pt idx="40">
                  <c:v>22020.0</c:v>
                </c:pt>
                <c:pt idx="41">
                  <c:v>22020.0</c:v>
                </c:pt>
                <c:pt idx="42">
                  <c:v>22020.0</c:v>
                </c:pt>
                <c:pt idx="43">
                  <c:v>22020.0</c:v>
                </c:pt>
                <c:pt idx="44">
                  <c:v>22020.0</c:v>
                </c:pt>
                <c:pt idx="45">
                  <c:v>22020.0</c:v>
                </c:pt>
                <c:pt idx="46">
                  <c:v>22020.0</c:v>
                </c:pt>
                <c:pt idx="47">
                  <c:v>22020.0</c:v>
                </c:pt>
                <c:pt idx="48">
                  <c:v>22020.0</c:v>
                </c:pt>
                <c:pt idx="49">
                  <c:v>22020.0</c:v>
                </c:pt>
                <c:pt idx="50">
                  <c:v>22020.0</c:v>
                </c:pt>
                <c:pt idx="51">
                  <c:v>22020.0</c:v>
                </c:pt>
                <c:pt idx="52">
                  <c:v>22020.0</c:v>
                </c:pt>
                <c:pt idx="53">
                  <c:v>22020.0</c:v>
                </c:pt>
                <c:pt idx="54">
                  <c:v>22020.0</c:v>
                </c:pt>
                <c:pt idx="55">
                  <c:v>22020.0</c:v>
                </c:pt>
                <c:pt idx="56">
                  <c:v>22020.0</c:v>
                </c:pt>
                <c:pt idx="57">
                  <c:v>22020.0</c:v>
                </c:pt>
                <c:pt idx="58">
                  <c:v>22020.0</c:v>
                </c:pt>
                <c:pt idx="59">
                  <c:v>22020.0</c:v>
                </c:pt>
                <c:pt idx="60">
                  <c:v>22020.0</c:v>
                </c:pt>
                <c:pt idx="61">
                  <c:v>22020.0</c:v>
                </c:pt>
                <c:pt idx="62">
                  <c:v>22020.0</c:v>
                </c:pt>
                <c:pt idx="63">
                  <c:v>22020.0</c:v>
                </c:pt>
                <c:pt idx="64">
                  <c:v>22020.0</c:v>
                </c:pt>
                <c:pt idx="65">
                  <c:v>22020.0</c:v>
                </c:pt>
                <c:pt idx="66">
                  <c:v>22020.0</c:v>
                </c:pt>
                <c:pt idx="67">
                  <c:v>22020.0</c:v>
                </c:pt>
                <c:pt idx="68">
                  <c:v>22020.0</c:v>
                </c:pt>
                <c:pt idx="69">
                  <c:v>22020.0</c:v>
                </c:pt>
                <c:pt idx="70">
                  <c:v>22020.0</c:v>
                </c:pt>
                <c:pt idx="71">
                  <c:v>22020.0</c:v>
                </c:pt>
                <c:pt idx="72">
                  <c:v>22020.0</c:v>
                </c:pt>
                <c:pt idx="73">
                  <c:v>22020.0</c:v>
                </c:pt>
                <c:pt idx="74">
                  <c:v>22020.0</c:v>
                </c:pt>
                <c:pt idx="75">
                  <c:v>22020.0</c:v>
                </c:pt>
                <c:pt idx="76">
                  <c:v>22020.0</c:v>
                </c:pt>
                <c:pt idx="77">
                  <c:v>22020.0</c:v>
                </c:pt>
                <c:pt idx="78">
                  <c:v>22020.0</c:v>
                </c:pt>
                <c:pt idx="79">
                  <c:v>22020.0</c:v>
                </c:pt>
                <c:pt idx="80">
                  <c:v>22020.0</c:v>
                </c:pt>
                <c:pt idx="81">
                  <c:v>22020.0</c:v>
                </c:pt>
                <c:pt idx="82">
                  <c:v>22020.0</c:v>
                </c:pt>
                <c:pt idx="83">
                  <c:v>22020.0</c:v>
                </c:pt>
                <c:pt idx="84">
                  <c:v>22020.0</c:v>
                </c:pt>
                <c:pt idx="85">
                  <c:v>22020.0</c:v>
                </c:pt>
                <c:pt idx="86">
                  <c:v>22020.0</c:v>
                </c:pt>
                <c:pt idx="87">
                  <c:v>22020.0</c:v>
                </c:pt>
                <c:pt idx="88">
                  <c:v>21192.86666666666</c:v>
                </c:pt>
                <c:pt idx="89">
                  <c:v>19538.6</c:v>
                </c:pt>
                <c:pt idx="90">
                  <c:v>17884.33333333333</c:v>
                </c:pt>
                <c:pt idx="91">
                  <c:v>16230.06666666667</c:v>
                </c:pt>
                <c:pt idx="92">
                  <c:v>14575.8</c:v>
                </c:pt>
                <c:pt idx="93">
                  <c:v>12921.53333333333</c:v>
                </c:pt>
                <c:pt idx="94">
                  <c:v>11267.26666666667</c:v>
                </c:pt>
                <c:pt idx="95">
                  <c:v>9612.999999999998</c:v>
                </c:pt>
                <c:pt idx="96">
                  <c:v>7958.733333333332</c:v>
                </c:pt>
                <c:pt idx="97">
                  <c:v>6304.466666666665</c:v>
                </c:pt>
                <c:pt idx="98">
                  <c:v>5477.333333333333</c:v>
                </c:pt>
                <c:pt idx="99">
                  <c:v>5477.333333333333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3594984"/>
        <c:axId val="210359242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20136.90379366834</c:v>
                </c:pt>
                <c:pt idx="1">
                  <c:v>20136.90379366834</c:v>
                </c:pt>
                <c:pt idx="2">
                  <c:v>20136.90379366834</c:v>
                </c:pt>
                <c:pt idx="3">
                  <c:v>20136.90379366834</c:v>
                </c:pt>
                <c:pt idx="4">
                  <c:v>20136.90379366834</c:v>
                </c:pt>
                <c:pt idx="5">
                  <c:v>20136.90379366834</c:v>
                </c:pt>
                <c:pt idx="6">
                  <c:v>20136.90379366834</c:v>
                </c:pt>
                <c:pt idx="7">
                  <c:v>20136.90379366834</c:v>
                </c:pt>
                <c:pt idx="8">
                  <c:v>20136.90379366834</c:v>
                </c:pt>
                <c:pt idx="9">
                  <c:v>20136.90379366834</c:v>
                </c:pt>
                <c:pt idx="10">
                  <c:v>20136.90379366834</c:v>
                </c:pt>
                <c:pt idx="11">
                  <c:v>20136.90379366834</c:v>
                </c:pt>
                <c:pt idx="12">
                  <c:v>20136.90379366834</c:v>
                </c:pt>
                <c:pt idx="13">
                  <c:v>20136.90379366834</c:v>
                </c:pt>
                <c:pt idx="14">
                  <c:v>20136.90379366834</c:v>
                </c:pt>
                <c:pt idx="15">
                  <c:v>20136.90379366834</c:v>
                </c:pt>
                <c:pt idx="16">
                  <c:v>20136.90379366834</c:v>
                </c:pt>
                <c:pt idx="17">
                  <c:v>20136.90379366834</c:v>
                </c:pt>
                <c:pt idx="18">
                  <c:v>20136.90379366834</c:v>
                </c:pt>
                <c:pt idx="19">
                  <c:v>20136.90379366834</c:v>
                </c:pt>
                <c:pt idx="20">
                  <c:v>20136.90379366834</c:v>
                </c:pt>
                <c:pt idx="21">
                  <c:v>20136.90379366834</c:v>
                </c:pt>
                <c:pt idx="22">
                  <c:v>20136.90379366834</c:v>
                </c:pt>
                <c:pt idx="23">
                  <c:v>20136.90379366834</c:v>
                </c:pt>
                <c:pt idx="24">
                  <c:v>20136.90379366834</c:v>
                </c:pt>
                <c:pt idx="25">
                  <c:v>20136.90379366834</c:v>
                </c:pt>
                <c:pt idx="26">
                  <c:v>20136.90379366834</c:v>
                </c:pt>
                <c:pt idx="27">
                  <c:v>20136.90379366834</c:v>
                </c:pt>
                <c:pt idx="28">
                  <c:v>20136.90379366834</c:v>
                </c:pt>
                <c:pt idx="29">
                  <c:v>20136.90379366834</c:v>
                </c:pt>
                <c:pt idx="30">
                  <c:v>20136.90379366834</c:v>
                </c:pt>
                <c:pt idx="31">
                  <c:v>20136.90379366834</c:v>
                </c:pt>
                <c:pt idx="32">
                  <c:v>20136.90379366834</c:v>
                </c:pt>
                <c:pt idx="33">
                  <c:v>20136.90379366834</c:v>
                </c:pt>
                <c:pt idx="34">
                  <c:v>20136.90379366834</c:v>
                </c:pt>
                <c:pt idx="35">
                  <c:v>20136.90379366834</c:v>
                </c:pt>
                <c:pt idx="36">
                  <c:v>20136.90379366834</c:v>
                </c:pt>
                <c:pt idx="37">
                  <c:v>20136.90379366834</c:v>
                </c:pt>
                <c:pt idx="38">
                  <c:v>20136.90379366834</c:v>
                </c:pt>
                <c:pt idx="39">
                  <c:v>20136.90379366834</c:v>
                </c:pt>
                <c:pt idx="40">
                  <c:v>20136.90379366834</c:v>
                </c:pt>
                <c:pt idx="41">
                  <c:v>20136.90379366834</c:v>
                </c:pt>
                <c:pt idx="42">
                  <c:v>20136.90379366834</c:v>
                </c:pt>
                <c:pt idx="43">
                  <c:v>20136.90379366834</c:v>
                </c:pt>
                <c:pt idx="44">
                  <c:v>20136.90379366834</c:v>
                </c:pt>
                <c:pt idx="45">
                  <c:v>20136.90379366834</c:v>
                </c:pt>
                <c:pt idx="46">
                  <c:v>20136.90379366834</c:v>
                </c:pt>
                <c:pt idx="47">
                  <c:v>20136.90379366834</c:v>
                </c:pt>
                <c:pt idx="48">
                  <c:v>20136.90379366834</c:v>
                </c:pt>
                <c:pt idx="49">
                  <c:v>20136.90379366834</c:v>
                </c:pt>
                <c:pt idx="50">
                  <c:v>20136.90379366834</c:v>
                </c:pt>
                <c:pt idx="51">
                  <c:v>20136.90379366834</c:v>
                </c:pt>
                <c:pt idx="52">
                  <c:v>20136.90379366834</c:v>
                </c:pt>
                <c:pt idx="53">
                  <c:v>20136.90379366834</c:v>
                </c:pt>
                <c:pt idx="54">
                  <c:v>20136.90379366834</c:v>
                </c:pt>
                <c:pt idx="55">
                  <c:v>20136.90379366834</c:v>
                </c:pt>
                <c:pt idx="56">
                  <c:v>20136.90379366834</c:v>
                </c:pt>
                <c:pt idx="57">
                  <c:v>20136.90379366834</c:v>
                </c:pt>
                <c:pt idx="58">
                  <c:v>20136.90379366834</c:v>
                </c:pt>
                <c:pt idx="59">
                  <c:v>20136.90379366834</c:v>
                </c:pt>
                <c:pt idx="60">
                  <c:v>20136.90379366834</c:v>
                </c:pt>
                <c:pt idx="61">
                  <c:v>20136.90379366834</c:v>
                </c:pt>
                <c:pt idx="62">
                  <c:v>20136.90379366834</c:v>
                </c:pt>
                <c:pt idx="63">
                  <c:v>20136.90379366834</c:v>
                </c:pt>
                <c:pt idx="64">
                  <c:v>20136.90379366834</c:v>
                </c:pt>
                <c:pt idx="65">
                  <c:v>20136.90379366834</c:v>
                </c:pt>
                <c:pt idx="66">
                  <c:v>20136.90379366834</c:v>
                </c:pt>
                <c:pt idx="67">
                  <c:v>20136.90379366834</c:v>
                </c:pt>
                <c:pt idx="68">
                  <c:v>20136.90379366834</c:v>
                </c:pt>
                <c:pt idx="69">
                  <c:v>20136.90379366834</c:v>
                </c:pt>
                <c:pt idx="70">
                  <c:v>20136.90379366834</c:v>
                </c:pt>
                <c:pt idx="71">
                  <c:v>20136.90379366834</c:v>
                </c:pt>
                <c:pt idx="72">
                  <c:v>20136.90379366834</c:v>
                </c:pt>
                <c:pt idx="73">
                  <c:v>20136.90379366834</c:v>
                </c:pt>
                <c:pt idx="74">
                  <c:v>20136.90379366834</c:v>
                </c:pt>
                <c:pt idx="75">
                  <c:v>20136.90379366834</c:v>
                </c:pt>
                <c:pt idx="76">
                  <c:v>20136.90379366834</c:v>
                </c:pt>
                <c:pt idx="77">
                  <c:v>20136.90379366834</c:v>
                </c:pt>
                <c:pt idx="78">
                  <c:v>20136.90379366834</c:v>
                </c:pt>
                <c:pt idx="79">
                  <c:v>20136.90379366834</c:v>
                </c:pt>
                <c:pt idx="80">
                  <c:v>20136.90379366834</c:v>
                </c:pt>
                <c:pt idx="81">
                  <c:v>20136.90379366834</c:v>
                </c:pt>
                <c:pt idx="82">
                  <c:v>20136.90379366834</c:v>
                </c:pt>
                <c:pt idx="83">
                  <c:v>20136.90379366834</c:v>
                </c:pt>
                <c:pt idx="84">
                  <c:v>20136.90379366834</c:v>
                </c:pt>
                <c:pt idx="85">
                  <c:v>20136.90379366834</c:v>
                </c:pt>
                <c:pt idx="86">
                  <c:v>20136.90379366834</c:v>
                </c:pt>
                <c:pt idx="87">
                  <c:v>20136.90379366834</c:v>
                </c:pt>
                <c:pt idx="88">
                  <c:v>20136.90379366834</c:v>
                </c:pt>
                <c:pt idx="89">
                  <c:v>20136.90379366834</c:v>
                </c:pt>
                <c:pt idx="90">
                  <c:v>20136.90379366834</c:v>
                </c:pt>
                <c:pt idx="91">
                  <c:v>20136.90379366834</c:v>
                </c:pt>
                <c:pt idx="92">
                  <c:v>20136.90379366834</c:v>
                </c:pt>
                <c:pt idx="93">
                  <c:v>20136.90379366834</c:v>
                </c:pt>
                <c:pt idx="94">
                  <c:v>20136.90379366834</c:v>
                </c:pt>
                <c:pt idx="95">
                  <c:v>20136.90379366834</c:v>
                </c:pt>
                <c:pt idx="96">
                  <c:v>20136.90379366834</c:v>
                </c:pt>
                <c:pt idx="97">
                  <c:v>20136.90379366834</c:v>
                </c:pt>
                <c:pt idx="98">
                  <c:v>20136.90379366834</c:v>
                </c:pt>
                <c:pt idx="99">
                  <c:v>20136.90379366834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594984"/>
        <c:axId val="2103592424"/>
      </c:lineChart>
      <c:catAx>
        <c:axId val="21035949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35924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035924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359498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51.50095518454638</c:v>
                </c:pt>
                <c:pt idx="2">
                  <c:v>4.656390448486491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123.7777777777778</c:v>
                </c:pt>
                <c:pt idx="2">
                  <c:v>151.1444444444443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9.900647774520393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19.06666666666667</c:v>
                </c:pt>
                <c:pt idx="2">
                  <c:v>-42.9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-11.18740876243931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-1654.266666666667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651256"/>
        <c:axId val="211535517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9.381818283596974</c:v>
                </c:pt>
                <c:pt idx="2">
                  <c:v>80.71308537575798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133.3333333333333</c:v>
                </c:pt>
                <c:pt idx="2">
                  <c:v>632.2222222222223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-44.32451565608964</c:v>
                </c:pt>
                <c:pt idx="2">
                  <c:v>-75.2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3089.777777777778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96.0</c:v>
                </c:pt>
                <c:pt idx="2">
                  <c:v>-216.0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082808"/>
        <c:axId val="2115787880"/>
      </c:scatterChart>
      <c:valAx>
        <c:axId val="211565125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5355176"/>
        <c:crosses val="autoZero"/>
        <c:crossBetween val="midCat"/>
      </c:valAx>
      <c:valAx>
        <c:axId val="21153551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5651256"/>
        <c:crosses val="autoZero"/>
        <c:crossBetween val="midCat"/>
      </c:valAx>
      <c:valAx>
        <c:axId val="211508280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115787880"/>
        <c:crosses val="autoZero"/>
        <c:crossBetween val="midCat"/>
      </c:valAx>
      <c:valAx>
        <c:axId val="211578788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508280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2670.728892741367</c:v>
                </c:pt>
                <c:pt idx="1">
                  <c:v>2670.728892741367</c:v>
                </c:pt>
                <c:pt idx="2">
                  <c:v>2670.728892741367</c:v>
                </c:pt>
                <c:pt idx="3">
                  <c:v>2670.728892741367</c:v>
                </c:pt>
                <c:pt idx="4">
                  <c:v>2670.728892741367</c:v>
                </c:pt>
                <c:pt idx="5">
                  <c:v>2670.728892741367</c:v>
                </c:pt>
                <c:pt idx="6">
                  <c:v>2670.728892741367</c:v>
                </c:pt>
                <c:pt idx="7">
                  <c:v>2670.728892741367</c:v>
                </c:pt>
                <c:pt idx="8">
                  <c:v>2670.728892741367</c:v>
                </c:pt>
                <c:pt idx="9">
                  <c:v>2670.728892741367</c:v>
                </c:pt>
                <c:pt idx="10">
                  <c:v>2670.728892741367</c:v>
                </c:pt>
                <c:pt idx="11">
                  <c:v>2670.728892741367</c:v>
                </c:pt>
                <c:pt idx="12">
                  <c:v>2670.728892741367</c:v>
                </c:pt>
                <c:pt idx="13">
                  <c:v>2670.728892741367</c:v>
                </c:pt>
                <c:pt idx="14">
                  <c:v>2670.728892741367</c:v>
                </c:pt>
                <c:pt idx="15">
                  <c:v>2670.728892741367</c:v>
                </c:pt>
                <c:pt idx="16">
                  <c:v>2670.728892741367</c:v>
                </c:pt>
                <c:pt idx="17">
                  <c:v>2670.728892741367</c:v>
                </c:pt>
                <c:pt idx="18">
                  <c:v>2670.728892741367</c:v>
                </c:pt>
                <c:pt idx="19">
                  <c:v>2670.728892741367</c:v>
                </c:pt>
                <c:pt idx="20">
                  <c:v>2670.728892741367</c:v>
                </c:pt>
                <c:pt idx="21">
                  <c:v>2670.728892741367</c:v>
                </c:pt>
                <c:pt idx="22">
                  <c:v>2670.728892741367</c:v>
                </c:pt>
                <c:pt idx="23">
                  <c:v>2670.728892741367</c:v>
                </c:pt>
                <c:pt idx="24">
                  <c:v>2670.728892741367</c:v>
                </c:pt>
                <c:pt idx="25">
                  <c:v>2670.728892741367</c:v>
                </c:pt>
                <c:pt idx="26">
                  <c:v>2677.897459428573</c:v>
                </c:pt>
                <c:pt idx="27">
                  <c:v>2685.06602611578</c:v>
                </c:pt>
                <c:pt idx="28">
                  <c:v>2692.234592802987</c:v>
                </c:pt>
                <c:pt idx="29">
                  <c:v>2699.403159490194</c:v>
                </c:pt>
                <c:pt idx="30">
                  <c:v>2706.5717261774</c:v>
                </c:pt>
                <c:pt idx="31">
                  <c:v>2713.740292864608</c:v>
                </c:pt>
                <c:pt idx="32">
                  <c:v>2720.908859551815</c:v>
                </c:pt>
                <c:pt idx="33">
                  <c:v>2728.077426239021</c:v>
                </c:pt>
                <c:pt idx="34">
                  <c:v>2735.245992926229</c:v>
                </c:pt>
                <c:pt idx="35">
                  <c:v>2742.414559613435</c:v>
                </c:pt>
                <c:pt idx="36">
                  <c:v>2749.583126300642</c:v>
                </c:pt>
                <c:pt idx="37">
                  <c:v>2756.75169298785</c:v>
                </c:pt>
                <c:pt idx="38">
                  <c:v>2763.920259675056</c:v>
                </c:pt>
                <c:pt idx="39">
                  <c:v>2771.088826362263</c:v>
                </c:pt>
                <c:pt idx="40">
                  <c:v>2778.25739304947</c:v>
                </c:pt>
                <c:pt idx="41">
                  <c:v>2785.425959736677</c:v>
                </c:pt>
                <c:pt idx="42">
                  <c:v>2792.594526423884</c:v>
                </c:pt>
                <c:pt idx="43">
                  <c:v>2799.76309311109</c:v>
                </c:pt>
                <c:pt idx="44">
                  <c:v>2806.931659798297</c:v>
                </c:pt>
                <c:pt idx="45">
                  <c:v>2814.100226485504</c:v>
                </c:pt>
                <c:pt idx="46">
                  <c:v>2821.268793172711</c:v>
                </c:pt>
                <c:pt idx="47">
                  <c:v>2828.437359859918</c:v>
                </c:pt>
                <c:pt idx="48">
                  <c:v>2835.605926547125</c:v>
                </c:pt>
                <c:pt idx="49">
                  <c:v>2842.774493234332</c:v>
                </c:pt>
                <c:pt idx="50">
                  <c:v>2849.943059921538</c:v>
                </c:pt>
                <c:pt idx="51">
                  <c:v>2857.111626608746</c:v>
                </c:pt>
                <c:pt idx="52">
                  <c:v>2864.280193295952</c:v>
                </c:pt>
                <c:pt idx="53">
                  <c:v>2871.44875998316</c:v>
                </c:pt>
                <c:pt idx="54">
                  <c:v>2878.617326670366</c:v>
                </c:pt>
                <c:pt idx="55">
                  <c:v>2885.785893357573</c:v>
                </c:pt>
                <c:pt idx="56">
                  <c:v>2892.95446004478</c:v>
                </c:pt>
                <c:pt idx="57">
                  <c:v>2900.123026731987</c:v>
                </c:pt>
                <c:pt idx="58">
                  <c:v>2907.291593419194</c:v>
                </c:pt>
                <c:pt idx="59">
                  <c:v>2914.460160106401</c:v>
                </c:pt>
                <c:pt idx="60">
                  <c:v>2921.628726793608</c:v>
                </c:pt>
                <c:pt idx="61">
                  <c:v>2928.797293480814</c:v>
                </c:pt>
                <c:pt idx="62">
                  <c:v>2935.965860168021</c:v>
                </c:pt>
                <c:pt idx="63">
                  <c:v>2943.134426855228</c:v>
                </c:pt>
                <c:pt idx="64">
                  <c:v>2950.302993542435</c:v>
                </c:pt>
                <c:pt idx="65">
                  <c:v>2957.471560229642</c:v>
                </c:pt>
                <c:pt idx="66">
                  <c:v>3008.972515414188</c:v>
                </c:pt>
                <c:pt idx="67">
                  <c:v>3060.473470598735</c:v>
                </c:pt>
                <c:pt idx="68">
                  <c:v>3111.974425783281</c:v>
                </c:pt>
                <c:pt idx="69">
                  <c:v>3163.475380967827</c:v>
                </c:pt>
                <c:pt idx="70">
                  <c:v>3214.976336152373</c:v>
                </c:pt>
                <c:pt idx="71">
                  <c:v>3266.47729133692</c:v>
                </c:pt>
                <c:pt idx="72">
                  <c:v>3317.978246521467</c:v>
                </c:pt>
                <c:pt idx="73">
                  <c:v>3369.479201706013</c:v>
                </c:pt>
                <c:pt idx="74">
                  <c:v>3420.98015689056</c:v>
                </c:pt>
                <c:pt idx="75">
                  <c:v>3472.481112075105</c:v>
                </c:pt>
                <c:pt idx="76">
                  <c:v>3523.982067259652</c:v>
                </c:pt>
                <c:pt idx="77">
                  <c:v>3575.483022444198</c:v>
                </c:pt>
                <c:pt idx="78">
                  <c:v>3626.983977628745</c:v>
                </c:pt>
                <c:pt idx="79">
                  <c:v>3678.484932813291</c:v>
                </c:pt>
                <c:pt idx="80">
                  <c:v>3729.985887997838</c:v>
                </c:pt>
                <c:pt idx="81">
                  <c:v>3781.486843182384</c:v>
                </c:pt>
                <c:pt idx="82">
                  <c:v>3832.98779836693</c:v>
                </c:pt>
                <c:pt idx="83">
                  <c:v>3884.488753551477</c:v>
                </c:pt>
                <c:pt idx="84">
                  <c:v>3935.989708736023</c:v>
                </c:pt>
                <c:pt idx="85">
                  <c:v>3987.49066392057</c:v>
                </c:pt>
                <c:pt idx="86">
                  <c:v>4038.991619105116</c:v>
                </c:pt>
                <c:pt idx="87">
                  <c:v>4090.492574289662</c:v>
                </c:pt>
                <c:pt idx="88">
                  <c:v>4118.571247106179</c:v>
                </c:pt>
                <c:pt idx="89">
                  <c:v>4123.227637554665</c:v>
                </c:pt>
                <c:pt idx="90">
                  <c:v>4127.884028003151</c:v>
                </c:pt>
                <c:pt idx="91">
                  <c:v>4132.540418451638</c:v>
                </c:pt>
                <c:pt idx="92">
                  <c:v>4137.196808900125</c:v>
                </c:pt>
                <c:pt idx="93">
                  <c:v>4141.853199348611</c:v>
                </c:pt>
                <c:pt idx="94">
                  <c:v>4146.509589797097</c:v>
                </c:pt>
                <c:pt idx="95">
                  <c:v>4151.165980245584</c:v>
                </c:pt>
                <c:pt idx="96">
                  <c:v>4155.82237069407</c:v>
                </c:pt>
                <c:pt idx="97">
                  <c:v>4160.478761142557</c:v>
                </c:pt>
                <c:pt idx="98">
                  <c:v>4215.986956366801</c:v>
                </c:pt>
                <c:pt idx="99">
                  <c:v>4322.3469563668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20.9</c:v>
                </c:pt>
                <c:pt idx="27">
                  <c:v>41.8</c:v>
                </c:pt>
                <c:pt idx="28">
                  <c:v>62.7</c:v>
                </c:pt>
                <c:pt idx="29">
                  <c:v>83.6</c:v>
                </c:pt>
                <c:pt idx="30">
                  <c:v>104.5</c:v>
                </c:pt>
                <c:pt idx="31">
                  <c:v>125.4</c:v>
                </c:pt>
                <c:pt idx="32">
                  <c:v>146.3</c:v>
                </c:pt>
                <c:pt idx="33">
                  <c:v>167.2</c:v>
                </c:pt>
                <c:pt idx="34">
                  <c:v>188.1</c:v>
                </c:pt>
                <c:pt idx="35">
                  <c:v>209.0</c:v>
                </c:pt>
                <c:pt idx="36">
                  <c:v>229.9</c:v>
                </c:pt>
                <c:pt idx="37">
                  <c:v>250.8</c:v>
                </c:pt>
                <c:pt idx="38">
                  <c:v>271.7</c:v>
                </c:pt>
                <c:pt idx="39">
                  <c:v>292.6</c:v>
                </c:pt>
                <c:pt idx="40">
                  <c:v>313.5</c:v>
                </c:pt>
                <c:pt idx="41">
                  <c:v>334.4</c:v>
                </c:pt>
                <c:pt idx="42">
                  <c:v>355.3</c:v>
                </c:pt>
                <c:pt idx="43">
                  <c:v>376.2</c:v>
                </c:pt>
                <c:pt idx="44">
                  <c:v>397.1</c:v>
                </c:pt>
                <c:pt idx="45">
                  <c:v>418.0</c:v>
                </c:pt>
                <c:pt idx="46">
                  <c:v>438.9</c:v>
                </c:pt>
                <c:pt idx="47">
                  <c:v>459.8</c:v>
                </c:pt>
                <c:pt idx="48">
                  <c:v>480.7</c:v>
                </c:pt>
                <c:pt idx="49">
                  <c:v>501.6</c:v>
                </c:pt>
                <c:pt idx="50">
                  <c:v>522.5</c:v>
                </c:pt>
                <c:pt idx="51">
                  <c:v>543.4</c:v>
                </c:pt>
                <c:pt idx="52">
                  <c:v>564.3</c:v>
                </c:pt>
                <c:pt idx="53">
                  <c:v>585.2</c:v>
                </c:pt>
                <c:pt idx="54">
                  <c:v>606.1</c:v>
                </c:pt>
                <c:pt idx="55">
                  <c:v>627.0</c:v>
                </c:pt>
                <c:pt idx="56">
                  <c:v>647.9</c:v>
                </c:pt>
                <c:pt idx="57">
                  <c:v>668.8</c:v>
                </c:pt>
                <c:pt idx="58">
                  <c:v>689.7</c:v>
                </c:pt>
                <c:pt idx="59">
                  <c:v>710.6</c:v>
                </c:pt>
                <c:pt idx="60">
                  <c:v>731.5</c:v>
                </c:pt>
                <c:pt idx="61">
                  <c:v>752.4</c:v>
                </c:pt>
                <c:pt idx="62">
                  <c:v>773.3</c:v>
                </c:pt>
                <c:pt idx="63">
                  <c:v>794.2</c:v>
                </c:pt>
                <c:pt idx="64">
                  <c:v>815.1</c:v>
                </c:pt>
                <c:pt idx="65">
                  <c:v>836.0</c:v>
                </c:pt>
                <c:pt idx="66">
                  <c:v>959.7777777777778</c:v>
                </c:pt>
                <c:pt idx="67">
                  <c:v>1083.555555555556</c:v>
                </c:pt>
                <c:pt idx="68">
                  <c:v>1207.333333333333</c:v>
                </c:pt>
                <c:pt idx="69">
                  <c:v>1331.111111111111</c:v>
                </c:pt>
                <c:pt idx="70">
                  <c:v>1454.888888888889</c:v>
                </c:pt>
                <c:pt idx="71">
                  <c:v>1578.666666666667</c:v>
                </c:pt>
                <c:pt idx="72">
                  <c:v>1702.444444444444</c:v>
                </c:pt>
                <c:pt idx="73">
                  <c:v>1826.222222222222</c:v>
                </c:pt>
                <c:pt idx="74">
                  <c:v>1950.0</c:v>
                </c:pt>
                <c:pt idx="75">
                  <c:v>2073.777777777778</c:v>
                </c:pt>
                <c:pt idx="76">
                  <c:v>2197.555555555555</c:v>
                </c:pt>
                <c:pt idx="77">
                  <c:v>2321.333333333333</c:v>
                </c:pt>
                <c:pt idx="78">
                  <c:v>2445.111111111111</c:v>
                </c:pt>
                <c:pt idx="79">
                  <c:v>2568.888888888889</c:v>
                </c:pt>
                <c:pt idx="80">
                  <c:v>2692.666666666667</c:v>
                </c:pt>
                <c:pt idx="81">
                  <c:v>2816.444444444444</c:v>
                </c:pt>
                <c:pt idx="82">
                  <c:v>2940.222222222222</c:v>
                </c:pt>
                <c:pt idx="83">
                  <c:v>3064.0</c:v>
                </c:pt>
                <c:pt idx="84">
                  <c:v>3187.777777777778</c:v>
                </c:pt>
                <c:pt idx="85">
                  <c:v>3311.555555555555</c:v>
                </c:pt>
                <c:pt idx="86">
                  <c:v>3435.333333333333</c:v>
                </c:pt>
                <c:pt idx="87">
                  <c:v>3559.111111111111</c:v>
                </c:pt>
                <c:pt idx="88">
                  <c:v>3696.572222222222</c:v>
                </c:pt>
                <c:pt idx="89">
                  <c:v>3847.716666666667</c:v>
                </c:pt>
                <c:pt idx="90">
                  <c:v>3998.861111111111</c:v>
                </c:pt>
                <c:pt idx="91">
                  <c:v>4150.005555555555</c:v>
                </c:pt>
                <c:pt idx="92">
                  <c:v>4301.15</c:v>
                </c:pt>
                <c:pt idx="93">
                  <c:v>4452.294444444444</c:v>
                </c:pt>
                <c:pt idx="94">
                  <c:v>4603.438888888888</c:v>
                </c:pt>
                <c:pt idx="95">
                  <c:v>4754.583333333332</c:v>
                </c:pt>
                <c:pt idx="96">
                  <c:v>4905.727777777776</c:v>
                </c:pt>
                <c:pt idx="97">
                  <c:v>5056.872222222221</c:v>
                </c:pt>
                <c:pt idx="98">
                  <c:v>5494.874444444444</c:v>
                </c:pt>
                <c:pt idx="99">
                  <c:v>6219.734444444443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188.8862895390851</c:v>
                </c:pt>
                <c:pt idx="1">
                  <c:v>188.8862895390851</c:v>
                </c:pt>
                <c:pt idx="2">
                  <c:v>188.8862895390851</c:v>
                </c:pt>
                <c:pt idx="3">
                  <c:v>188.8862895390851</c:v>
                </c:pt>
                <c:pt idx="4">
                  <c:v>188.8862895390851</c:v>
                </c:pt>
                <c:pt idx="5">
                  <c:v>188.8862895390851</c:v>
                </c:pt>
                <c:pt idx="6">
                  <c:v>188.8862895390851</c:v>
                </c:pt>
                <c:pt idx="7">
                  <c:v>188.8862895390851</c:v>
                </c:pt>
                <c:pt idx="8">
                  <c:v>188.8862895390851</c:v>
                </c:pt>
                <c:pt idx="9">
                  <c:v>188.8862895390851</c:v>
                </c:pt>
                <c:pt idx="10">
                  <c:v>188.8862895390851</c:v>
                </c:pt>
                <c:pt idx="11">
                  <c:v>188.8862895390851</c:v>
                </c:pt>
                <c:pt idx="12">
                  <c:v>188.8862895390851</c:v>
                </c:pt>
                <c:pt idx="13">
                  <c:v>188.8862895390851</c:v>
                </c:pt>
                <c:pt idx="14">
                  <c:v>188.8862895390851</c:v>
                </c:pt>
                <c:pt idx="15">
                  <c:v>188.8862895390851</c:v>
                </c:pt>
                <c:pt idx="16">
                  <c:v>188.8862895390851</c:v>
                </c:pt>
                <c:pt idx="17">
                  <c:v>188.8862895390851</c:v>
                </c:pt>
                <c:pt idx="18">
                  <c:v>188.8862895390851</c:v>
                </c:pt>
                <c:pt idx="19">
                  <c:v>188.8862895390851</c:v>
                </c:pt>
                <c:pt idx="20">
                  <c:v>188.8862895390851</c:v>
                </c:pt>
                <c:pt idx="21">
                  <c:v>188.8862895390851</c:v>
                </c:pt>
                <c:pt idx="22">
                  <c:v>188.8862895390851</c:v>
                </c:pt>
                <c:pt idx="23">
                  <c:v>188.8862895390851</c:v>
                </c:pt>
                <c:pt idx="24">
                  <c:v>188.8862895390851</c:v>
                </c:pt>
                <c:pt idx="25">
                  <c:v>188.8862895390851</c:v>
                </c:pt>
                <c:pt idx="26">
                  <c:v>191.462113965584</c:v>
                </c:pt>
                <c:pt idx="27">
                  <c:v>194.0379383920828</c:v>
                </c:pt>
                <c:pt idx="28">
                  <c:v>196.6137628185816</c:v>
                </c:pt>
                <c:pt idx="29">
                  <c:v>199.1895872450804</c:v>
                </c:pt>
                <c:pt idx="30">
                  <c:v>201.7654116715792</c:v>
                </c:pt>
                <c:pt idx="31">
                  <c:v>204.3412360980781</c:v>
                </c:pt>
                <c:pt idx="32">
                  <c:v>206.9170605245769</c:v>
                </c:pt>
                <c:pt idx="33">
                  <c:v>209.4928849510757</c:v>
                </c:pt>
                <c:pt idx="34">
                  <c:v>212.0687093775745</c:v>
                </c:pt>
                <c:pt idx="35">
                  <c:v>214.6445338040734</c:v>
                </c:pt>
                <c:pt idx="36">
                  <c:v>217.2203582305722</c:v>
                </c:pt>
                <c:pt idx="37">
                  <c:v>219.796182657071</c:v>
                </c:pt>
                <c:pt idx="38">
                  <c:v>222.3720070835698</c:v>
                </c:pt>
                <c:pt idx="39">
                  <c:v>224.9478315100687</c:v>
                </c:pt>
                <c:pt idx="40">
                  <c:v>227.5236559365675</c:v>
                </c:pt>
                <c:pt idx="41">
                  <c:v>230.0994803630663</c:v>
                </c:pt>
                <c:pt idx="42">
                  <c:v>232.6753047895651</c:v>
                </c:pt>
                <c:pt idx="43">
                  <c:v>235.251129216064</c:v>
                </c:pt>
                <c:pt idx="44">
                  <c:v>237.8269536425628</c:v>
                </c:pt>
                <c:pt idx="45">
                  <c:v>240.4027780690616</c:v>
                </c:pt>
                <c:pt idx="46">
                  <c:v>242.9786024955604</c:v>
                </c:pt>
                <c:pt idx="47">
                  <c:v>245.5544269220593</c:v>
                </c:pt>
                <c:pt idx="48">
                  <c:v>248.1302513485581</c:v>
                </c:pt>
                <c:pt idx="49">
                  <c:v>250.7060757750569</c:v>
                </c:pt>
                <c:pt idx="50">
                  <c:v>253.2819002015557</c:v>
                </c:pt>
                <c:pt idx="51">
                  <c:v>255.8577246280546</c:v>
                </c:pt>
                <c:pt idx="52">
                  <c:v>258.4335490545534</c:v>
                </c:pt>
                <c:pt idx="53">
                  <c:v>261.0093734810522</c:v>
                </c:pt>
                <c:pt idx="54">
                  <c:v>263.585197907551</c:v>
                </c:pt>
                <c:pt idx="55">
                  <c:v>266.1610223340498</c:v>
                </c:pt>
                <c:pt idx="56">
                  <c:v>268.7368467605487</c:v>
                </c:pt>
                <c:pt idx="57">
                  <c:v>271.3126711870475</c:v>
                </c:pt>
                <c:pt idx="58">
                  <c:v>273.8884956135463</c:v>
                </c:pt>
                <c:pt idx="59">
                  <c:v>276.4643200400452</c:v>
                </c:pt>
                <c:pt idx="60">
                  <c:v>279.040144466544</c:v>
                </c:pt>
                <c:pt idx="61">
                  <c:v>281.6159688930428</c:v>
                </c:pt>
                <c:pt idx="62">
                  <c:v>284.1917933195416</c:v>
                </c:pt>
                <c:pt idx="63">
                  <c:v>286.7676177460405</c:v>
                </c:pt>
                <c:pt idx="64">
                  <c:v>289.3434421725393</c:v>
                </c:pt>
                <c:pt idx="65">
                  <c:v>291.9192665990381</c:v>
                </c:pt>
                <c:pt idx="66">
                  <c:v>301.3010848826351</c:v>
                </c:pt>
                <c:pt idx="67">
                  <c:v>310.6829031662321</c:v>
                </c:pt>
                <c:pt idx="68">
                  <c:v>320.0647214498291</c:v>
                </c:pt>
                <c:pt idx="69">
                  <c:v>329.446539733426</c:v>
                </c:pt>
                <c:pt idx="70">
                  <c:v>338.828358017023</c:v>
                </c:pt>
                <c:pt idx="71">
                  <c:v>348.2101763006199</c:v>
                </c:pt>
                <c:pt idx="72">
                  <c:v>357.5919945842169</c:v>
                </c:pt>
                <c:pt idx="73">
                  <c:v>366.9738128678139</c:v>
                </c:pt>
                <c:pt idx="74">
                  <c:v>376.3556311514109</c:v>
                </c:pt>
                <c:pt idx="75">
                  <c:v>385.7374494350079</c:v>
                </c:pt>
                <c:pt idx="76">
                  <c:v>395.1192677186048</c:v>
                </c:pt>
                <c:pt idx="77">
                  <c:v>404.5010860022018</c:v>
                </c:pt>
                <c:pt idx="78">
                  <c:v>413.8829042857988</c:v>
                </c:pt>
                <c:pt idx="79">
                  <c:v>423.2647225693958</c:v>
                </c:pt>
                <c:pt idx="80">
                  <c:v>432.6465408529928</c:v>
                </c:pt>
                <c:pt idx="81">
                  <c:v>442.0283591365897</c:v>
                </c:pt>
                <c:pt idx="82">
                  <c:v>451.4101774201866</c:v>
                </c:pt>
                <c:pt idx="83">
                  <c:v>460.7919957037836</c:v>
                </c:pt>
                <c:pt idx="84">
                  <c:v>470.1738139873806</c:v>
                </c:pt>
                <c:pt idx="85">
                  <c:v>479.5556322709776</c:v>
                </c:pt>
                <c:pt idx="86">
                  <c:v>488.9374505545746</c:v>
                </c:pt>
                <c:pt idx="87">
                  <c:v>498.3192688381715</c:v>
                </c:pt>
                <c:pt idx="88">
                  <c:v>543.366720667849</c:v>
                </c:pt>
                <c:pt idx="89">
                  <c:v>624.079806043607</c:v>
                </c:pt>
                <c:pt idx="90">
                  <c:v>704.792891419365</c:v>
                </c:pt>
                <c:pt idx="91">
                  <c:v>785.505976795123</c:v>
                </c:pt>
                <c:pt idx="92">
                  <c:v>866.219062170881</c:v>
                </c:pt>
                <c:pt idx="93">
                  <c:v>946.932147546639</c:v>
                </c:pt>
                <c:pt idx="94">
                  <c:v>1027.645232922397</c:v>
                </c:pt>
                <c:pt idx="95">
                  <c:v>1108.358318298155</c:v>
                </c:pt>
                <c:pt idx="96">
                  <c:v>1189.071403673913</c:v>
                </c:pt>
                <c:pt idx="97">
                  <c:v>1269.784489049671</c:v>
                </c:pt>
                <c:pt idx="98">
                  <c:v>1314.35653173755</c:v>
                </c:pt>
                <c:pt idx="99">
                  <c:v>1322.78753173755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12.5</c:v>
                </c:pt>
                <c:pt idx="27">
                  <c:v>25.0</c:v>
                </c:pt>
                <c:pt idx="28">
                  <c:v>37.5</c:v>
                </c:pt>
                <c:pt idx="29">
                  <c:v>50.0</c:v>
                </c:pt>
                <c:pt idx="30">
                  <c:v>62.5</c:v>
                </c:pt>
                <c:pt idx="31">
                  <c:v>75.0</c:v>
                </c:pt>
                <c:pt idx="32">
                  <c:v>87.5</c:v>
                </c:pt>
                <c:pt idx="33">
                  <c:v>100.0</c:v>
                </c:pt>
                <c:pt idx="34">
                  <c:v>112.5</c:v>
                </c:pt>
                <c:pt idx="35">
                  <c:v>125.0</c:v>
                </c:pt>
                <c:pt idx="36">
                  <c:v>137.5</c:v>
                </c:pt>
                <c:pt idx="37">
                  <c:v>150.0</c:v>
                </c:pt>
                <c:pt idx="38">
                  <c:v>162.5</c:v>
                </c:pt>
                <c:pt idx="39">
                  <c:v>175.0</c:v>
                </c:pt>
                <c:pt idx="40">
                  <c:v>187.5</c:v>
                </c:pt>
                <c:pt idx="41">
                  <c:v>200.0</c:v>
                </c:pt>
                <c:pt idx="42">
                  <c:v>212.5</c:v>
                </c:pt>
                <c:pt idx="43">
                  <c:v>225.0</c:v>
                </c:pt>
                <c:pt idx="44">
                  <c:v>237.5</c:v>
                </c:pt>
                <c:pt idx="45">
                  <c:v>250.0</c:v>
                </c:pt>
                <c:pt idx="46">
                  <c:v>262.5</c:v>
                </c:pt>
                <c:pt idx="47">
                  <c:v>275.0</c:v>
                </c:pt>
                <c:pt idx="48">
                  <c:v>287.5</c:v>
                </c:pt>
                <c:pt idx="49">
                  <c:v>300.0</c:v>
                </c:pt>
                <c:pt idx="50">
                  <c:v>312.5</c:v>
                </c:pt>
                <c:pt idx="51">
                  <c:v>325.0</c:v>
                </c:pt>
                <c:pt idx="52">
                  <c:v>337.5</c:v>
                </c:pt>
                <c:pt idx="53">
                  <c:v>350.0</c:v>
                </c:pt>
                <c:pt idx="54">
                  <c:v>362.5</c:v>
                </c:pt>
                <c:pt idx="55">
                  <c:v>375.0</c:v>
                </c:pt>
                <c:pt idx="56">
                  <c:v>387.5</c:v>
                </c:pt>
                <c:pt idx="57">
                  <c:v>400.0</c:v>
                </c:pt>
                <c:pt idx="58">
                  <c:v>412.5</c:v>
                </c:pt>
                <c:pt idx="59">
                  <c:v>425.0</c:v>
                </c:pt>
                <c:pt idx="60">
                  <c:v>437.5</c:v>
                </c:pt>
                <c:pt idx="61">
                  <c:v>450.0</c:v>
                </c:pt>
                <c:pt idx="62">
                  <c:v>462.5</c:v>
                </c:pt>
                <c:pt idx="63">
                  <c:v>475.0</c:v>
                </c:pt>
                <c:pt idx="64">
                  <c:v>487.5</c:v>
                </c:pt>
                <c:pt idx="65">
                  <c:v>500.0</c:v>
                </c:pt>
                <c:pt idx="66">
                  <c:v>633.3333333333333</c:v>
                </c:pt>
                <c:pt idx="67">
                  <c:v>766.6666666666667</c:v>
                </c:pt>
                <c:pt idx="68">
                  <c:v>900.0</c:v>
                </c:pt>
                <c:pt idx="69">
                  <c:v>1033.333333333333</c:v>
                </c:pt>
                <c:pt idx="70">
                  <c:v>1166.666666666667</c:v>
                </c:pt>
                <c:pt idx="71">
                  <c:v>1300.0</c:v>
                </c:pt>
                <c:pt idx="72">
                  <c:v>1433.333333333333</c:v>
                </c:pt>
                <c:pt idx="73">
                  <c:v>1566.666666666667</c:v>
                </c:pt>
                <c:pt idx="74">
                  <c:v>1700.0</c:v>
                </c:pt>
                <c:pt idx="75">
                  <c:v>1833.333333333333</c:v>
                </c:pt>
                <c:pt idx="76">
                  <c:v>1966.666666666667</c:v>
                </c:pt>
                <c:pt idx="77">
                  <c:v>2100.0</c:v>
                </c:pt>
                <c:pt idx="78">
                  <c:v>2233.333333333333</c:v>
                </c:pt>
                <c:pt idx="79">
                  <c:v>2366.666666666667</c:v>
                </c:pt>
                <c:pt idx="80">
                  <c:v>2500.0</c:v>
                </c:pt>
                <c:pt idx="81">
                  <c:v>2633.333333333333</c:v>
                </c:pt>
                <c:pt idx="82">
                  <c:v>2766.666666666667</c:v>
                </c:pt>
                <c:pt idx="83">
                  <c:v>2900.0</c:v>
                </c:pt>
                <c:pt idx="84">
                  <c:v>3033.333333333333</c:v>
                </c:pt>
                <c:pt idx="85">
                  <c:v>3166.666666666667</c:v>
                </c:pt>
                <c:pt idx="86">
                  <c:v>3300.0</c:v>
                </c:pt>
                <c:pt idx="87">
                  <c:v>3433.333333333333</c:v>
                </c:pt>
                <c:pt idx="88">
                  <c:v>3816.111111111111</c:v>
                </c:pt>
                <c:pt idx="89">
                  <c:v>4448.333333333334</c:v>
                </c:pt>
                <c:pt idx="90">
                  <c:v>5080.555555555555</c:v>
                </c:pt>
                <c:pt idx="91">
                  <c:v>5712.777777777777</c:v>
                </c:pt>
                <c:pt idx="92">
                  <c:v>6345.0</c:v>
                </c:pt>
                <c:pt idx="93">
                  <c:v>6977.222222222222</c:v>
                </c:pt>
                <c:pt idx="94">
                  <c:v>7609.444444444445</c:v>
                </c:pt>
                <c:pt idx="95">
                  <c:v>8241.666666666668</c:v>
                </c:pt>
                <c:pt idx="96">
                  <c:v>8873.888888888891</c:v>
                </c:pt>
                <c:pt idx="97">
                  <c:v>9506.11111111111</c:v>
                </c:pt>
                <c:pt idx="98">
                  <c:v>9822.22222222222</c:v>
                </c:pt>
                <c:pt idx="99">
                  <c:v>9822.22222222222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4.950323887260196</c:v>
                </c:pt>
                <c:pt idx="89">
                  <c:v>14.85097166178059</c:v>
                </c:pt>
                <c:pt idx="90">
                  <c:v>24.75161943630098</c:v>
                </c:pt>
                <c:pt idx="91">
                  <c:v>34.65226721082138</c:v>
                </c:pt>
                <c:pt idx="92">
                  <c:v>44.55291498534177</c:v>
                </c:pt>
                <c:pt idx="93">
                  <c:v>54.45356275986217</c:v>
                </c:pt>
                <c:pt idx="94">
                  <c:v>64.35421053438255</c:v>
                </c:pt>
                <c:pt idx="95">
                  <c:v>74.25485830890295</c:v>
                </c:pt>
                <c:pt idx="96">
                  <c:v>84.15550608342335</c:v>
                </c:pt>
                <c:pt idx="97">
                  <c:v>94.05615385794374</c:v>
                </c:pt>
                <c:pt idx="98">
                  <c:v>125.1014777452039</c:v>
                </c:pt>
                <c:pt idx="99">
                  <c:v>177.2914777452038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43.73254005655042</c:v>
                </c:pt>
                <c:pt idx="27">
                  <c:v>87.46508011310085</c:v>
                </c:pt>
                <c:pt idx="28">
                  <c:v>131.1976201696513</c:v>
                </c:pt>
                <c:pt idx="29">
                  <c:v>174.9301602262017</c:v>
                </c:pt>
                <c:pt idx="30">
                  <c:v>218.6627002827521</c:v>
                </c:pt>
                <c:pt idx="31">
                  <c:v>262.3952403393025</c:v>
                </c:pt>
                <c:pt idx="32">
                  <c:v>306.127780395853</c:v>
                </c:pt>
                <c:pt idx="33">
                  <c:v>349.8603204524034</c:v>
                </c:pt>
                <c:pt idx="34">
                  <c:v>393.5928605089538</c:v>
                </c:pt>
                <c:pt idx="35">
                  <c:v>437.3254005655043</c:v>
                </c:pt>
                <c:pt idx="36">
                  <c:v>481.0579406220546</c:v>
                </c:pt>
                <c:pt idx="37">
                  <c:v>524.790480678605</c:v>
                </c:pt>
                <c:pt idx="38">
                  <c:v>568.5230207351556</c:v>
                </c:pt>
                <c:pt idx="39">
                  <c:v>612.255560791706</c:v>
                </c:pt>
                <c:pt idx="40">
                  <c:v>655.9881008482564</c:v>
                </c:pt>
                <c:pt idx="41">
                  <c:v>699.7206409048068</c:v>
                </c:pt>
                <c:pt idx="42">
                  <c:v>743.4531809613572</c:v>
                </c:pt>
                <c:pt idx="43">
                  <c:v>787.1857210179076</c:v>
                </c:pt>
                <c:pt idx="44">
                  <c:v>830.9182610744581</c:v>
                </c:pt>
                <c:pt idx="45">
                  <c:v>874.6508011310085</c:v>
                </c:pt>
                <c:pt idx="46">
                  <c:v>918.383341187559</c:v>
                </c:pt>
                <c:pt idx="47">
                  <c:v>962.1158812441093</c:v>
                </c:pt>
                <c:pt idx="48">
                  <c:v>1005.84842130066</c:v>
                </c:pt>
                <c:pt idx="49">
                  <c:v>1049.58096135721</c:v>
                </c:pt>
                <c:pt idx="50">
                  <c:v>1093.313501413761</c:v>
                </c:pt>
                <c:pt idx="51">
                  <c:v>1137.046041470311</c:v>
                </c:pt>
                <c:pt idx="52">
                  <c:v>1180.778581526861</c:v>
                </c:pt>
                <c:pt idx="53">
                  <c:v>1224.511121583412</c:v>
                </c:pt>
                <c:pt idx="54">
                  <c:v>1268.243661639962</c:v>
                </c:pt>
                <c:pt idx="55">
                  <c:v>1311.976201696513</c:v>
                </c:pt>
                <c:pt idx="56">
                  <c:v>1355.708741753063</c:v>
                </c:pt>
                <c:pt idx="57">
                  <c:v>1399.441281809614</c:v>
                </c:pt>
                <c:pt idx="58">
                  <c:v>1443.173821866164</c:v>
                </c:pt>
                <c:pt idx="59">
                  <c:v>1486.906361922714</c:v>
                </c:pt>
                <c:pt idx="60">
                  <c:v>1530.638901979265</c:v>
                </c:pt>
                <c:pt idx="61">
                  <c:v>1574.371442035815</c:v>
                </c:pt>
                <c:pt idx="62">
                  <c:v>1618.103982092366</c:v>
                </c:pt>
                <c:pt idx="63">
                  <c:v>1661.836522148916</c:v>
                </c:pt>
                <c:pt idx="64">
                  <c:v>1705.569062205467</c:v>
                </c:pt>
                <c:pt idx="65">
                  <c:v>1749.301602262017</c:v>
                </c:pt>
                <c:pt idx="66">
                  <c:v>1704.977086605927</c:v>
                </c:pt>
                <c:pt idx="67">
                  <c:v>1660.652570949838</c:v>
                </c:pt>
                <c:pt idx="68">
                  <c:v>1616.328055293748</c:v>
                </c:pt>
                <c:pt idx="69">
                  <c:v>1572.003539637658</c:v>
                </c:pt>
                <c:pt idx="70">
                  <c:v>1527.679023981569</c:v>
                </c:pt>
                <c:pt idx="71">
                  <c:v>1483.354508325479</c:v>
                </c:pt>
                <c:pt idx="72">
                  <c:v>1439.029992669389</c:v>
                </c:pt>
                <c:pt idx="73">
                  <c:v>1394.7054770133</c:v>
                </c:pt>
                <c:pt idx="74">
                  <c:v>1350.38096135721</c:v>
                </c:pt>
                <c:pt idx="75">
                  <c:v>1306.056445701121</c:v>
                </c:pt>
                <c:pt idx="76">
                  <c:v>1261.731930045031</c:v>
                </c:pt>
                <c:pt idx="77">
                  <c:v>1217.407414388941</c:v>
                </c:pt>
                <c:pt idx="78">
                  <c:v>1173.082898732852</c:v>
                </c:pt>
                <c:pt idx="79">
                  <c:v>1128.758383076762</c:v>
                </c:pt>
                <c:pt idx="80">
                  <c:v>1084.433867420672</c:v>
                </c:pt>
                <c:pt idx="81">
                  <c:v>1040.109351764583</c:v>
                </c:pt>
                <c:pt idx="82">
                  <c:v>995.784836108493</c:v>
                </c:pt>
                <c:pt idx="83">
                  <c:v>951.4603204524034</c:v>
                </c:pt>
                <c:pt idx="84">
                  <c:v>907.1358047963138</c:v>
                </c:pt>
                <c:pt idx="85">
                  <c:v>862.8112891402241</c:v>
                </c:pt>
                <c:pt idx="86">
                  <c:v>818.4867734841344</c:v>
                </c:pt>
                <c:pt idx="87">
                  <c:v>774.1622578280449</c:v>
                </c:pt>
                <c:pt idx="88">
                  <c:v>714.4</c:v>
                </c:pt>
                <c:pt idx="89">
                  <c:v>639.2</c:v>
                </c:pt>
                <c:pt idx="90">
                  <c:v>564.0</c:v>
                </c:pt>
                <c:pt idx="91">
                  <c:v>488.8</c:v>
                </c:pt>
                <c:pt idx="92">
                  <c:v>413.6</c:v>
                </c:pt>
                <c:pt idx="93">
                  <c:v>338.4</c:v>
                </c:pt>
                <c:pt idx="94">
                  <c:v>263.2</c:v>
                </c:pt>
                <c:pt idx="95">
                  <c:v>188.0</c:v>
                </c:pt>
                <c:pt idx="96">
                  <c:v>112.8</c:v>
                </c:pt>
                <c:pt idx="97">
                  <c:v>37.60000000000002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1544.888888888889</c:v>
                </c:pt>
                <c:pt idx="89">
                  <c:v>4634.666666666666</c:v>
                </c:pt>
                <c:pt idx="90">
                  <c:v>7724.444444444444</c:v>
                </c:pt>
                <c:pt idx="91">
                  <c:v>10814.22222222222</c:v>
                </c:pt>
                <c:pt idx="92">
                  <c:v>13904.0</c:v>
                </c:pt>
                <c:pt idx="93">
                  <c:v>16993.77777777778</c:v>
                </c:pt>
                <c:pt idx="94">
                  <c:v>20083.55555555555</c:v>
                </c:pt>
                <c:pt idx="95">
                  <c:v>23173.33333333333</c:v>
                </c:pt>
                <c:pt idx="96">
                  <c:v>26263.11111111111</c:v>
                </c:pt>
                <c:pt idx="97">
                  <c:v>29352.8888888889</c:v>
                </c:pt>
                <c:pt idx="98">
                  <c:v>32233.62777777778</c:v>
                </c:pt>
                <c:pt idx="99">
                  <c:v>34905.32777777778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19.06666666666667</c:v>
                </c:pt>
                <c:pt idx="67">
                  <c:v>38.13333333333333</c:v>
                </c:pt>
                <c:pt idx="68">
                  <c:v>57.2</c:v>
                </c:pt>
                <c:pt idx="69">
                  <c:v>76.26666666666666</c:v>
                </c:pt>
                <c:pt idx="70">
                  <c:v>95.33333333333333</c:v>
                </c:pt>
                <c:pt idx="71">
                  <c:v>114.4</c:v>
                </c:pt>
                <c:pt idx="72">
                  <c:v>133.4666666666667</c:v>
                </c:pt>
                <c:pt idx="73">
                  <c:v>152.5333333333333</c:v>
                </c:pt>
                <c:pt idx="74">
                  <c:v>171.6</c:v>
                </c:pt>
                <c:pt idx="75">
                  <c:v>190.6666666666667</c:v>
                </c:pt>
                <c:pt idx="76">
                  <c:v>209.7333333333333</c:v>
                </c:pt>
                <c:pt idx="77">
                  <c:v>228.8</c:v>
                </c:pt>
                <c:pt idx="78">
                  <c:v>247.8666666666667</c:v>
                </c:pt>
                <c:pt idx="79">
                  <c:v>266.9333333333333</c:v>
                </c:pt>
                <c:pt idx="80">
                  <c:v>286.0</c:v>
                </c:pt>
                <c:pt idx="81">
                  <c:v>305.0666666666666</c:v>
                </c:pt>
                <c:pt idx="82">
                  <c:v>324.1333333333333</c:v>
                </c:pt>
                <c:pt idx="83">
                  <c:v>343.2</c:v>
                </c:pt>
                <c:pt idx="84">
                  <c:v>362.2666666666666</c:v>
                </c:pt>
                <c:pt idx="85">
                  <c:v>381.3333333333333</c:v>
                </c:pt>
                <c:pt idx="86">
                  <c:v>400.4</c:v>
                </c:pt>
                <c:pt idx="87">
                  <c:v>419.4666666666666</c:v>
                </c:pt>
                <c:pt idx="88">
                  <c:v>407.55</c:v>
                </c:pt>
                <c:pt idx="89">
                  <c:v>364.65</c:v>
                </c:pt>
                <c:pt idx="90">
                  <c:v>321.75</c:v>
                </c:pt>
                <c:pt idx="91">
                  <c:v>278.85</c:v>
                </c:pt>
                <c:pt idx="92">
                  <c:v>235.95</c:v>
                </c:pt>
                <c:pt idx="93">
                  <c:v>193.05</c:v>
                </c:pt>
                <c:pt idx="94">
                  <c:v>150.15</c:v>
                </c:pt>
                <c:pt idx="95">
                  <c:v>107.25</c:v>
                </c:pt>
                <c:pt idx="96">
                  <c:v>64.35000000000002</c:v>
                </c:pt>
                <c:pt idx="97">
                  <c:v>21.44999999999999</c:v>
                </c:pt>
                <c:pt idx="98">
                  <c:v>414.765</c:v>
                </c:pt>
                <c:pt idx="99">
                  <c:v>1244.295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96.0</c:v>
                </c:pt>
                <c:pt idx="67">
                  <c:v>192.0</c:v>
                </c:pt>
                <c:pt idx="68">
                  <c:v>288.0</c:v>
                </c:pt>
                <c:pt idx="69">
                  <c:v>384.0</c:v>
                </c:pt>
                <c:pt idx="70">
                  <c:v>480.0</c:v>
                </c:pt>
                <c:pt idx="71">
                  <c:v>576.0</c:v>
                </c:pt>
                <c:pt idx="72">
                  <c:v>672.0</c:v>
                </c:pt>
                <c:pt idx="73">
                  <c:v>768.0</c:v>
                </c:pt>
                <c:pt idx="74">
                  <c:v>864.0</c:v>
                </c:pt>
                <c:pt idx="75">
                  <c:v>960.0</c:v>
                </c:pt>
                <c:pt idx="76">
                  <c:v>1056.0</c:v>
                </c:pt>
                <c:pt idx="77">
                  <c:v>1152.0</c:v>
                </c:pt>
                <c:pt idx="78">
                  <c:v>1248.0</c:v>
                </c:pt>
                <c:pt idx="79">
                  <c:v>1344.0</c:v>
                </c:pt>
                <c:pt idx="80">
                  <c:v>1440.0</c:v>
                </c:pt>
                <c:pt idx="81">
                  <c:v>1536.0</c:v>
                </c:pt>
                <c:pt idx="82">
                  <c:v>1632.0</c:v>
                </c:pt>
                <c:pt idx="83">
                  <c:v>1728.0</c:v>
                </c:pt>
                <c:pt idx="84">
                  <c:v>1824.0</c:v>
                </c:pt>
                <c:pt idx="85">
                  <c:v>1920.0</c:v>
                </c:pt>
                <c:pt idx="86">
                  <c:v>2016.0</c:v>
                </c:pt>
                <c:pt idx="87">
                  <c:v>2112.0</c:v>
                </c:pt>
                <c:pt idx="88">
                  <c:v>2052.0</c:v>
                </c:pt>
                <c:pt idx="89">
                  <c:v>1836.0</c:v>
                </c:pt>
                <c:pt idx="90">
                  <c:v>1620.0</c:v>
                </c:pt>
                <c:pt idx="91">
                  <c:v>1404.0</c:v>
                </c:pt>
                <c:pt idx="92">
                  <c:v>1188.0</c:v>
                </c:pt>
                <c:pt idx="93">
                  <c:v>972.0</c:v>
                </c:pt>
                <c:pt idx="94">
                  <c:v>756.0</c:v>
                </c:pt>
                <c:pt idx="95">
                  <c:v>540.0</c:v>
                </c:pt>
                <c:pt idx="96">
                  <c:v>324.0</c:v>
                </c:pt>
                <c:pt idx="97">
                  <c:v>108.0</c:v>
                </c:pt>
                <c:pt idx="98">
                  <c:v>3101.75</c:v>
                </c:pt>
                <c:pt idx="99">
                  <c:v>9305.25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1006.866788619538</c:v>
                </c:pt>
                <c:pt idx="1">
                  <c:v>1006.866788619538</c:v>
                </c:pt>
                <c:pt idx="2">
                  <c:v>1006.866788619538</c:v>
                </c:pt>
                <c:pt idx="3">
                  <c:v>1006.866788619538</c:v>
                </c:pt>
                <c:pt idx="4">
                  <c:v>1006.866788619538</c:v>
                </c:pt>
                <c:pt idx="5">
                  <c:v>1006.866788619538</c:v>
                </c:pt>
                <c:pt idx="6">
                  <c:v>1006.866788619538</c:v>
                </c:pt>
                <c:pt idx="7">
                  <c:v>1006.866788619538</c:v>
                </c:pt>
                <c:pt idx="8">
                  <c:v>1006.866788619538</c:v>
                </c:pt>
                <c:pt idx="9">
                  <c:v>1006.866788619538</c:v>
                </c:pt>
                <c:pt idx="10">
                  <c:v>1006.866788619538</c:v>
                </c:pt>
                <c:pt idx="11">
                  <c:v>1006.866788619538</c:v>
                </c:pt>
                <c:pt idx="12">
                  <c:v>1006.866788619538</c:v>
                </c:pt>
                <c:pt idx="13">
                  <c:v>1006.866788619538</c:v>
                </c:pt>
                <c:pt idx="14">
                  <c:v>1006.866788619538</c:v>
                </c:pt>
                <c:pt idx="15">
                  <c:v>1006.866788619538</c:v>
                </c:pt>
                <c:pt idx="16">
                  <c:v>1006.866788619538</c:v>
                </c:pt>
                <c:pt idx="17">
                  <c:v>1006.866788619538</c:v>
                </c:pt>
                <c:pt idx="18">
                  <c:v>1006.866788619538</c:v>
                </c:pt>
                <c:pt idx="19">
                  <c:v>1006.866788619538</c:v>
                </c:pt>
                <c:pt idx="20">
                  <c:v>1006.866788619538</c:v>
                </c:pt>
                <c:pt idx="21">
                  <c:v>1006.866788619538</c:v>
                </c:pt>
                <c:pt idx="22">
                  <c:v>1006.866788619538</c:v>
                </c:pt>
                <c:pt idx="23">
                  <c:v>1006.866788619538</c:v>
                </c:pt>
                <c:pt idx="24">
                  <c:v>1006.866788619538</c:v>
                </c:pt>
                <c:pt idx="25">
                  <c:v>1006.866788619538</c:v>
                </c:pt>
                <c:pt idx="26">
                  <c:v>1006.866788619538</c:v>
                </c:pt>
                <c:pt idx="27">
                  <c:v>1006.866788619538</c:v>
                </c:pt>
                <c:pt idx="28">
                  <c:v>1006.866788619538</c:v>
                </c:pt>
                <c:pt idx="29">
                  <c:v>1006.866788619538</c:v>
                </c:pt>
                <c:pt idx="30">
                  <c:v>1006.866788619538</c:v>
                </c:pt>
                <c:pt idx="31">
                  <c:v>1006.866788619538</c:v>
                </c:pt>
                <c:pt idx="32">
                  <c:v>1006.866788619538</c:v>
                </c:pt>
                <c:pt idx="33">
                  <c:v>1006.866788619538</c:v>
                </c:pt>
                <c:pt idx="34">
                  <c:v>1006.866788619538</c:v>
                </c:pt>
                <c:pt idx="35">
                  <c:v>1006.866788619538</c:v>
                </c:pt>
                <c:pt idx="36">
                  <c:v>1006.866788619538</c:v>
                </c:pt>
                <c:pt idx="37">
                  <c:v>1006.866788619538</c:v>
                </c:pt>
                <c:pt idx="38">
                  <c:v>1006.866788619538</c:v>
                </c:pt>
                <c:pt idx="39">
                  <c:v>1006.866788619538</c:v>
                </c:pt>
                <c:pt idx="40">
                  <c:v>1006.866788619538</c:v>
                </c:pt>
                <c:pt idx="41">
                  <c:v>1006.866788619538</c:v>
                </c:pt>
                <c:pt idx="42">
                  <c:v>1006.866788619538</c:v>
                </c:pt>
                <c:pt idx="43">
                  <c:v>1006.866788619538</c:v>
                </c:pt>
                <c:pt idx="44">
                  <c:v>1006.866788619538</c:v>
                </c:pt>
                <c:pt idx="45">
                  <c:v>1006.866788619538</c:v>
                </c:pt>
                <c:pt idx="46">
                  <c:v>1006.866788619538</c:v>
                </c:pt>
                <c:pt idx="47">
                  <c:v>1006.866788619538</c:v>
                </c:pt>
                <c:pt idx="48">
                  <c:v>1006.866788619538</c:v>
                </c:pt>
                <c:pt idx="49">
                  <c:v>1006.866788619538</c:v>
                </c:pt>
                <c:pt idx="50">
                  <c:v>1006.866788619538</c:v>
                </c:pt>
                <c:pt idx="51">
                  <c:v>1006.866788619538</c:v>
                </c:pt>
                <c:pt idx="52">
                  <c:v>1006.866788619538</c:v>
                </c:pt>
                <c:pt idx="53">
                  <c:v>1006.866788619538</c:v>
                </c:pt>
                <c:pt idx="54">
                  <c:v>1006.866788619538</c:v>
                </c:pt>
                <c:pt idx="55">
                  <c:v>1006.866788619538</c:v>
                </c:pt>
                <c:pt idx="56">
                  <c:v>1006.866788619538</c:v>
                </c:pt>
                <c:pt idx="57">
                  <c:v>1006.866788619538</c:v>
                </c:pt>
                <c:pt idx="58">
                  <c:v>1006.866788619538</c:v>
                </c:pt>
                <c:pt idx="59">
                  <c:v>1006.866788619538</c:v>
                </c:pt>
                <c:pt idx="60">
                  <c:v>1006.866788619538</c:v>
                </c:pt>
                <c:pt idx="61">
                  <c:v>1006.866788619538</c:v>
                </c:pt>
                <c:pt idx="62">
                  <c:v>1006.866788619538</c:v>
                </c:pt>
                <c:pt idx="63">
                  <c:v>1006.866788619538</c:v>
                </c:pt>
                <c:pt idx="64">
                  <c:v>1006.866788619538</c:v>
                </c:pt>
                <c:pt idx="65">
                  <c:v>1006.866788619538</c:v>
                </c:pt>
                <c:pt idx="66">
                  <c:v>1006.866788619538</c:v>
                </c:pt>
                <c:pt idx="67">
                  <c:v>1006.866788619538</c:v>
                </c:pt>
                <c:pt idx="68">
                  <c:v>1006.866788619538</c:v>
                </c:pt>
                <c:pt idx="69">
                  <c:v>1006.866788619538</c:v>
                </c:pt>
                <c:pt idx="70">
                  <c:v>1006.866788619538</c:v>
                </c:pt>
                <c:pt idx="71">
                  <c:v>1006.866788619538</c:v>
                </c:pt>
                <c:pt idx="72">
                  <c:v>1006.866788619538</c:v>
                </c:pt>
                <c:pt idx="73">
                  <c:v>1006.866788619538</c:v>
                </c:pt>
                <c:pt idx="74">
                  <c:v>1006.866788619538</c:v>
                </c:pt>
                <c:pt idx="75">
                  <c:v>1006.866788619538</c:v>
                </c:pt>
                <c:pt idx="76">
                  <c:v>1006.866788619538</c:v>
                </c:pt>
                <c:pt idx="77">
                  <c:v>1006.866788619538</c:v>
                </c:pt>
                <c:pt idx="78">
                  <c:v>1006.866788619538</c:v>
                </c:pt>
                <c:pt idx="79">
                  <c:v>1006.866788619538</c:v>
                </c:pt>
                <c:pt idx="80">
                  <c:v>1006.866788619538</c:v>
                </c:pt>
                <c:pt idx="81">
                  <c:v>1006.866788619538</c:v>
                </c:pt>
                <c:pt idx="82">
                  <c:v>1006.866788619538</c:v>
                </c:pt>
                <c:pt idx="83">
                  <c:v>1006.866788619538</c:v>
                </c:pt>
                <c:pt idx="84">
                  <c:v>1006.866788619538</c:v>
                </c:pt>
                <c:pt idx="85">
                  <c:v>1006.866788619538</c:v>
                </c:pt>
                <c:pt idx="86">
                  <c:v>1006.866788619538</c:v>
                </c:pt>
                <c:pt idx="87">
                  <c:v>1006.866788619538</c:v>
                </c:pt>
                <c:pt idx="88">
                  <c:v>1001.273084238319</c:v>
                </c:pt>
                <c:pt idx="89">
                  <c:v>990.0856754758793</c:v>
                </c:pt>
                <c:pt idx="90">
                  <c:v>978.8982667134401</c:v>
                </c:pt>
                <c:pt idx="91">
                  <c:v>967.7108579510007</c:v>
                </c:pt>
                <c:pt idx="92">
                  <c:v>956.5234491885614</c:v>
                </c:pt>
                <c:pt idx="93">
                  <c:v>945.3360404261221</c:v>
                </c:pt>
                <c:pt idx="94">
                  <c:v>934.1486316636828</c:v>
                </c:pt>
                <c:pt idx="95">
                  <c:v>922.9612229012436</c:v>
                </c:pt>
                <c:pt idx="96">
                  <c:v>911.7738141388042</c:v>
                </c:pt>
                <c:pt idx="97">
                  <c:v>900.586405376365</c:v>
                </c:pt>
                <c:pt idx="98">
                  <c:v>902.3577009951453</c:v>
                </c:pt>
                <c:pt idx="99">
                  <c:v>917.0877009951452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22020.0</c:v>
                </c:pt>
                <c:pt idx="1">
                  <c:v>22020.0</c:v>
                </c:pt>
                <c:pt idx="2">
                  <c:v>22020.0</c:v>
                </c:pt>
                <c:pt idx="3">
                  <c:v>22020.0</c:v>
                </c:pt>
                <c:pt idx="4">
                  <c:v>22020.0</c:v>
                </c:pt>
                <c:pt idx="5">
                  <c:v>22020.0</c:v>
                </c:pt>
                <c:pt idx="6">
                  <c:v>22020.0</c:v>
                </c:pt>
                <c:pt idx="7">
                  <c:v>22020.0</c:v>
                </c:pt>
                <c:pt idx="8">
                  <c:v>22020.0</c:v>
                </c:pt>
                <c:pt idx="9">
                  <c:v>22020.0</c:v>
                </c:pt>
                <c:pt idx="10">
                  <c:v>22020.0</c:v>
                </c:pt>
                <c:pt idx="11">
                  <c:v>22020.0</c:v>
                </c:pt>
                <c:pt idx="12">
                  <c:v>22020.0</c:v>
                </c:pt>
                <c:pt idx="13">
                  <c:v>22020.0</c:v>
                </c:pt>
                <c:pt idx="14">
                  <c:v>22020.0</c:v>
                </c:pt>
                <c:pt idx="15">
                  <c:v>22020.0</c:v>
                </c:pt>
                <c:pt idx="16">
                  <c:v>22020.0</c:v>
                </c:pt>
                <c:pt idx="17">
                  <c:v>22020.0</c:v>
                </c:pt>
                <c:pt idx="18">
                  <c:v>22020.0</c:v>
                </c:pt>
                <c:pt idx="19">
                  <c:v>22020.0</c:v>
                </c:pt>
                <c:pt idx="20">
                  <c:v>22020.0</c:v>
                </c:pt>
                <c:pt idx="21">
                  <c:v>22020.0</c:v>
                </c:pt>
                <c:pt idx="22">
                  <c:v>22020.0</c:v>
                </c:pt>
                <c:pt idx="23">
                  <c:v>22020.0</c:v>
                </c:pt>
                <c:pt idx="24">
                  <c:v>22020.0</c:v>
                </c:pt>
                <c:pt idx="25">
                  <c:v>22020.0</c:v>
                </c:pt>
                <c:pt idx="26">
                  <c:v>22020.0</c:v>
                </c:pt>
                <c:pt idx="27">
                  <c:v>22020.0</c:v>
                </c:pt>
                <c:pt idx="28">
                  <c:v>22020.0</c:v>
                </c:pt>
                <c:pt idx="29">
                  <c:v>22020.0</c:v>
                </c:pt>
                <c:pt idx="30">
                  <c:v>22020.0</c:v>
                </c:pt>
                <c:pt idx="31">
                  <c:v>22020.0</c:v>
                </c:pt>
                <c:pt idx="32">
                  <c:v>22020.0</c:v>
                </c:pt>
                <c:pt idx="33">
                  <c:v>22020.0</c:v>
                </c:pt>
                <c:pt idx="34">
                  <c:v>22020.0</c:v>
                </c:pt>
                <c:pt idx="35">
                  <c:v>22020.0</c:v>
                </c:pt>
                <c:pt idx="36">
                  <c:v>22020.0</c:v>
                </c:pt>
                <c:pt idx="37">
                  <c:v>22020.0</c:v>
                </c:pt>
                <c:pt idx="38">
                  <c:v>22020.0</c:v>
                </c:pt>
                <c:pt idx="39">
                  <c:v>22020.0</c:v>
                </c:pt>
                <c:pt idx="40">
                  <c:v>22020.0</c:v>
                </c:pt>
                <c:pt idx="41">
                  <c:v>22020.0</c:v>
                </c:pt>
                <c:pt idx="42">
                  <c:v>22020.0</c:v>
                </c:pt>
                <c:pt idx="43">
                  <c:v>22020.0</c:v>
                </c:pt>
                <c:pt idx="44">
                  <c:v>22020.0</c:v>
                </c:pt>
                <c:pt idx="45">
                  <c:v>22020.0</c:v>
                </c:pt>
                <c:pt idx="46">
                  <c:v>22020.0</c:v>
                </c:pt>
                <c:pt idx="47">
                  <c:v>22020.0</c:v>
                </c:pt>
                <c:pt idx="48">
                  <c:v>22020.0</c:v>
                </c:pt>
                <c:pt idx="49">
                  <c:v>22020.0</c:v>
                </c:pt>
                <c:pt idx="50">
                  <c:v>22020.0</c:v>
                </c:pt>
                <c:pt idx="51">
                  <c:v>22020.0</c:v>
                </c:pt>
                <c:pt idx="52">
                  <c:v>22020.0</c:v>
                </c:pt>
                <c:pt idx="53">
                  <c:v>22020.0</c:v>
                </c:pt>
                <c:pt idx="54">
                  <c:v>22020.0</c:v>
                </c:pt>
                <c:pt idx="55">
                  <c:v>22020.0</c:v>
                </c:pt>
                <c:pt idx="56">
                  <c:v>22020.0</c:v>
                </c:pt>
                <c:pt idx="57">
                  <c:v>22020.0</c:v>
                </c:pt>
                <c:pt idx="58">
                  <c:v>22020.0</c:v>
                </c:pt>
                <c:pt idx="59">
                  <c:v>22020.0</c:v>
                </c:pt>
                <c:pt idx="60">
                  <c:v>22020.0</c:v>
                </c:pt>
                <c:pt idx="61">
                  <c:v>22020.0</c:v>
                </c:pt>
                <c:pt idx="62">
                  <c:v>22020.0</c:v>
                </c:pt>
                <c:pt idx="63">
                  <c:v>22020.0</c:v>
                </c:pt>
                <c:pt idx="64">
                  <c:v>22020.0</c:v>
                </c:pt>
                <c:pt idx="65">
                  <c:v>22020.0</c:v>
                </c:pt>
                <c:pt idx="66">
                  <c:v>22020.0</c:v>
                </c:pt>
                <c:pt idx="67">
                  <c:v>22020.0</c:v>
                </c:pt>
                <c:pt idx="68">
                  <c:v>22020.0</c:v>
                </c:pt>
                <c:pt idx="69">
                  <c:v>22020.0</c:v>
                </c:pt>
                <c:pt idx="70">
                  <c:v>22020.0</c:v>
                </c:pt>
                <c:pt idx="71">
                  <c:v>22020.0</c:v>
                </c:pt>
                <c:pt idx="72">
                  <c:v>22020.0</c:v>
                </c:pt>
                <c:pt idx="73">
                  <c:v>22020.0</c:v>
                </c:pt>
                <c:pt idx="74">
                  <c:v>22020.0</c:v>
                </c:pt>
                <c:pt idx="75">
                  <c:v>22020.0</c:v>
                </c:pt>
                <c:pt idx="76">
                  <c:v>22020.0</c:v>
                </c:pt>
                <c:pt idx="77">
                  <c:v>22020.0</c:v>
                </c:pt>
                <c:pt idx="78">
                  <c:v>22020.0</c:v>
                </c:pt>
                <c:pt idx="79">
                  <c:v>22020.0</c:v>
                </c:pt>
                <c:pt idx="80">
                  <c:v>22020.0</c:v>
                </c:pt>
                <c:pt idx="81">
                  <c:v>22020.0</c:v>
                </c:pt>
                <c:pt idx="82">
                  <c:v>22020.0</c:v>
                </c:pt>
                <c:pt idx="83">
                  <c:v>22020.0</c:v>
                </c:pt>
                <c:pt idx="84">
                  <c:v>22020.0</c:v>
                </c:pt>
                <c:pt idx="85">
                  <c:v>22020.0</c:v>
                </c:pt>
                <c:pt idx="86">
                  <c:v>22020.0</c:v>
                </c:pt>
                <c:pt idx="87">
                  <c:v>22020.0</c:v>
                </c:pt>
                <c:pt idx="88">
                  <c:v>21192.86666666666</c:v>
                </c:pt>
                <c:pt idx="89">
                  <c:v>19538.6</c:v>
                </c:pt>
                <c:pt idx="90">
                  <c:v>17884.33333333333</c:v>
                </c:pt>
                <c:pt idx="91">
                  <c:v>16230.06666666667</c:v>
                </c:pt>
                <c:pt idx="92">
                  <c:v>14575.8</c:v>
                </c:pt>
                <c:pt idx="93">
                  <c:v>12921.53333333333</c:v>
                </c:pt>
                <c:pt idx="94">
                  <c:v>11267.26666666666</c:v>
                </c:pt>
                <c:pt idx="95">
                  <c:v>9612.999999999998</c:v>
                </c:pt>
                <c:pt idx="96">
                  <c:v>7958.733333333332</c:v>
                </c:pt>
                <c:pt idx="97">
                  <c:v>6304.466666666665</c:v>
                </c:pt>
                <c:pt idx="98">
                  <c:v>4913.418333333333</c:v>
                </c:pt>
                <c:pt idx="99">
                  <c:v>3785.588333333333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148.165</c:v>
                </c:pt>
                <c:pt idx="99">
                  <c:v>444.495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9165560"/>
        <c:axId val="-197917412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20136.90379366834</c:v>
                </c:pt>
                <c:pt idx="1">
                  <c:v>20136.90379366834</c:v>
                </c:pt>
                <c:pt idx="2">
                  <c:v>20136.90379366834</c:v>
                </c:pt>
                <c:pt idx="3">
                  <c:v>20136.90379366834</c:v>
                </c:pt>
                <c:pt idx="4">
                  <c:v>20136.90379366834</c:v>
                </c:pt>
                <c:pt idx="5">
                  <c:v>20136.90379366834</c:v>
                </c:pt>
                <c:pt idx="6">
                  <c:v>20136.90379366834</c:v>
                </c:pt>
                <c:pt idx="7">
                  <c:v>20136.90379366834</c:v>
                </c:pt>
                <c:pt idx="8">
                  <c:v>20136.90379366834</c:v>
                </c:pt>
                <c:pt idx="9">
                  <c:v>20136.90379366834</c:v>
                </c:pt>
                <c:pt idx="10">
                  <c:v>20136.90379366834</c:v>
                </c:pt>
                <c:pt idx="11">
                  <c:v>20136.90379366834</c:v>
                </c:pt>
                <c:pt idx="12">
                  <c:v>20136.90379366834</c:v>
                </c:pt>
                <c:pt idx="13">
                  <c:v>20136.90379366834</c:v>
                </c:pt>
                <c:pt idx="14">
                  <c:v>20136.90379366834</c:v>
                </c:pt>
                <c:pt idx="15">
                  <c:v>20136.90379366834</c:v>
                </c:pt>
                <c:pt idx="16">
                  <c:v>20136.90379366834</c:v>
                </c:pt>
                <c:pt idx="17">
                  <c:v>20136.90379366834</c:v>
                </c:pt>
                <c:pt idx="18">
                  <c:v>20136.90379366834</c:v>
                </c:pt>
                <c:pt idx="19">
                  <c:v>20136.90379366834</c:v>
                </c:pt>
                <c:pt idx="20">
                  <c:v>20136.90379366834</c:v>
                </c:pt>
                <c:pt idx="21">
                  <c:v>20136.90379366834</c:v>
                </c:pt>
                <c:pt idx="22">
                  <c:v>20136.90379366834</c:v>
                </c:pt>
                <c:pt idx="23">
                  <c:v>20136.90379366834</c:v>
                </c:pt>
                <c:pt idx="24">
                  <c:v>20136.90379366834</c:v>
                </c:pt>
                <c:pt idx="25">
                  <c:v>20136.90379366834</c:v>
                </c:pt>
                <c:pt idx="26">
                  <c:v>20136.90379366834</c:v>
                </c:pt>
                <c:pt idx="27">
                  <c:v>20136.90379366834</c:v>
                </c:pt>
                <c:pt idx="28">
                  <c:v>20136.90379366834</c:v>
                </c:pt>
                <c:pt idx="29">
                  <c:v>20136.90379366834</c:v>
                </c:pt>
                <c:pt idx="30">
                  <c:v>20136.90379366834</c:v>
                </c:pt>
                <c:pt idx="31">
                  <c:v>20136.90379366834</c:v>
                </c:pt>
                <c:pt idx="32">
                  <c:v>20136.90379366834</c:v>
                </c:pt>
                <c:pt idx="33">
                  <c:v>20136.90379366834</c:v>
                </c:pt>
                <c:pt idx="34">
                  <c:v>20136.90379366834</c:v>
                </c:pt>
                <c:pt idx="35">
                  <c:v>20136.90379366834</c:v>
                </c:pt>
                <c:pt idx="36">
                  <c:v>20136.90379366834</c:v>
                </c:pt>
                <c:pt idx="37">
                  <c:v>20136.90379366834</c:v>
                </c:pt>
                <c:pt idx="38">
                  <c:v>20136.90379366834</c:v>
                </c:pt>
                <c:pt idx="39">
                  <c:v>20136.90379366834</c:v>
                </c:pt>
                <c:pt idx="40">
                  <c:v>20136.90379366834</c:v>
                </c:pt>
                <c:pt idx="41">
                  <c:v>20136.90379366834</c:v>
                </c:pt>
                <c:pt idx="42">
                  <c:v>20136.90379366834</c:v>
                </c:pt>
                <c:pt idx="43">
                  <c:v>20136.90379366834</c:v>
                </c:pt>
                <c:pt idx="44">
                  <c:v>20136.90379366834</c:v>
                </c:pt>
                <c:pt idx="45">
                  <c:v>20136.90379366834</c:v>
                </c:pt>
                <c:pt idx="46">
                  <c:v>20136.90379366834</c:v>
                </c:pt>
                <c:pt idx="47">
                  <c:v>20136.90379366834</c:v>
                </c:pt>
                <c:pt idx="48">
                  <c:v>20136.90379366834</c:v>
                </c:pt>
                <c:pt idx="49">
                  <c:v>20136.90379366834</c:v>
                </c:pt>
                <c:pt idx="50">
                  <c:v>20136.90379366834</c:v>
                </c:pt>
                <c:pt idx="51">
                  <c:v>20136.90379366834</c:v>
                </c:pt>
                <c:pt idx="52">
                  <c:v>20136.90379366834</c:v>
                </c:pt>
                <c:pt idx="53">
                  <c:v>20136.90379366834</c:v>
                </c:pt>
                <c:pt idx="54">
                  <c:v>20136.90379366834</c:v>
                </c:pt>
                <c:pt idx="55">
                  <c:v>20136.90379366834</c:v>
                </c:pt>
                <c:pt idx="56">
                  <c:v>20136.90379366834</c:v>
                </c:pt>
                <c:pt idx="57">
                  <c:v>20136.90379366834</c:v>
                </c:pt>
                <c:pt idx="58">
                  <c:v>20136.90379366834</c:v>
                </c:pt>
                <c:pt idx="59">
                  <c:v>20136.90379366834</c:v>
                </c:pt>
                <c:pt idx="60">
                  <c:v>20136.90379366834</c:v>
                </c:pt>
                <c:pt idx="61">
                  <c:v>20136.90379366834</c:v>
                </c:pt>
                <c:pt idx="62">
                  <c:v>20136.90379366834</c:v>
                </c:pt>
                <c:pt idx="63">
                  <c:v>20136.90379366834</c:v>
                </c:pt>
                <c:pt idx="64">
                  <c:v>20136.90379366834</c:v>
                </c:pt>
                <c:pt idx="65">
                  <c:v>20136.90379366834</c:v>
                </c:pt>
                <c:pt idx="66">
                  <c:v>20136.90379366834</c:v>
                </c:pt>
                <c:pt idx="67">
                  <c:v>20136.90379366834</c:v>
                </c:pt>
                <c:pt idx="68">
                  <c:v>20136.90379366834</c:v>
                </c:pt>
                <c:pt idx="69">
                  <c:v>20136.90379366834</c:v>
                </c:pt>
                <c:pt idx="70">
                  <c:v>20136.90379366834</c:v>
                </c:pt>
                <c:pt idx="71">
                  <c:v>20136.90379366834</c:v>
                </c:pt>
                <c:pt idx="72">
                  <c:v>20136.90379366834</c:v>
                </c:pt>
                <c:pt idx="73">
                  <c:v>20136.90379366834</c:v>
                </c:pt>
                <c:pt idx="74">
                  <c:v>20136.90379366834</c:v>
                </c:pt>
                <c:pt idx="75">
                  <c:v>20136.90379366834</c:v>
                </c:pt>
                <c:pt idx="76">
                  <c:v>20136.90379366834</c:v>
                </c:pt>
                <c:pt idx="77">
                  <c:v>20136.90379366834</c:v>
                </c:pt>
                <c:pt idx="78">
                  <c:v>20136.90379366834</c:v>
                </c:pt>
                <c:pt idx="79">
                  <c:v>20136.90379366834</c:v>
                </c:pt>
                <c:pt idx="80">
                  <c:v>20136.90379366834</c:v>
                </c:pt>
                <c:pt idx="81">
                  <c:v>20136.90379366834</c:v>
                </c:pt>
                <c:pt idx="82">
                  <c:v>20136.90379366834</c:v>
                </c:pt>
                <c:pt idx="83">
                  <c:v>20136.90379366834</c:v>
                </c:pt>
                <c:pt idx="84">
                  <c:v>20136.90379366834</c:v>
                </c:pt>
                <c:pt idx="85">
                  <c:v>20136.90379366834</c:v>
                </c:pt>
                <c:pt idx="86">
                  <c:v>20136.90379366834</c:v>
                </c:pt>
                <c:pt idx="87">
                  <c:v>20136.90379366834</c:v>
                </c:pt>
                <c:pt idx="88">
                  <c:v>20136.90379366834</c:v>
                </c:pt>
                <c:pt idx="89">
                  <c:v>20136.90379366834</c:v>
                </c:pt>
                <c:pt idx="90">
                  <c:v>20136.90379366834</c:v>
                </c:pt>
                <c:pt idx="91">
                  <c:v>20136.90379366834</c:v>
                </c:pt>
                <c:pt idx="92">
                  <c:v>20136.90379366834</c:v>
                </c:pt>
                <c:pt idx="93">
                  <c:v>20136.90379366834</c:v>
                </c:pt>
                <c:pt idx="94">
                  <c:v>20136.90379366834</c:v>
                </c:pt>
                <c:pt idx="95">
                  <c:v>20136.90379366834</c:v>
                </c:pt>
                <c:pt idx="96">
                  <c:v>20136.90379366834</c:v>
                </c:pt>
                <c:pt idx="97">
                  <c:v>20136.90379366834</c:v>
                </c:pt>
                <c:pt idx="98">
                  <c:v>20136.90379366834</c:v>
                </c:pt>
                <c:pt idx="99">
                  <c:v>20136.90379366834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25886.48197089999</c:v>
                </c:pt>
                <c:pt idx="1">
                  <c:v>25886.48197089999</c:v>
                </c:pt>
                <c:pt idx="2">
                  <c:v>25886.48197089999</c:v>
                </c:pt>
                <c:pt idx="3">
                  <c:v>25886.48197089999</c:v>
                </c:pt>
                <c:pt idx="4">
                  <c:v>25886.48197089999</c:v>
                </c:pt>
                <c:pt idx="5">
                  <c:v>25886.48197089999</c:v>
                </c:pt>
                <c:pt idx="6">
                  <c:v>25886.48197089999</c:v>
                </c:pt>
                <c:pt idx="7">
                  <c:v>25886.48197089999</c:v>
                </c:pt>
                <c:pt idx="8">
                  <c:v>25886.48197089999</c:v>
                </c:pt>
                <c:pt idx="9">
                  <c:v>25886.48197089999</c:v>
                </c:pt>
                <c:pt idx="10">
                  <c:v>25886.48197089999</c:v>
                </c:pt>
                <c:pt idx="11">
                  <c:v>25886.48197089999</c:v>
                </c:pt>
                <c:pt idx="12">
                  <c:v>25886.48197089999</c:v>
                </c:pt>
                <c:pt idx="13">
                  <c:v>25886.48197089999</c:v>
                </c:pt>
                <c:pt idx="14">
                  <c:v>25886.48197089999</c:v>
                </c:pt>
                <c:pt idx="15">
                  <c:v>25886.48197089999</c:v>
                </c:pt>
                <c:pt idx="16">
                  <c:v>25886.48197089999</c:v>
                </c:pt>
                <c:pt idx="17">
                  <c:v>25886.48197089999</c:v>
                </c:pt>
                <c:pt idx="18">
                  <c:v>25886.48197089999</c:v>
                </c:pt>
                <c:pt idx="19">
                  <c:v>25886.48197089999</c:v>
                </c:pt>
                <c:pt idx="20">
                  <c:v>25886.48197089999</c:v>
                </c:pt>
                <c:pt idx="21">
                  <c:v>25886.48197089999</c:v>
                </c:pt>
                <c:pt idx="22">
                  <c:v>25886.48197089999</c:v>
                </c:pt>
                <c:pt idx="23">
                  <c:v>25886.48197089999</c:v>
                </c:pt>
                <c:pt idx="24">
                  <c:v>25886.48197089999</c:v>
                </c:pt>
                <c:pt idx="25">
                  <c:v>25886.48197089999</c:v>
                </c:pt>
                <c:pt idx="26">
                  <c:v>25973.35890207025</c:v>
                </c:pt>
                <c:pt idx="27">
                  <c:v>26060.2358332405</c:v>
                </c:pt>
                <c:pt idx="28">
                  <c:v>26147.11276441076</c:v>
                </c:pt>
                <c:pt idx="29">
                  <c:v>26233.98969558101</c:v>
                </c:pt>
                <c:pt idx="30">
                  <c:v>26320.86662675127</c:v>
                </c:pt>
                <c:pt idx="31">
                  <c:v>26407.74355792153</c:v>
                </c:pt>
                <c:pt idx="32">
                  <c:v>26494.62048909178</c:v>
                </c:pt>
                <c:pt idx="33">
                  <c:v>26581.49742026204</c:v>
                </c:pt>
                <c:pt idx="34">
                  <c:v>26668.3743514323</c:v>
                </c:pt>
                <c:pt idx="35">
                  <c:v>26755.25128260255</c:v>
                </c:pt>
                <c:pt idx="36">
                  <c:v>26842.12821377281</c:v>
                </c:pt>
                <c:pt idx="37">
                  <c:v>26929.00514494306</c:v>
                </c:pt>
                <c:pt idx="38">
                  <c:v>27015.88207611332</c:v>
                </c:pt>
                <c:pt idx="39">
                  <c:v>27102.75900728357</c:v>
                </c:pt>
                <c:pt idx="40">
                  <c:v>27189.63593845383</c:v>
                </c:pt>
                <c:pt idx="41">
                  <c:v>27276.51286962409</c:v>
                </c:pt>
                <c:pt idx="42">
                  <c:v>27363.38980079434</c:v>
                </c:pt>
                <c:pt idx="43">
                  <c:v>27450.2667319646</c:v>
                </c:pt>
                <c:pt idx="44">
                  <c:v>27537.14366313486</c:v>
                </c:pt>
                <c:pt idx="45">
                  <c:v>27624.02059430511</c:v>
                </c:pt>
                <c:pt idx="46">
                  <c:v>27710.89752547537</c:v>
                </c:pt>
                <c:pt idx="47">
                  <c:v>27797.77445664562</c:v>
                </c:pt>
                <c:pt idx="48">
                  <c:v>27884.65138781588</c:v>
                </c:pt>
                <c:pt idx="49">
                  <c:v>27971.52831898614</c:v>
                </c:pt>
                <c:pt idx="50">
                  <c:v>28058.40525015639</c:v>
                </c:pt>
                <c:pt idx="51">
                  <c:v>28145.28218132665</c:v>
                </c:pt>
                <c:pt idx="52">
                  <c:v>28232.15911249691</c:v>
                </c:pt>
                <c:pt idx="53">
                  <c:v>28319.03604366716</c:v>
                </c:pt>
                <c:pt idx="54">
                  <c:v>28405.91297483742</c:v>
                </c:pt>
                <c:pt idx="55">
                  <c:v>28492.78990600767</c:v>
                </c:pt>
                <c:pt idx="56">
                  <c:v>28579.66683717793</c:v>
                </c:pt>
                <c:pt idx="57">
                  <c:v>28666.54376834819</c:v>
                </c:pt>
                <c:pt idx="58">
                  <c:v>28753.42069951844</c:v>
                </c:pt>
                <c:pt idx="59">
                  <c:v>28840.2976306887</c:v>
                </c:pt>
                <c:pt idx="60">
                  <c:v>28927.17456185896</c:v>
                </c:pt>
                <c:pt idx="61">
                  <c:v>29014.05149302921</c:v>
                </c:pt>
                <c:pt idx="62">
                  <c:v>29100.92842419947</c:v>
                </c:pt>
                <c:pt idx="63">
                  <c:v>29187.80535536972</c:v>
                </c:pt>
                <c:pt idx="64">
                  <c:v>29274.68228653998</c:v>
                </c:pt>
                <c:pt idx="65">
                  <c:v>29361.55921771023</c:v>
                </c:pt>
                <c:pt idx="66">
                  <c:v>29750.29525330006</c:v>
                </c:pt>
                <c:pt idx="67">
                  <c:v>30139.0312888899</c:v>
                </c:pt>
                <c:pt idx="68">
                  <c:v>30527.76732447973</c:v>
                </c:pt>
                <c:pt idx="69">
                  <c:v>30916.50336006956</c:v>
                </c:pt>
                <c:pt idx="70">
                  <c:v>31305.2393956594</c:v>
                </c:pt>
                <c:pt idx="71">
                  <c:v>31693.97543124922</c:v>
                </c:pt>
                <c:pt idx="72">
                  <c:v>32082.71146683906</c:v>
                </c:pt>
                <c:pt idx="73">
                  <c:v>32471.44750242888</c:v>
                </c:pt>
                <c:pt idx="74">
                  <c:v>32860.18353801872</c:v>
                </c:pt>
                <c:pt idx="75">
                  <c:v>33248.91957360855</c:v>
                </c:pt>
                <c:pt idx="76">
                  <c:v>33637.65560919838</c:v>
                </c:pt>
                <c:pt idx="77">
                  <c:v>34026.39164478821</c:v>
                </c:pt>
                <c:pt idx="78">
                  <c:v>34415.12768037804</c:v>
                </c:pt>
                <c:pt idx="79">
                  <c:v>34803.86371596788</c:v>
                </c:pt>
                <c:pt idx="80">
                  <c:v>35192.5997515577</c:v>
                </c:pt>
                <c:pt idx="81">
                  <c:v>35581.33578714754</c:v>
                </c:pt>
                <c:pt idx="82">
                  <c:v>35970.07182273737</c:v>
                </c:pt>
                <c:pt idx="83">
                  <c:v>36358.8078583272</c:v>
                </c:pt>
                <c:pt idx="84">
                  <c:v>36747.54389391703</c:v>
                </c:pt>
                <c:pt idx="85">
                  <c:v>37136.27992950687</c:v>
                </c:pt>
                <c:pt idx="86">
                  <c:v>37525.0159650967</c:v>
                </c:pt>
                <c:pt idx="87">
                  <c:v>37913.75200068653</c:v>
                </c:pt>
                <c:pt idx="88">
                  <c:v>39092.55026478848</c:v>
                </c:pt>
                <c:pt idx="89">
                  <c:v>41061.4107574026</c:v>
                </c:pt>
                <c:pt idx="90">
                  <c:v>43030.2712500167</c:v>
                </c:pt>
                <c:pt idx="91">
                  <c:v>44999.1317426308</c:v>
                </c:pt>
                <c:pt idx="92">
                  <c:v>46967.9922352449</c:v>
                </c:pt>
                <c:pt idx="93">
                  <c:v>48936.85272785902</c:v>
                </c:pt>
                <c:pt idx="94">
                  <c:v>50905.71322047312</c:v>
                </c:pt>
                <c:pt idx="95">
                  <c:v>52874.57371308721</c:v>
                </c:pt>
                <c:pt idx="96">
                  <c:v>54843.43420570132</c:v>
                </c:pt>
                <c:pt idx="97">
                  <c:v>56812.29469831542</c:v>
                </c:pt>
                <c:pt idx="98">
                  <c:v>62686.62544462248</c:v>
                </c:pt>
                <c:pt idx="99">
                  <c:v>72466.42644462247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9165560"/>
        <c:axId val="-1979174120"/>
      </c:lineChart>
      <c:catAx>
        <c:axId val="-1979165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791741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9791741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7916556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0.0854766846547668</c:v>
                </c:pt>
                <c:pt idx="1">
                  <c:v>0.0854766846547668</c:v>
                </c:pt>
                <c:pt idx="2" formatCode="0.0%">
                  <c:v>0.0854766846547668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0.0694287826899128</c:v>
                </c:pt>
                <c:pt idx="1">
                  <c:v>0.0694287826899128</c:v>
                </c:pt>
                <c:pt idx="2" formatCode="0.0%">
                  <c:v>0.0694287826899128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</c:v>
                </c:pt>
                <c:pt idx="1">
                  <c:v>0.05</c:v>
                </c:pt>
                <c:pt idx="2" formatCode="0.0%">
                  <c:v>0.05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0.162453575342466</c:v>
                </c:pt>
                <c:pt idx="1">
                  <c:v>0.162453575342466</c:v>
                </c:pt>
                <c:pt idx="2" formatCode="0.0%">
                  <c:v>0.171421737755643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0.0385614881693649</c:v>
                </c:pt>
                <c:pt idx="1">
                  <c:v>0.0385614881693649</c:v>
                </c:pt>
                <c:pt idx="2" formatCode="0.0%">
                  <c:v>0.0385614881693649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0.0667732901618929</c:v>
                </c:pt>
                <c:pt idx="1">
                  <c:v>0.0667732901618929</c:v>
                </c:pt>
                <c:pt idx="2" formatCode="0.0%">
                  <c:v>0.0640241701590143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0.0019986799501868</c:v>
                </c:pt>
                <c:pt idx="1">
                  <c:v>0.0019986799501868</c:v>
                </c:pt>
                <c:pt idx="2" formatCode="0.0%">
                  <c:v>0.00212880911270215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0.0379514321295143</c:v>
                </c:pt>
                <c:pt idx="1">
                  <c:v>0.0379514321295143</c:v>
                </c:pt>
                <c:pt idx="2" formatCode="0.0%">
                  <c:v>0.0411743776664099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0.104822073474471</c:v>
                </c:pt>
                <c:pt idx="1">
                  <c:v>0.104822073474471</c:v>
                </c:pt>
                <c:pt idx="2" formatCode="0.0%">
                  <c:v>0.111373793917635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0.00706032932060329</c:v>
                </c:pt>
                <c:pt idx="1">
                  <c:v>0.00706032932060329</c:v>
                </c:pt>
                <c:pt idx="2" formatCode="0.0%">
                  <c:v>0.00805041098239175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0.0225716064757161</c:v>
                </c:pt>
                <c:pt idx="1">
                  <c:v>0.0225716064757161</c:v>
                </c:pt>
                <c:pt idx="2" formatCode="0.0%">
                  <c:v>0.0225716064757161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0.011706102117061</c:v>
                </c:pt>
                <c:pt idx="1">
                  <c:v>0.011706102117061</c:v>
                </c:pt>
                <c:pt idx="2" formatCode="0.0%">
                  <c:v>0.0120871799541279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0.0534777235367372</c:v>
                </c:pt>
                <c:pt idx="1">
                  <c:v>0.0534777235367372</c:v>
                </c:pt>
                <c:pt idx="2" formatCode="0.0%">
                  <c:v>0.0534777235367372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0.0256330427563304</c:v>
                </c:pt>
                <c:pt idx="1">
                  <c:v>0.0256330427563304</c:v>
                </c:pt>
                <c:pt idx="2" formatCode="0.0%">
                  <c:v>0.0256330427563304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0.105820105820106</c:v>
                </c:pt>
                <c:pt idx="1">
                  <c:v>0.105820105820106</c:v>
                </c:pt>
                <c:pt idx="2" formatCode="0.0%">
                  <c:v>0.105820105820106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0.027003904109589</c:v>
                </c:pt>
                <c:pt idx="1">
                  <c:v>0.027003904109589</c:v>
                </c:pt>
                <c:pt idx="2" formatCode="0.0%">
                  <c:v>0.0234875878268373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0.2056184</c:v>
                </c:pt>
                <c:pt idx="1">
                  <c:v>0.2056184</c:v>
                </c:pt>
                <c:pt idx="2" formatCode="0.0%">
                  <c:v>0.2080948796117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0.605608714819427</c:v>
                </c:pt>
                <c:pt idx="1">
                  <c:v>0.605608714819427</c:v>
                </c:pt>
                <c:pt idx="2" formatCode="0.0%">
                  <c:v>-0.0928123810893957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6946232"/>
        <c:axId val="1836935464"/>
      </c:barChart>
      <c:catAx>
        <c:axId val="1836946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6935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6935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6946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0.0140800124533001</c:v>
                </c:pt>
                <c:pt idx="1">
                  <c:v>0.0140800124533001</c:v>
                </c:pt>
                <c:pt idx="2" formatCode="0.0%">
                  <c:v>0.0140800124533001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0.00234666874221669</c:v>
                </c:pt>
                <c:pt idx="1">
                  <c:v>0.00234666874221669</c:v>
                </c:pt>
                <c:pt idx="2" formatCode="0.0%">
                  <c:v>0.00234666874221669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0.005906425124533</c:v>
                </c:pt>
                <c:pt idx="1">
                  <c:v>0.005906425124533</c:v>
                </c:pt>
                <c:pt idx="2" formatCode="0.0%">
                  <c:v>0.005906425124533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0.0425</c:v>
                </c:pt>
                <c:pt idx="1">
                  <c:v>0.0425</c:v>
                </c:pt>
                <c:pt idx="2" formatCode="0.0%">
                  <c:v>0.0425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0.0887185787671233</c:v>
                </c:pt>
                <c:pt idx="1">
                  <c:v>0.0887185787671233</c:v>
                </c:pt>
                <c:pt idx="2" formatCode="0.0%">
                  <c:v>0.0887185787671233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0.0441882067247821</c:v>
                </c:pt>
                <c:pt idx="1">
                  <c:v>0.0441882067247821</c:v>
                </c:pt>
                <c:pt idx="2" formatCode="0.0%">
                  <c:v>0.0441882067247821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0.0498583748443337</c:v>
                </c:pt>
                <c:pt idx="1">
                  <c:v>0.0498583748443337</c:v>
                </c:pt>
                <c:pt idx="2" formatCode="0.0%">
                  <c:v>0.0623229685554172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0.0259884806973848</c:v>
                </c:pt>
                <c:pt idx="1">
                  <c:v>0.0259884806973848</c:v>
                </c:pt>
                <c:pt idx="2" formatCode="0.0%">
                  <c:v>0.0259884806973848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0.0330189531444583</c:v>
                </c:pt>
                <c:pt idx="1">
                  <c:v>0.0330189531444583</c:v>
                </c:pt>
                <c:pt idx="2" formatCode="0.0%">
                  <c:v>0.0330189531444583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0.006109900373599</c:v>
                </c:pt>
                <c:pt idx="1">
                  <c:v>0.006109900373599</c:v>
                </c:pt>
                <c:pt idx="2" formatCode="0.0%">
                  <c:v>0.006109900373599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0.0253930572851806</c:v>
                </c:pt>
                <c:pt idx="1">
                  <c:v>0.0253930572851806</c:v>
                </c:pt>
                <c:pt idx="2" formatCode="0.0%">
                  <c:v>0.0253930572851806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0.1812987375467</c:v>
                </c:pt>
                <c:pt idx="1">
                  <c:v>0.1812987375467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0.575179898816937</c:v>
                </c:pt>
                <c:pt idx="1">
                  <c:v>0.575179898816937</c:v>
                </c:pt>
                <c:pt idx="2" formatCode="0.0%">
                  <c:v>0.305742355142389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6538520"/>
        <c:axId val="1836533720"/>
      </c:barChart>
      <c:catAx>
        <c:axId val="1836538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6533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6533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6538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0.00567372353673724</c:v>
                </c:pt>
                <c:pt idx="1">
                  <c:v>0.00567372353673724</c:v>
                </c:pt>
                <c:pt idx="2">
                  <c:v>0.011013698630137</c:v>
                </c:pt>
                <c:pt idx="3">
                  <c:v>0.011013698630137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0.10468629358655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0.354874315068493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0.22204573879203</c:v>
                </c:pt>
                <c:pt idx="3">
                  <c:v>0.109365811643836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0.0219963418430884</c:v>
                </c:pt>
                <c:pt idx="1">
                  <c:v>0.0219963418430884</c:v>
                </c:pt>
                <c:pt idx="2">
                  <c:v>0.0219963418430884</c:v>
                </c:pt>
                <c:pt idx="3">
                  <c:v>0.0219963418430884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0.103953922789539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0.12429918873325</c:v>
                </c:pt>
                <c:pt idx="1">
                  <c:v>0.0745964189439601</c:v>
                </c:pt>
                <c:pt idx="2">
                  <c:v>0.0994478038386052</c:v>
                </c:pt>
                <c:pt idx="3">
                  <c:v>0.12429918873325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-1.106859718097033</c:v>
                </c:pt>
                <c:pt idx="1">
                  <c:v>-1.007745857870575</c:v>
                </c:pt>
                <c:pt idx="2">
                  <c:v>-1.284688501869233</c:v>
                </c:pt>
                <c:pt idx="3">
                  <c:v>3.995465278393382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1536312"/>
        <c:axId val="1867458424"/>
      </c:barChart>
      <c:catAx>
        <c:axId val="19115363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74584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67458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15363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0.00957440846824408</c:v>
                </c:pt>
                <c:pt idx="1">
                  <c:v>0.00957440846824408</c:v>
                </c:pt>
                <c:pt idx="2">
                  <c:v>0.0185856164383562</c:v>
                </c:pt>
                <c:pt idx="3">
                  <c:v>0.0185856164383562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0.00938667496886675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0.0171194501970617</c:v>
                </c:pt>
                <c:pt idx="1">
                  <c:v>0.00650625030107035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0.123183925646166</c:v>
                </c:pt>
                <c:pt idx="1">
                  <c:v>0.0468160743538339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0.257145948477243</c:v>
                </c:pt>
                <c:pt idx="1">
                  <c:v>0.0977283665912497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0.118424394022416</c:v>
                </c:pt>
                <c:pt idx="3">
                  <c:v>0.0583284328767123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0.249291874221669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-1.605538079579386</c:v>
                </c:pt>
                <c:pt idx="1">
                  <c:v>-1.605538079579386</c:v>
                </c:pt>
                <c:pt idx="2">
                  <c:v>-1.605538079579386</c:v>
                </c:pt>
                <c:pt idx="3">
                  <c:v>-1.605538079579386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2129880"/>
        <c:axId val="1812275656"/>
      </c:barChart>
      <c:catAx>
        <c:axId val="181212988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2756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12275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129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0.00886519302615193</c:v>
                </c:pt>
                <c:pt idx="1">
                  <c:v>0.00886519302615193</c:v>
                </c:pt>
                <c:pt idx="2">
                  <c:v>0.017208904109589</c:v>
                </c:pt>
                <c:pt idx="3">
                  <c:v>0.017208904109589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0.100827070988717</c:v>
                </c:pt>
                <c:pt idx="1">
                  <c:v>0.0849198156862521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0.0922793505447847</c:v>
                </c:pt>
                <c:pt idx="1">
                  <c:v>0.0777206494552153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0.317180106912351</c:v>
                </c:pt>
                <c:pt idx="1">
                  <c:v>0.267139330283201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0.269785383242807</c:v>
                </c:pt>
                <c:pt idx="3">
                  <c:v>0.13287936786586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0.0097849246919627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0.251563437784122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0.120740227373457</c:v>
                </c:pt>
                <c:pt idx="1">
                  <c:v>0.0724605580802964</c:v>
                </c:pt>
                <c:pt idx="2">
                  <c:v>0.0966003927268767</c:v>
                </c:pt>
                <c:pt idx="3">
                  <c:v>0.120740227373457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0.213747607640842</c:v>
                </c:pt>
                <c:pt idx="1">
                  <c:v>0.213747607640842</c:v>
                </c:pt>
                <c:pt idx="2">
                  <c:v>0.213747607640842</c:v>
                </c:pt>
                <c:pt idx="3">
                  <c:v>0.213747607640842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-0.304135055072139</c:v>
                </c:pt>
                <c:pt idx="2">
                  <c:v>-0.552003868071088</c:v>
                </c:pt>
                <c:pt idx="3">
                  <c:v>-0.244438048770151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2299912"/>
        <c:axId val="1812303288"/>
      </c:barChart>
      <c:catAx>
        <c:axId val="18122999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3032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12303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299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0.0581241455652414</c:v>
                </c:pt>
                <c:pt idx="1">
                  <c:v>0.0581241455652414</c:v>
                </c:pt>
                <c:pt idx="2">
                  <c:v>0.112829223744292</c:v>
                </c:pt>
                <c:pt idx="3">
                  <c:v>0.112829223744292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0.099787727849421</c:v>
                </c:pt>
                <c:pt idx="1">
                  <c:v>0.109035076147552</c:v>
                </c:pt>
                <c:pt idx="2">
                  <c:v>0.0576146020675595</c:v>
                </c:pt>
                <c:pt idx="3">
                  <c:v>0.0112777246951184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0.0718633713449213</c:v>
                </c:pt>
                <c:pt idx="1">
                  <c:v>0.0785229640526262</c:v>
                </c:pt>
                <c:pt idx="2">
                  <c:v>0.0414918711198506</c:v>
                </c:pt>
                <c:pt idx="3">
                  <c:v>0.00812179348260193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0.24637887993851</c:v>
                </c:pt>
                <c:pt idx="1">
                  <c:v>0.269210859032502</c:v>
                </c:pt>
                <c:pt idx="2">
                  <c:v>0.142252173001959</c:v>
                </c:pt>
                <c:pt idx="3">
                  <c:v>0.0278450390496016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0.0554231708785572</c:v>
                </c:pt>
                <c:pt idx="1">
                  <c:v>0.0605592469867762</c:v>
                </c:pt>
                <c:pt idx="2">
                  <c:v>0.0319997659462586</c:v>
                </c:pt>
                <c:pt idx="3">
                  <c:v>0.00626376886586755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0.171584776026158</c:v>
                </c:pt>
                <c:pt idx="3">
                  <c:v>0.0845119046098988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0.00851523645080859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0.164697510665639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0.131020131164706</c:v>
                </c:pt>
                <c:pt idx="1">
                  <c:v>0.0786298985058502</c:v>
                </c:pt>
                <c:pt idx="2">
                  <c:v>0.104825014835278</c:v>
                </c:pt>
                <c:pt idx="3">
                  <c:v>0.131020131164706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0.2080948796117</c:v>
                </c:pt>
                <c:pt idx="1">
                  <c:v>0.2080948796117</c:v>
                </c:pt>
                <c:pt idx="2">
                  <c:v>0.2080948796117</c:v>
                </c:pt>
                <c:pt idx="3">
                  <c:v>0.2080948796117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0.116030330463631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7510472"/>
        <c:axId val="1857507016"/>
      </c:barChart>
      <c:catAx>
        <c:axId val="18575104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750701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57507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7510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0.0204373594931535</c:v>
                </c:pt>
                <c:pt idx="1">
                  <c:v>0.0204373594931535</c:v>
                </c:pt>
                <c:pt idx="2">
                  <c:v>0.0204373594931535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0.0265685673410995</c:v>
                </c:pt>
                <c:pt idx="1">
                  <c:v>0.0265685673410995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0.00147148988350705</c:v>
                </c:pt>
                <c:pt idx="1">
                  <c:v>0.00147148988350705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0.00613120784794604</c:v>
                </c:pt>
                <c:pt idx="1">
                  <c:v>0.00613120784794604</c:v>
                </c:pt>
                <c:pt idx="2">
                  <c:v>0.00613120784794604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0.0453300633558144</c:v>
                </c:pt>
                <c:pt idx="1">
                  <c:v>0.0453300633558144</c:v>
                </c:pt>
                <c:pt idx="2">
                  <c:v>0.0453300633558144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0.900061312078479</c:v>
                </c:pt>
                <c:pt idx="1">
                  <c:v>0.900061312078479</c:v>
                </c:pt>
                <c:pt idx="2">
                  <c:v>0.900061312078479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6356616"/>
        <c:axId val="1836350536"/>
      </c:barChart>
      <c:catAx>
        <c:axId val="1836356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6350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6350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63566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cni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</sheetNames>
    <definedNames>
      <definedName name="wb_summary" refersTo="='WB'!$CK$9"/>
    </definedNames>
    <sheetDataSet>
      <sheetData sheetId="0" refreshError="1"/>
      <sheetData sheetId="1">
        <row r="1">
          <cell r="B1" t="str">
            <v>ZACNI</v>
          </cell>
          <cell r="D1">
            <v>59106</v>
          </cell>
        </row>
        <row r="2">
          <cell r="A2" t="str">
            <v>Coastal open access non-crop income</v>
          </cell>
        </row>
        <row r="9">
          <cell r="CK9">
            <v>0.5</v>
          </cell>
        </row>
        <row r="10">
          <cell r="CK10">
            <v>0.3</v>
          </cell>
        </row>
        <row r="11">
          <cell r="CK11">
            <v>0.15</v>
          </cell>
        </row>
        <row r="12">
          <cell r="CK12">
            <v>0.05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13579.12894961681</v>
          </cell>
          <cell r="E1031">
            <v>13579.12894961681</v>
          </cell>
          <cell r="H1031">
            <v>13579.12894961681</v>
          </cell>
          <cell r="J1031">
            <v>15276.520068318912</v>
          </cell>
        </row>
        <row r="1032">
          <cell r="C1032">
            <v>13978.666666666668</v>
          </cell>
          <cell r="E1032">
            <v>13978.666666666668</v>
          </cell>
          <cell r="H1032">
            <v>13978.666666666668</v>
          </cell>
          <cell r="J1032">
            <v>15726.000000000002</v>
          </cell>
        </row>
        <row r="1033">
          <cell r="C1033">
            <v>27744</v>
          </cell>
          <cell r="E1033">
            <v>27744</v>
          </cell>
          <cell r="H1033">
            <v>27744</v>
          </cell>
          <cell r="J1033">
            <v>31212</v>
          </cell>
        </row>
        <row r="1034">
          <cell r="C1034">
            <v>2800</v>
          </cell>
          <cell r="E1034">
            <v>3740</v>
          </cell>
          <cell r="H1034">
            <v>7510</v>
          </cell>
          <cell r="J1034">
            <v>11510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0.64232512570888012</v>
          </cell>
          <cell r="E1038">
            <v>0.64232512570888012</v>
          </cell>
          <cell r="H1038">
            <v>0.64232512570888012</v>
          </cell>
          <cell r="J1038">
            <v>0.64232512570888012</v>
          </cell>
        </row>
        <row r="1039">
          <cell r="C1039">
            <v>8</v>
          </cell>
          <cell r="E1039">
            <v>8</v>
          </cell>
          <cell r="H1039">
            <v>8</v>
          </cell>
          <cell r="J1039">
            <v>9</v>
          </cell>
        </row>
        <row r="1040">
          <cell r="C1040">
            <v>4.509345794392523</v>
          </cell>
          <cell r="E1040">
            <v>4.509345794392523</v>
          </cell>
          <cell r="H1040">
            <v>4.509345794392523</v>
          </cell>
          <cell r="J1040">
            <v>4.509345794392523</v>
          </cell>
        </row>
        <row r="1044">
          <cell r="A1044" t="str">
            <v>Cows' milk - season 1</v>
          </cell>
          <cell r="C1044">
            <v>1.4080012453300126E-2</v>
          </cell>
          <cell r="D1044">
            <v>0</v>
          </cell>
          <cell r="E1044">
            <v>8.3437110834371116E-3</v>
          </cell>
          <cell r="F1044">
            <v>0</v>
          </cell>
          <cell r="H1044">
            <v>1.3037048567870486E-2</v>
          </cell>
          <cell r="I1044">
            <v>0</v>
          </cell>
          <cell r="J1044">
            <v>8.5476684654766849E-2</v>
          </cell>
          <cell r="K1044">
            <v>0</v>
          </cell>
        </row>
        <row r="1045">
          <cell r="A1045" t="str">
            <v>Cows' milk - season 2</v>
          </cell>
          <cell r="C1045">
            <v>2.3466687422166875E-3</v>
          </cell>
          <cell r="D1045">
            <v>0</v>
          </cell>
          <cell r="E1045">
            <v>0</v>
          </cell>
          <cell r="F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Own meat</v>
          </cell>
          <cell r="C1046">
            <v>5.906425124533001E-3</v>
          </cell>
          <cell r="D1046">
            <v>0</v>
          </cell>
          <cell r="E1046">
            <v>2.6171573396637608E-2</v>
          </cell>
          <cell r="F1046">
            <v>0</v>
          </cell>
          <cell r="H1046">
            <v>4.6436721668742222E-2</v>
          </cell>
          <cell r="I1046">
            <v>0</v>
          </cell>
          <cell r="J1046">
            <v>6.942878268991283E-2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4.2500000000000003E-2</v>
          </cell>
          <cell r="D1047">
            <v>0</v>
          </cell>
          <cell r="E1047">
            <v>4.2500000000000003E-2</v>
          </cell>
          <cell r="F1047">
            <v>0</v>
          </cell>
          <cell r="H1047">
            <v>4.2500000000000003E-2</v>
          </cell>
          <cell r="I1047">
            <v>0</v>
          </cell>
          <cell r="J1047">
            <v>0.05</v>
          </cell>
          <cell r="K1047">
            <v>0</v>
          </cell>
        </row>
        <row r="1048">
          <cell r="A1048" t="str">
            <v>Maize: kg produced</v>
          </cell>
          <cell r="C1048">
            <v>8.8718578767123274E-2</v>
          </cell>
          <cell r="D1048">
            <v>0</v>
          </cell>
          <cell r="E1048">
            <v>8.8718578767123274E-2</v>
          </cell>
          <cell r="F1048">
            <v>0</v>
          </cell>
          <cell r="H1048">
            <v>0.13307786815068492</v>
          </cell>
          <cell r="I1048">
            <v>7.3932148972602724E-2</v>
          </cell>
          <cell r="J1048">
            <v>0.16245357534246571</v>
          </cell>
          <cell r="K1048">
            <v>6.8871904109589072E-2</v>
          </cell>
        </row>
        <row r="1049">
          <cell r="A1049" t="str">
            <v>Sorghum: kg produced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H1049">
            <v>0</v>
          </cell>
          <cell r="I1049">
            <v>0</v>
          </cell>
          <cell r="J1049">
            <v>3.8561488169364881E-2</v>
          </cell>
          <cell r="K1049">
            <v>0</v>
          </cell>
        </row>
        <row r="1050">
          <cell r="A1050" t="str">
            <v>Beans: kg produced</v>
          </cell>
          <cell r="C1050">
            <v>4.4188206724782075E-2</v>
          </cell>
          <cell r="D1050">
            <v>0</v>
          </cell>
          <cell r="E1050">
            <v>8.2852887608966391E-2</v>
          </cell>
          <cell r="F1050">
            <v>0</v>
          </cell>
          <cell r="H1050">
            <v>0.10770875389165629</v>
          </cell>
          <cell r="I1050">
            <v>-4.0045562344333749E-2</v>
          </cell>
          <cell r="J1050">
            <v>6.6773290161892901E-2</v>
          </cell>
          <cell r="K1050">
            <v>-2.1112143212951434E-2</v>
          </cell>
        </row>
        <row r="1051">
          <cell r="A1051" t="str">
            <v>Cassava: no. local meas.</v>
          </cell>
          <cell r="C1051">
            <v>4.9858374844333753E-2</v>
          </cell>
          <cell r="D1051">
            <v>1.2464593711083438E-2</v>
          </cell>
          <cell r="E1051">
            <v>0</v>
          </cell>
          <cell r="F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Water melon: no. local meas (Bhece)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H1052">
            <v>2.2485149439601493E-3</v>
          </cell>
          <cell r="I1052">
            <v>1.1242574719800748E-3</v>
          </cell>
          <cell r="J1052">
            <v>1.9986799501867992E-3</v>
          </cell>
          <cell r="K1052">
            <v>9.9933997509339982E-4</v>
          </cell>
        </row>
        <row r="1053">
          <cell r="A1053" t="str">
            <v>Pumpkin: no. local meas</v>
          </cell>
          <cell r="C1053">
            <v>0</v>
          </cell>
          <cell r="D1053">
            <v>0</v>
          </cell>
          <cell r="E1053">
            <v>2.1996341843088418E-2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Sweet poatato: no. local meas</v>
          </cell>
          <cell r="C1054">
            <v>2.5988480697384807E-2</v>
          </cell>
          <cell r="D1054">
            <v>0</v>
          </cell>
          <cell r="E1054">
            <v>2.5988480697384807E-2</v>
          </cell>
          <cell r="F1054">
            <v>0</v>
          </cell>
          <cell r="H1054">
            <v>6.125856164383562E-2</v>
          </cell>
          <cell r="I1054">
            <v>9.281600249065998E-3</v>
          </cell>
          <cell r="J1054">
            <v>3.7951432129514323E-2</v>
          </cell>
          <cell r="K1054">
            <v>2.4750933997509342E-2</v>
          </cell>
        </row>
        <row r="1055">
          <cell r="A1055" t="str">
            <v>Groundnuts (dry): no. local meas</v>
          </cell>
          <cell r="C1055">
            <v>3.3018953144458282E-2</v>
          </cell>
          <cell r="D1055">
            <v>0</v>
          </cell>
          <cell r="E1055">
            <v>5.849071699875466E-2</v>
          </cell>
          <cell r="F1055">
            <v>4.7169933063511846E-2</v>
          </cell>
          <cell r="H1055">
            <v>9.4339866127023678E-2</v>
          </cell>
          <cell r="I1055">
            <v>4.7169933063511818E-2</v>
          </cell>
          <cell r="J1055">
            <v>0.10482207347447074</v>
          </cell>
          <cell r="K1055">
            <v>5.0314595267745968E-2</v>
          </cell>
        </row>
        <row r="1056">
          <cell r="A1056" t="str">
            <v>Irish potato: type</v>
          </cell>
          <cell r="C1056">
            <v>6.1099003735990039E-3</v>
          </cell>
          <cell r="D1056">
            <v>0</v>
          </cell>
          <cell r="E1056">
            <v>8.3094645080946453E-3</v>
          </cell>
          <cell r="F1056">
            <v>2.1995641344956414E-3</v>
          </cell>
          <cell r="H1056">
            <v>2.4561799501867997E-2</v>
          </cell>
          <cell r="I1056">
            <v>2.358421544209215E-2</v>
          </cell>
          <cell r="J1056">
            <v>7.0603293206032928E-3</v>
          </cell>
          <cell r="K1056">
            <v>7.6034315760343165E-3</v>
          </cell>
        </row>
        <row r="1057">
          <cell r="A1057" t="str">
            <v>Yam: type</v>
          </cell>
          <cell r="C1057">
            <v>2.5393057285180574E-2</v>
          </cell>
          <cell r="D1057">
            <v>0</v>
          </cell>
          <cell r="E1057">
            <v>2.082230697384807E-2</v>
          </cell>
          <cell r="F1057">
            <v>0</v>
          </cell>
          <cell r="H1057">
            <v>2.0991594022415939E-2</v>
          </cell>
          <cell r="I1057">
            <v>0</v>
          </cell>
          <cell r="J1057">
            <v>2.2571606475716065E-2</v>
          </cell>
          <cell r="K1057">
            <v>0</v>
          </cell>
        </row>
        <row r="1058">
          <cell r="A1058" t="str">
            <v>FISHING -- see worksheet Data 3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  <cell r="H1058">
            <v>0</v>
          </cell>
          <cell r="I1058">
            <v>0</v>
          </cell>
          <cell r="J1058">
            <v>1.1706102117061022E-2</v>
          </cell>
          <cell r="K1058">
            <v>2.9265255292652559E-3</v>
          </cell>
        </row>
        <row r="1059">
          <cell r="A1059" t="str">
            <v>Labour: Land clearing, construction, herding, slaughtering</v>
          </cell>
          <cell r="C1059">
            <v>0</v>
          </cell>
          <cell r="D1059">
            <v>0</v>
          </cell>
          <cell r="E1059">
            <v>5.6779890410958905E-2</v>
          </cell>
          <cell r="F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</row>
        <row r="1060">
          <cell r="A1060" t="str">
            <v>Labour: Weeding</v>
          </cell>
          <cell r="C1060">
            <v>0</v>
          </cell>
          <cell r="D1060">
            <v>0</v>
          </cell>
          <cell r="E1060">
            <v>1.8926630136986301E-2</v>
          </cell>
          <cell r="F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>Gifts/remittances: cereal</v>
          </cell>
          <cell r="C1061">
            <v>0</v>
          </cell>
          <cell r="D1061">
            <v>0</v>
          </cell>
          <cell r="E1061">
            <v>0</v>
          </cell>
          <cell r="F1061">
            <v>0</v>
          </cell>
          <cell r="H1061">
            <v>1.7694834993773351E-2</v>
          </cell>
          <cell r="I1061">
            <v>0</v>
          </cell>
          <cell r="J1061">
            <v>5.3477723536737236E-2</v>
          </cell>
          <cell r="K1061">
            <v>0</v>
          </cell>
        </row>
        <row r="1062">
          <cell r="A1062" t="str">
            <v>Gifts/remittances: Other</v>
          </cell>
          <cell r="C1062">
            <v>0</v>
          </cell>
          <cell r="D1062">
            <v>0</v>
          </cell>
          <cell r="E1062">
            <v>0</v>
          </cell>
          <cell r="F1062">
            <v>0</v>
          </cell>
          <cell r="H1062">
            <v>2.3069738480697384E-2</v>
          </cell>
          <cell r="I1062">
            <v>0</v>
          </cell>
          <cell r="J1062">
            <v>2.5633042756330427E-2</v>
          </cell>
          <cell r="K1062">
            <v>0</v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0.10582010582010581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3.314115504358655E-2</v>
          </cell>
          <cell r="F1065">
            <v>-3.314115504358655E-2</v>
          </cell>
          <cell r="H1065">
            <v>3.314115504358655E-2</v>
          </cell>
          <cell r="I1065">
            <v>-3.314115504358655E-2</v>
          </cell>
          <cell r="J1065">
            <v>2.7003904109589038E-2</v>
          </cell>
          <cell r="K1065">
            <v>-2.7003904109589038E-2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0.18129873754669984</v>
          </cell>
          <cell r="D1067">
            <v>4.3338036395297215E-2</v>
          </cell>
          <cell r="E1067">
            <v>0.19715891469489413</v>
          </cell>
          <cell r="F1067">
            <v>2.7477859247102939E-2</v>
          </cell>
          <cell r="H1067">
            <v>0.21142394971980072</v>
          </cell>
          <cell r="I1067">
            <v>1.3212824222196339E-2</v>
          </cell>
          <cell r="J1067">
            <v>0.20561839999999998</v>
          </cell>
          <cell r="K1067">
            <v>1.9018373941997086E-2</v>
          </cell>
        </row>
        <row r="1068">
          <cell r="A1068" t="str">
            <v>Purchase - staple</v>
          </cell>
          <cell r="C1068">
            <v>0.57517989881693654</v>
          </cell>
          <cell r="E1068">
            <v>0.57048734589041095</v>
          </cell>
          <cell r="H1068">
            <v>0.56457277397260275</v>
          </cell>
          <cell r="J1068">
            <v>0.60560871481942702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2000</v>
          </cell>
          <cell r="I1072">
            <v>0</v>
          </cell>
          <cell r="J1072">
            <v>8000</v>
          </cell>
          <cell r="K1072">
            <v>2000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500</v>
          </cell>
          <cell r="F1073">
            <v>0</v>
          </cell>
          <cell r="H1073">
            <v>1500</v>
          </cell>
          <cell r="I1073">
            <v>1000</v>
          </cell>
          <cell r="J1073">
            <v>2500</v>
          </cell>
          <cell r="K1073">
            <v>500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550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500</v>
          </cell>
          <cell r="I1075">
            <v>-500</v>
          </cell>
          <cell r="J1075">
            <v>655</v>
          </cell>
          <cell r="K1075">
            <v>-655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1250</v>
          </cell>
          <cell r="I1076">
            <v>1812.5</v>
          </cell>
          <cell r="J1076">
            <v>1250</v>
          </cell>
          <cell r="K1076">
            <v>1075</v>
          </cell>
        </row>
        <row r="1077">
          <cell r="A1077" t="str">
            <v>Water melon: no. local meas (Bhece)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99</v>
          </cell>
          <cell r="I1077">
            <v>-99</v>
          </cell>
          <cell r="J1077">
            <v>99</v>
          </cell>
          <cell r="K1077">
            <v>-99</v>
          </cell>
        </row>
        <row r="1078">
          <cell r="A1078" t="str">
            <v>Sweet poatato: no. local meas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250</v>
          </cell>
          <cell r="I1078">
            <v>-250</v>
          </cell>
          <cell r="J1078">
            <v>750</v>
          </cell>
          <cell r="K1078">
            <v>-750</v>
          </cell>
        </row>
        <row r="1079">
          <cell r="A1079" t="str">
            <v>Groundnuts (dry): no. local meas</v>
          </cell>
          <cell r="C1079">
            <v>0</v>
          </cell>
          <cell r="D1079">
            <v>0</v>
          </cell>
          <cell r="E1079">
            <v>650</v>
          </cell>
          <cell r="F1079">
            <v>-650</v>
          </cell>
          <cell r="H1079">
            <v>250</v>
          </cell>
          <cell r="I1079">
            <v>-250</v>
          </cell>
          <cell r="J1079">
            <v>1140</v>
          </cell>
          <cell r="K1079">
            <v>-1140</v>
          </cell>
        </row>
        <row r="1080">
          <cell r="A1080" t="str">
            <v>Irish potato: type</v>
          </cell>
          <cell r="C1080">
            <v>0</v>
          </cell>
          <cell r="D1080">
            <v>0</v>
          </cell>
          <cell r="E1080">
            <v>36</v>
          </cell>
          <cell r="F1080">
            <v>-36</v>
          </cell>
          <cell r="H1080">
            <v>772</v>
          </cell>
          <cell r="I1080">
            <v>-772</v>
          </cell>
          <cell r="J1080">
            <v>280</v>
          </cell>
          <cell r="K1080">
            <v>-280</v>
          </cell>
        </row>
        <row r="1081">
          <cell r="A1081" t="str">
            <v>Yam: type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400</v>
          </cell>
          <cell r="I1081">
            <v>0</v>
          </cell>
          <cell r="J1081">
            <v>500</v>
          </cell>
          <cell r="K1081">
            <v>0</v>
          </cell>
        </row>
        <row r="1082">
          <cell r="A1082" t="str">
            <v>Spinach (cash): kg produced</v>
          </cell>
          <cell r="C1082">
            <v>0</v>
          </cell>
          <cell r="D1082">
            <v>0</v>
          </cell>
          <cell r="E1082">
            <v>150</v>
          </cell>
          <cell r="F1082">
            <v>0</v>
          </cell>
          <cell r="H1082">
            <v>100</v>
          </cell>
          <cell r="I1082">
            <v>0</v>
          </cell>
          <cell r="J1082">
            <v>300</v>
          </cell>
          <cell r="K1082">
            <v>0</v>
          </cell>
        </row>
        <row r="1083">
          <cell r="A1083" t="str">
            <v>Tomatoes (cash):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500</v>
          </cell>
          <cell r="K1083">
            <v>0</v>
          </cell>
        </row>
        <row r="1084">
          <cell r="A1084" t="str">
            <v>Cabbage (cash): kg produced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300</v>
          </cell>
          <cell r="K1084">
            <v>0</v>
          </cell>
        </row>
        <row r="1085">
          <cell r="A1085" t="str">
            <v>Agricultural cash income -- see Data2</v>
          </cell>
          <cell r="C1085">
            <v>0</v>
          </cell>
          <cell r="D1085">
            <v>0</v>
          </cell>
          <cell r="E1085">
            <v>1109</v>
          </cell>
          <cell r="F1085">
            <v>0</v>
          </cell>
          <cell r="H1085">
            <v>752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Labour migration(formal employment): no. people per HH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11000</v>
          </cell>
          <cell r="K1086">
            <v>0</v>
          </cell>
        </row>
        <row r="1087">
          <cell r="A1087" t="str">
            <v>Formal Employment (conservancies, etc.)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0</v>
          </cell>
          <cell r="I1087">
            <v>0</v>
          </cell>
          <cell r="J1087">
            <v>23760</v>
          </cell>
          <cell r="K1087">
            <v>0</v>
          </cell>
        </row>
        <row r="1088">
          <cell r="A1088" t="str">
            <v>Self-employment -- see Data2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429</v>
          </cell>
          <cell r="I1088">
            <v>85.799999999999955</v>
          </cell>
          <cell r="J1088">
            <v>0</v>
          </cell>
          <cell r="K1088">
            <v>0</v>
          </cell>
        </row>
        <row r="1089">
          <cell r="A1089" t="str">
            <v>Small business -- see Data2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2160</v>
          </cell>
          <cell r="I1089">
            <v>0</v>
          </cell>
          <cell r="J1089">
            <v>0</v>
          </cell>
          <cell r="K1089">
            <v>0</v>
          </cell>
        </row>
        <row r="1090">
          <cell r="A1090" t="str">
            <v>Social development -- see Data2</v>
          </cell>
          <cell r="C1090">
            <v>22020</v>
          </cell>
          <cell r="D1090">
            <v>0</v>
          </cell>
          <cell r="E1090">
            <v>22020</v>
          </cell>
          <cell r="F1090">
            <v>0</v>
          </cell>
          <cell r="H1090">
            <v>22020</v>
          </cell>
          <cell r="I1090">
            <v>0</v>
          </cell>
          <cell r="J1090">
            <v>6162</v>
          </cell>
          <cell r="K1090">
            <v>0</v>
          </cell>
        </row>
        <row r="1091">
          <cell r="A1091" t="str">
            <v>Public works -- see Data2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H1091">
            <v>371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Other income: e.g. Credit (cotton loans)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H1092">
            <v>1600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2" t="str">
        <f>Poor!Z1</f>
        <v>Apr-Jun</v>
      </c>
      <c r="AA1" s="253"/>
      <c r="AB1" s="252" t="str">
        <f>Poor!AB1</f>
        <v>Jul-Sep</v>
      </c>
      <c r="AC1" s="253"/>
      <c r="AD1" s="252" t="str">
        <f>Poor!AD1</f>
        <v>Oct-Dec</v>
      </c>
      <c r="AE1" s="253"/>
      <c r="AF1" s="252" t="str">
        <f>Poor!AF1</f>
        <v>Jan-Mar</v>
      </c>
      <c r="AG1" s="253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1.4080012453300126E-2</v>
      </c>
      <c r="C6" s="215">
        <f>IF([1]Summ!D1044="",0,[1]Summ!D1044)</f>
        <v>0</v>
      </c>
      <c r="D6" s="24">
        <f t="shared" ref="D6:D28" si="0">(B6+C6)</f>
        <v>1.4080012453300126E-2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1.4080012453300126E-2</v>
      </c>
      <c r="J6" s="24">
        <f t="shared" ref="J6:J13" si="3">IF(I$32&lt;=1+I$131,I6,B6*H6+J$33*(I6-B6*H6))</f>
        <v>1.4080012453300126E-2</v>
      </c>
      <c r="K6" s="22">
        <f t="shared" ref="K6:K31" si="4">B6</f>
        <v>1.4080012453300126E-2</v>
      </c>
      <c r="L6" s="22">
        <f t="shared" ref="L6:L29" si="5">IF(K6="","",K6*H6)</f>
        <v>1.4080012453300126E-2</v>
      </c>
      <c r="M6" s="177">
        <f t="shared" ref="M6:M31" si="6">J6</f>
        <v>1.4080012453300126E-2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5.6320049813200504E-2</v>
      </c>
      <c r="Z6" s="156">
        <f>Poor!Z6</f>
        <v>0.17</v>
      </c>
      <c r="AA6" s="121">
        <f>$M6*Z6*4</f>
        <v>9.5744084682440871E-3</v>
      </c>
      <c r="AB6" s="156">
        <f>Poor!AB6</f>
        <v>0.17</v>
      </c>
      <c r="AC6" s="121">
        <f t="shared" ref="AC6:AC29" si="7">$M6*AB6*4</f>
        <v>9.5744084682440871E-3</v>
      </c>
      <c r="AD6" s="156">
        <f>Poor!AD6</f>
        <v>0.33</v>
      </c>
      <c r="AE6" s="121">
        <f t="shared" ref="AE6:AE29" si="8">$M6*AD6*4</f>
        <v>1.8585616438356167E-2</v>
      </c>
      <c r="AF6" s="122">
        <f>1-SUM(Z6,AB6,AD6)</f>
        <v>0.32999999999999996</v>
      </c>
      <c r="AG6" s="121">
        <f>$M6*AF6*4</f>
        <v>1.8585616438356163E-2</v>
      </c>
      <c r="AH6" s="123">
        <f>SUM(Z6,AB6,AD6,AF6)</f>
        <v>1</v>
      </c>
      <c r="AI6" s="183">
        <f>SUM(AA6,AC6,AE6,AG6)/4</f>
        <v>1.4080012453300126E-2</v>
      </c>
      <c r="AJ6" s="120">
        <f>(AA6+AC6)/2</f>
        <v>9.5744084682440871E-3</v>
      </c>
      <c r="AK6" s="119">
        <f>(AE6+AG6)/2</f>
        <v>1.8585616438356163E-2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2.3466687422166875E-3</v>
      </c>
      <c r="C7" s="215">
        <f>IF([1]Summ!D1045="",0,[1]Summ!D1045)</f>
        <v>0</v>
      </c>
      <c r="D7" s="24">
        <f t="shared" si="0"/>
        <v>2.3466687422166875E-3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2.3466687422166875E-3</v>
      </c>
      <c r="J7" s="24">
        <f t="shared" si="3"/>
        <v>2.3466687422166875E-3</v>
      </c>
      <c r="K7" s="22">
        <f t="shared" si="4"/>
        <v>2.3466687422166875E-3</v>
      </c>
      <c r="L7" s="22">
        <f t="shared" si="5"/>
        <v>2.3466687422166875E-3</v>
      </c>
      <c r="M7" s="177">
        <f t="shared" si="6"/>
        <v>2.3466687422166875E-3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2670.7288927413665</v>
      </c>
      <c r="S7" s="222">
        <f>IF($B$81=0,0,(SUMIF($N$6:$N$28,$U7,L$6:L$28)+SUMIF($N$91:$N$118,$U7,L$91:L$118))*$I$83*Poor!$B$81/$B$81)</f>
        <v>2670.7288927413665</v>
      </c>
      <c r="T7" s="222">
        <f>IF($B$81=0,0,(SUMIF($N$6:$N$28,$U7,M$6:M$28)+SUMIF($N$91:$N$118,$U7,M$91:M$118))*$I$83*Poor!$B$81/$B$81)</f>
        <v>2776.1504504485038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9.3866749688667501E-3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9.3866749688667501E-3</v>
      </c>
      <c r="AH7" s="123">
        <f t="shared" ref="AH7:AH30" si="12">SUM(Z7,AB7,AD7,AF7)</f>
        <v>1</v>
      </c>
      <c r="AI7" s="183">
        <f t="shared" ref="AI7:AI30" si="13">SUM(AA7,AC7,AE7,AG7)/4</f>
        <v>2.3466687422166875E-3</v>
      </c>
      <c r="AJ7" s="120">
        <f t="shared" ref="AJ7:AJ31" si="14">(AA7+AC7)/2</f>
        <v>0</v>
      </c>
      <c r="AK7" s="119">
        <f t="shared" ref="AK7:AK31" si="15">(AE7+AG7)/2</f>
        <v>4.693337484433375E-3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5.906425124533001E-3</v>
      </c>
      <c r="C8" s="215">
        <f>IF([1]Summ!D1046="",0,[1]Summ!D1046)</f>
        <v>0</v>
      </c>
      <c r="D8" s="24">
        <f t="shared" si="0"/>
        <v>5.906425124533001E-3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5.906425124533001E-3</v>
      </c>
      <c r="J8" s="24">
        <f t="shared" si="3"/>
        <v>5.906425124533001E-3</v>
      </c>
      <c r="K8" s="22">
        <f t="shared" si="4"/>
        <v>5.906425124533001E-3</v>
      </c>
      <c r="L8" s="22">
        <f t="shared" si="5"/>
        <v>5.906425124533001E-3</v>
      </c>
      <c r="M8" s="224">
        <f t="shared" si="6"/>
        <v>5.906425124533001E-3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2.3625700498132004E-2</v>
      </c>
      <c r="Z8" s="125">
        <f>IF($Y8=0,0,AA8/$Y8)</f>
        <v>0.72461132733038869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1.7119450197061657E-2</v>
      </c>
      <c r="AB8" s="125">
        <f>IF($Y8=0,0,AC8/$Y8)</f>
        <v>0.27538867266961131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6.5062503010703474E-3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5.906425124533001E-3</v>
      </c>
      <c r="AJ8" s="120">
        <f t="shared" si="14"/>
        <v>1.1812850249066002E-2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f>IF([1]Summ!C1047="",0,[1]Summ!C1047)</f>
        <v>4.2500000000000003E-2</v>
      </c>
      <c r="C9" s="215">
        <f>IF([1]Summ!D1047="",0,[1]Summ!D1047)</f>
        <v>0</v>
      </c>
      <c r="D9" s="24">
        <f t="shared" si="0"/>
        <v>4.2500000000000003E-2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4.2500000000000003E-2</v>
      </c>
      <c r="J9" s="24">
        <f t="shared" si="3"/>
        <v>4.2500000000000003E-2</v>
      </c>
      <c r="K9" s="22">
        <f t="shared" si="4"/>
        <v>4.2500000000000003E-2</v>
      </c>
      <c r="L9" s="22">
        <f t="shared" si="5"/>
        <v>4.2500000000000003E-2</v>
      </c>
      <c r="M9" s="224">
        <f t="shared" si="6"/>
        <v>4.2500000000000003E-2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188.88628953908511</v>
      </c>
      <c r="S9" s="222">
        <f>IF($B$81=0,0,(SUMIF($N$6:$N$28,$U9,L$6:L$28)+SUMIF($N$91:$N$118,$U9,L$91:L$118))*$I$83*Poor!$B$81/$B$81)</f>
        <v>188.88628953908511</v>
      </c>
      <c r="T9" s="222">
        <f>IF($B$81=0,0,(SUMIF($N$6:$N$28,$U9,M$6:M$28)+SUMIF($N$91:$N$118,$U9,M$91:M$118))*$I$83*Poor!$B$81/$B$81)</f>
        <v>188.88628953908511</v>
      </c>
      <c r="U9" s="223">
        <v>3</v>
      </c>
      <c r="V9" s="56"/>
      <c r="W9" s="115"/>
      <c r="X9" s="118">
        <f>Poor!X9</f>
        <v>1</v>
      </c>
      <c r="Y9" s="183">
        <f t="shared" si="9"/>
        <v>0.17</v>
      </c>
      <c r="Z9" s="125">
        <f>IF($Y9=0,0,AA9/$Y9)</f>
        <v>0.72461132733038869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0.12318392564616609</v>
      </c>
      <c r="AB9" s="125">
        <f>IF($Y9=0,0,AC9/$Y9)</f>
        <v>0.27538867266961126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4.681607435383392E-2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4.2500000000000003E-2</v>
      </c>
      <c r="AJ9" s="120">
        <f t="shared" si="14"/>
        <v>8.5000000000000006E-2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8.8718578767123274E-2</v>
      </c>
      <c r="C10" s="215">
        <f>IF([1]Summ!D1048="",0,[1]Summ!D1048)</f>
        <v>0</v>
      </c>
      <c r="D10" s="24">
        <f t="shared" si="0"/>
        <v>8.8718578767123274E-2</v>
      </c>
      <c r="E10" s="75">
        <f>Poor!E10</f>
        <v>1</v>
      </c>
      <c r="H10" s="24">
        <f t="shared" si="1"/>
        <v>1</v>
      </c>
      <c r="I10" s="22">
        <f t="shared" si="2"/>
        <v>8.8718578767123274E-2</v>
      </c>
      <c r="J10" s="24">
        <f t="shared" si="3"/>
        <v>8.8718578767123274E-2</v>
      </c>
      <c r="K10" s="22">
        <f t="shared" si="4"/>
        <v>8.8718578767123274E-2</v>
      </c>
      <c r="L10" s="22">
        <f t="shared" si="5"/>
        <v>8.8718578767123274E-2</v>
      </c>
      <c r="M10" s="224">
        <f t="shared" si="6"/>
        <v>8.8718578767123274E-2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0.3548743150684931</v>
      </c>
      <c r="Z10" s="125">
        <f>IF($Y10=0,0,AA10/$Y10)</f>
        <v>0.7246113273303888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0.25714594847724337</v>
      </c>
      <c r="AB10" s="125">
        <f>IF($Y10=0,0,AC10/$Y10)</f>
        <v>0.2753886726696112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9.7728366591249727E-2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8.8718578767123274E-2</v>
      </c>
      <c r="AJ10" s="120">
        <f t="shared" si="14"/>
        <v>0.17743715753424655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215">
        <f>IF([1]Summ!C1050="",0,[1]Summ!C1050)</f>
        <v>4.4188206724782075E-2</v>
      </c>
      <c r="C12" s="215">
        <f>IF([1]Summ!D1050="",0,[1]Summ!D1050)</f>
        <v>0</v>
      </c>
      <c r="D12" s="24">
        <f t="shared" si="0"/>
        <v>4.4188206724782075E-2</v>
      </c>
      <c r="E12" s="75">
        <f>Poor!E12</f>
        <v>1</v>
      </c>
      <c r="H12" s="24">
        <f t="shared" si="1"/>
        <v>1</v>
      </c>
      <c r="I12" s="22">
        <f t="shared" si="2"/>
        <v>4.4188206724782075E-2</v>
      </c>
      <c r="J12" s="24">
        <f t="shared" si="3"/>
        <v>4.4188206724782075E-2</v>
      </c>
      <c r="K12" s="22">
        <f t="shared" si="4"/>
        <v>4.4188206724782075E-2</v>
      </c>
      <c r="L12" s="22">
        <f t="shared" si="5"/>
        <v>4.4188206724782075E-2</v>
      </c>
      <c r="M12" s="224">
        <f t="shared" si="6"/>
        <v>4.4188206724782075E-2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0.1767528268991283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0.11842439402241597</v>
      </c>
      <c r="AF12" s="122">
        <f>1-SUM(Z12,AB12,AD12)</f>
        <v>0.32999999999999996</v>
      </c>
      <c r="AG12" s="121">
        <f>$M12*AF12*4</f>
        <v>5.8328432876712334E-2</v>
      </c>
      <c r="AH12" s="123">
        <f t="shared" si="12"/>
        <v>1</v>
      </c>
      <c r="AI12" s="183">
        <f t="shared" si="13"/>
        <v>4.4188206724782075E-2</v>
      </c>
      <c r="AJ12" s="120">
        <f t="shared" si="14"/>
        <v>0</v>
      </c>
      <c r="AK12" s="119">
        <f t="shared" si="15"/>
        <v>8.8376413449564151E-2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215">
        <f>IF([1]Summ!C1051="",0,[1]Summ!C1051)</f>
        <v>4.9858374844333753E-2</v>
      </c>
      <c r="C13" s="215">
        <f>IF([1]Summ!D1051="",0,[1]Summ!D1051)</f>
        <v>1.2464593711083438E-2</v>
      </c>
      <c r="D13" s="24">
        <f t="shared" si="0"/>
        <v>6.2322968555417191E-2</v>
      </c>
      <c r="E13" s="75">
        <f>Poor!E13</f>
        <v>1</v>
      </c>
      <c r="H13" s="24">
        <f t="shared" si="1"/>
        <v>1</v>
      </c>
      <c r="I13" s="22">
        <f t="shared" si="2"/>
        <v>6.2322968555417191E-2</v>
      </c>
      <c r="J13" s="24">
        <f t="shared" si="3"/>
        <v>6.2322968555417191E-2</v>
      </c>
      <c r="K13" s="22">
        <f t="shared" si="4"/>
        <v>4.9858374844333753E-2</v>
      </c>
      <c r="L13" s="22">
        <f t="shared" si="5"/>
        <v>4.9858374844333753E-2</v>
      </c>
      <c r="M13" s="225">
        <f t="shared" si="6"/>
        <v>6.2322968555417191E-2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0.24929187422166876</v>
      </c>
      <c r="Z13" s="156">
        <f>Poor!Z13</f>
        <v>1</v>
      </c>
      <c r="AA13" s="121">
        <f>$M13*Z13*4</f>
        <v>0.24929187422166876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6.2322968555417191E-2</v>
      </c>
      <c r="AJ13" s="120">
        <f t="shared" si="14"/>
        <v>0.12464593711083438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 (Bhece)</v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Pumpkin: no. local meas</v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poatato: no. local meas</v>
      </c>
      <c r="B16" s="215">
        <f>IF([1]Summ!C1054="",0,[1]Summ!C1054)</f>
        <v>2.5988480697384807E-2</v>
      </c>
      <c r="C16" s="215">
        <f>IF([1]Summ!D1054="",0,[1]Summ!D1054)</f>
        <v>0</v>
      </c>
      <c r="D16" s="24">
        <f t="shared" ref="D16:D25" si="18">(B16+C16)</f>
        <v>2.5988480697384807E-2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2.5988480697384807E-2</v>
      </c>
      <c r="J16" s="24">
        <f t="shared" si="17"/>
        <v>2.5988480697384807E-2</v>
      </c>
      <c r="K16" s="22">
        <f t="shared" ref="K16:K25" si="21">B16</f>
        <v>2.5988480697384807E-2</v>
      </c>
      <c r="L16" s="22">
        <f t="shared" ref="L16:L25" si="22">IF(K16="","",K16*H16)</f>
        <v>2.5988480697384807E-2</v>
      </c>
      <c r="M16" s="226">
        <f t="shared" ref="M16:M25" si="23">J16</f>
        <v>2.5988480697384807E-2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215">
        <f>IF([1]Summ!C1055="",0,[1]Summ!C1055)</f>
        <v>3.3018953144458282E-2</v>
      </c>
      <c r="C17" s="215">
        <f>IF([1]Summ!D1055="",0,[1]Summ!D1055)</f>
        <v>0</v>
      </c>
      <c r="D17" s="24">
        <f t="shared" si="18"/>
        <v>3.3018953144458282E-2</v>
      </c>
      <c r="E17" s="75">
        <f>Poor!E17</f>
        <v>1</v>
      </c>
      <c r="F17" s="22"/>
      <c r="H17" s="24">
        <f t="shared" si="19"/>
        <v>1</v>
      </c>
      <c r="I17" s="22">
        <f t="shared" si="20"/>
        <v>3.3018953144458282E-2</v>
      </c>
      <c r="J17" s="24">
        <f t="shared" si="17"/>
        <v>3.3018953144458282E-2</v>
      </c>
      <c r="K17" s="22">
        <f t="shared" si="21"/>
        <v>3.3018953144458282E-2</v>
      </c>
      <c r="L17" s="22">
        <f t="shared" si="22"/>
        <v>3.3018953144458282E-2</v>
      </c>
      <c r="M17" s="226">
        <f t="shared" si="23"/>
        <v>3.3018953144458282E-2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Irish potato: type</v>
      </c>
      <c r="B18" s="215">
        <f>IF([1]Summ!C1056="",0,[1]Summ!C1056)</f>
        <v>6.1099003735990039E-3</v>
      </c>
      <c r="C18" s="215">
        <f>IF([1]Summ!D1056="",0,[1]Summ!D1056)</f>
        <v>0</v>
      </c>
      <c r="D18" s="24">
        <f t="shared" si="18"/>
        <v>6.1099003735990039E-3</v>
      </c>
      <c r="E18" s="75">
        <f>Poor!E18</f>
        <v>1</v>
      </c>
      <c r="F18" s="22"/>
      <c r="H18" s="24">
        <f t="shared" si="19"/>
        <v>1</v>
      </c>
      <c r="I18" s="22">
        <f t="shared" si="20"/>
        <v>6.1099003735990039E-3</v>
      </c>
      <c r="J18" s="24">
        <f t="shared" si="17"/>
        <v>6.1099003735990039E-3</v>
      </c>
      <c r="K18" s="22">
        <f t="shared" si="21"/>
        <v>6.1099003735990039E-3</v>
      </c>
      <c r="L18" s="22">
        <f t="shared" si="22"/>
        <v>6.1099003735990039E-3</v>
      </c>
      <c r="M18" s="226">
        <f t="shared" si="23"/>
        <v>6.1099003735990039E-3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1006.8667886195384</v>
      </c>
      <c r="S18" s="222">
        <f>IF($B$81=0,0,(SUMIF($N$6:$N$28,$U18,L$6:L$28)+SUMIF($N$91:$N$118,$U18,L$91:L$118))*$I$83*Poor!$B$81/$B$81)</f>
        <v>1006.8667886195384</v>
      </c>
      <c r="T18" s="222">
        <f>IF($B$81=0,0,(SUMIF($N$6:$N$28,$U18,M$6:M$28)+SUMIF($N$91:$N$118,$U18,M$91:M$118))*$I$83*Poor!$B$81/$B$81)</f>
        <v>1006.8667886195384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Yam: type</v>
      </c>
      <c r="B19" s="215">
        <f>IF([1]Summ!C1057="",0,[1]Summ!C1057)</f>
        <v>2.5393057285180574E-2</v>
      </c>
      <c r="C19" s="215">
        <f>IF([1]Summ!D1057="",0,[1]Summ!D1057)</f>
        <v>0</v>
      </c>
      <c r="D19" s="24">
        <f t="shared" si="18"/>
        <v>2.5393057285180574E-2</v>
      </c>
      <c r="E19" s="75">
        <f>Poor!E19</f>
        <v>1</v>
      </c>
      <c r="F19" s="22"/>
      <c r="H19" s="24">
        <f t="shared" si="19"/>
        <v>1</v>
      </c>
      <c r="I19" s="22">
        <f t="shared" si="20"/>
        <v>2.5393057285180574E-2</v>
      </c>
      <c r="J19" s="24">
        <f t="shared" si="17"/>
        <v>2.5393057285180574E-2</v>
      </c>
      <c r="K19" s="22">
        <f t="shared" si="21"/>
        <v>2.5393057285180574E-2</v>
      </c>
      <c r="L19" s="22">
        <f t="shared" si="22"/>
        <v>2.5393057285180574E-2</v>
      </c>
      <c r="M19" s="226">
        <f t="shared" si="23"/>
        <v>2.5393057285180574E-2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22020</v>
      </c>
      <c r="S20" s="222">
        <f>IF($B$81=0,0,(SUMIF($N$6:$N$28,$U20,L$6:L$28)+SUMIF($N$91:$N$118,$U20,L$91:L$118))*$I$83*Poor!$B$81/$B$81)</f>
        <v>22020</v>
      </c>
      <c r="T20" s="222">
        <f>IF($B$81=0,0,(SUMIF($N$6:$N$28,$U20,M$6:M$28)+SUMIF($N$91:$N$118,$U20,M$91:M$118))*$I$83*Poor!$B$81/$B$81)</f>
        <v>22020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Land clearing, construction, herding, slaughtering</v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</v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Gifts/remittances: cereal</v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25886.481970899989</v>
      </c>
      <c r="S23" s="179">
        <f>SUM(S7:S22)</f>
        <v>25886.481970899989</v>
      </c>
      <c r="T23" s="179">
        <f>SUM(T7:T22)</f>
        <v>25991.903528607127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Other</v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20136.903793668345</v>
      </c>
      <c r="S24" s="41">
        <f>IF($B$81=0,0,(SUM(($B$70*$H$70))+((1-$D$29)*$I$83))*Poor!$B$81/$B$81)</f>
        <v>20136.903793668345</v>
      </c>
      <c r="T24" s="41">
        <f>IF($B$81=0,0,(SUM(($B$70*$H$70))+((1-$D$29)*$I$83))*Poor!$B$81/$B$81)</f>
        <v>20136.903793668345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34115.570460335017</v>
      </c>
      <c r="S25" s="41">
        <f>IF($B$81=0,0,(SUM(($B$70*$H$70),($B$71*$H$71))+((1-$D$29)*$I$83))*Poor!$B$81/$B$81)</f>
        <v>34115.570460335017</v>
      </c>
      <c r="T25" s="41">
        <f>IF($B$81=0,0,(SUM(($B$70*$H$70),($B$71*$H$71))+((1-$D$29)*$I$83))*Poor!$B$81/$B$81)</f>
        <v>34115.570460335017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61859.57046033501</v>
      </c>
      <c r="S26" s="41">
        <f>IF($B$81=0,0,(SUM(($B$70*$H$70),($B$71*$H$71),($B$72*$H$72))+((1-$D$29)*$I$83))*Poor!$B$81/$B$81)</f>
        <v>61859.57046033501</v>
      </c>
      <c r="T26" s="41">
        <f>IF($B$81=0,0,(SUM(($B$70*$H$70),($B$71*$H$71),($B$72*$H$72))+((1-$D$29)*$I$83))*Poor!$B$81/$B$81)</f>
        <v>61859.57046033501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3.314115504358655E-2</v>
      </c>
      <c r="C27" s="215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0.18129873754669984</v>
      </c>
      <c r="C29" s="215">
        <f>IF([1]Summ!D1067="",0,[1]Summ!D1067)</f>
        <v>4.3338036395297215E-2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0.18129873754669984</v>
      </c>
      <c r="L29" s="22">
        <f t="shared" si="5"/>
        <v>0.18129873754669984</v>
      </c>
      <c r="M29" s="224">
        <f t="shared" si="6"/>
        <v>0.22463677394199705</v>
      </c>
      <c r="N29" s="229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0.57517989881693654</v>
      </c>
      <c r="C30" s="103"/>
      <c r="D30" s="24">
        <f>(D119-B124)</f>
        <v>0.9980124606292875</v>
      </c>
      <c r="E30" s="75">
        <f>Poor!E30</f>
        <v>1</v>
      </c>
      <c r="H30" s="96">
        <f>(E30*F$7/F$9)</f>
        <v>1</v>
      </c>
      <c r="I30" s="29">
        <f>IF(E30&gt;=1,I119-I124,MIN(I119-I124,B30*H30))</f>
        <v>0.9980124606292875</v>
      </c>
      <c r="J30" s="231">
        <f>IF(I$32&lt;=1,I30,1-SUM(J6:J29))</f>
        <v>0.30574235514238879</v>
      </c>
      <c r="K30" s="22">
        <f t="shared" si="4"/>
        <v>0.57517989881693654</v>
      </c>
      <c r="L30" s="22">
        <f>IF(L124=L119,0,IF(K30="",0,(L119-L124)/(B119-B124)*K30))</f>
        <v>0.57517989881693654</v>
      </c>
      <c r="M30" s="175">
        <f t="shared" si="6"/>
        <v>0.30574235514238879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1.2229694205695552</v>
      </c>
      <c r="Z30" s="122">
        <f>IF($Y30=0,0,AA30/($Y$30))</f>
        <v>-1.3128194806634355</v>
      </c>
      <c r="AA30" s="187">
        <f>IF(AA79*4/$I$83+SUM(AA6:AA29)&lt;1,AA79*4/$I$83,1-SUM(AA6:AA29))</f>
        <v>-1.6055380795793861</v>
      </c>
      <c r="AB30" s="122">
        <f>IF($Y30=0,0,AC30/($Y$30))</f>
        <v>-1.3128194806634355</v>
      </c>
      <c r="AC30" s="187">
        <f>IF(AC79*4/$I$83+SUM(AC6:AC29)&lt;1,AC79*4/$I$83,1-SUM(AC6:AC29))</f>
        <v>-1.6055380795793861</v>
      </c>
      <c r="AD30" s="122">
        <f>IF($Y30=0,0,AE30/($Y$30))</f>
        <v>-1.3128194806634355</v>
      </c>
      <c r="AE30" s="187">
        <f>IF(AE79*4/$I$83+SUM(AE6:AE29)&lt;1,AE79*4/$I$83,1-SUM(AE6:AE29))</f>
        <v>-1.6055380795793861</v>
      </c>
      <c r="AF30" s="122">
        <f>IF($Y30=0,0,AG30/($Y$30))</f>
        <v>-1.3128194806634355</v>
      </c>
      <c r="AG30" s="187">
        <f>IF(AG79*4/$I$83+SUM(AG6:AG29)&lt;1,AG79*4/$I$83,1-SUM(AG6:AG29))</f>
        <v>-1.6055380795793861</v>
      </c>
      <c r="AH30" s="123">
        <f t="shared" si="12"/>
        <v>-5.2512779226537418</v>
      </c>
      <c r="AI30" s="183">
        <f t="shared" si="13"/>
        <v>-1.6055380795793861</v>
      </c>
      <c r="AJ30" s="120">
        <f t="shared" si="14"/>
        <v>-1.6055380795793861</v>
      </c>
      <c r="AK30" s="119">
        <f t="shared" si="15"/>
        <v>-1.6055380795793861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-0.24677606861175372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8229.0884894350274</v>
      </c>
      <c r="S31" s="234">
        <f t="shared" si="24"/>
        <v>8229.0884894350274</v>
      </c>
      <c r="T31" s="234">
        <f>IF(T25&gt;T$23,T25-T$23,0)</f>
        <v>8123.6669317278902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1.6055380795793861</v>
      </c>
      <c r="AB31" s="131"/>
      <c r="AC31" s="133">
        <f>1-AC32+IF($Y32&lt;0,$Y32/4,0)</f>
        <v>2.1012285868753722</v>
      </c>
      <c r="AD31" s="134"/>
      <c r="AE31" s="133">
        <f>1-AE32+IF($Y32&lt;0,$Y32/4,0)</f>
        <v>2.1248436761289979</v>
      </c>
      <c r="AF31" s="134"/>
      <c r="AG31" s="133">
        <f>1-AG32+IF($Y32&lt;0,$Y32/4,0)</f>
        <v>2.1755529623058347</v>
      </c>
      <c r="AH31" s="123"/>
      <c r="AI31" s="182">
        <f>SUM(AA31,AC31,AE31,AG31)/4</f>
        <v>2.0017908262223978</v>
      </c>
      <c r="AJ31" s="135">
        <f t="shared" si="14"/>
        <v>1.853383333227379</v>
      </c>
      <c r="AK31" s="136">
        <f t="shared" si="15"/>
        <v>2.1501983192174166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1.2467760686117537</v>
      </c>
      <c r="C32" s="77">
        <f>SUM(C6:C31)</f>
        <v>2.2661475062794104E-2</v>
      </c>
      <c r="D32" s="24">
        <f>SUM(D6:D30)</f>
        <v>1.6922701054868987</v>
      </c>
      <c r="E32" s="2"/>
      <c r="F32" s="2"/>
      <c r="H32" s="17"/>
      <c r="I32" s="22">
        <f>SUM(I6:I30)</f>
        <v>1.6922701054868987</v>
      </c>
      <c r="J32" s="17"/>
      <c r="L32" s="22">
        <f>SUM(L6:L30)</f>
        <v>1.2467760686117537</v>
      </c>
      <c r="M32" s="23"/>
      <c r="N32" s="56"/>
      <c r="O32" s="2"/>
      <c r="P32" s="22"/>
      <c r="Q32" s="234" t="s">
        <v>143</v>
      </c>
      <c r="R32" s="234">
        <f t="shared" si="24"/>
        <v>35973.088489435017</v>
      </c>
      <c r="S32" s="234">
        <f t="shared" si="24"/>
        <v>35973.088489435017</v>
      </c>
      <c r="T32" s="234">
        <f t="shared" si="24"/>
        <v>35867.666931727887</v>
      </c>
      <c r="V32" s="56"/>
      <c r="W32" s="110"/>
      <c r="X32" s="118"/>
      <c r="Y32" s="115">
        <f>SUM(Y6:Y31)</f>
        <v>3.6379584339975093</v>
      </c>
      <c r="Z32" s="137"/>
      <c r="AA32" s="138">
        <f>SUM(AA6:AA30)</f>
        <v>-0.6055380795793861</v>
      </c>
      <c r="AB32" s="137"/>
      <c r="AC32" s="139">
        <f>SUM(AC6:AC30)</f>
        <v>-1.101228586875372</v>
      </c>
      <c r="AD32" s="137"/>
      <c r="AE32" s="139">
        <f>SUM(AE6:AE30)</f>
        <v>-1.1248436761289979</v>
      </c>
      <c r="AF32" s="137"/>
      <c r="AG32" s="139">
        <f>SUM(AG6:AG30)</f>
        <v>-1.1755529623058347</v>
      </c>
      <c r="AH32" s="127"/>
      <c r="AI32" s="110"/>
      <c r="AJ32" s="140">
        <f>SUM(AJ6:AJ31)</f>
        <v>1</v>
      </c>
      <c r="AK32" s="141">
        <f>SUM(AK6:AK31)</f>
        <v>1.0000000000000002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0.18919208475811644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8123.666931727882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66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66"/>
      <c r="S37" s="266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66"/>
      <c r="S38" s="266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66"/>
      <c r="S39" s="266"/>
      <c r="T39" s="29"/>
      <c r="U39" s="56"/>
      <c r="V39" s="56"/>
      <c r="W39" s="115"/>
      <c r="X39" s="118"/>
      <c r="Y39" s="110"/>
      <c r="Z39" s="122">
        <f>Z8</f>
        <v>0.72461132733038869</v>
      </c>
      <c r="AA39" s="147">
        <f t="shared" ref="AA39:AA64" si="40">$J39*Z39</f>
        <v>0</v>
      </c>
      <c r="AB39" s="122">
        <f>AB8</f>
        <v>0.27538867266961131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66"/>
      <c r="S40" s="266"/>
      <c r="T40" s="29"/>
      <c r="U40" s="56"/>
      <c r="V40" s="56"/>
      <c r="W40" s="115"/>
      <c r="X40" s="118">
        <f>X9</f>
        <v>1</v>
      </c>
      <c r="Y40" s="110"/>
      <c r="Z40" s="122">
        <f>Z9</f>
        <v>0.72461132733038869</v>
      </c>
      <c r="AA40" s="147">
        <f t="shared" si="40"/>
        <v>0</v>
      </c>
      <c r="AB40" s="122">
        <f>AB9</f>
        <v>0.27538867266961126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66"/>
      <c r="S41" s="266"/>
      <c r="T41" s="267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Water melon: no. local meas (Bhece)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68"/>
      <c r="T42" s="268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Sweet poatato: no. local meas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Groundnuts (dry): no. local meas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69"/>
      <c r="R44" s="41"/>
      <c r="S44" s="41"/>
      <c r="T44" s="267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Irish potato: type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69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Yam: type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69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Spinach (cash): kg produced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Tomatoes (cash): kg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69"/>
      <c r="R48" s="266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Cabbage (cash): kg produced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Agricultural cash income -- see Data2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Labour migration(formal employment): no. people per HH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Formal Employment (conservancies, etc.)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Self-employment -- see Data2</v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Small business -- see Data2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Social development -- see Data2</v>
      </c>
      <c r="B55" s="216">
        <f>IF([1]Summ!C1090="",0,[1]Summ!C1090)</f>
        <v>22020</v>
      </c>
      <c r="C55" s="216">
        <f>IF([1]Summ!D1090="",0,[1]Summ!D1090)</f>
        <v>0</v>
      </c>
      <c r="D55" s="38">
        <f t="shared" si="25"/>
        <v>22020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22020</v>
      </c>
      <c r="J55" s="38">
        <f t="shared" si="32"/>
        <v>22020</v>
      </c>
      <c r="K55" s="40">
        <f t="shared" si="33"/>
        <v>1</v>
      </c>
      <c r="L55" s="22">
        <f t="shared" si="34"/>
        <v>1</v>
      </c>
      <c r="M55" s="24">
        <f t="shared" si="35"/>
        <v>1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Public works -- see Data2</v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Other income: e.g. Credit (cotton loans)</v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22020</v>
      </c>
      <c r="C65" s="39">
        <f>SUM(C37:C64)</f>
        <v>0</v>
      </c>
      <c r="D65" s="42">
        <f>SUM(D37:D64)</f>
        <v>22020</v>
      </c>
      <c r="E65" s="32"/>
      <c r="F65" s="32"/>
      <c r="G65" s="32"/>
      <c r="H65" s="31"/>
      <c r="I65" s="39">
        <f>SUM(I37:I64)</f>
        <v>22020</v>
      </c>
      <c r="J65" s="39">
        <f>SUM(J37:J64)</f>
        <v>22020</v>
      </c>
      <c r="K65" s="40">
        <f>SUM(K37:K64)</f>
        <v>1</v>
      </c>
      <c r="L65" s="22">
        <f>SUM(L37:L64)</f>
        <v>1</v>
      </c>
      <c r="M65" s="24">
        <f>SUM(M37:M64)</f>
        <v>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0</v>
      </c>
      <c r="AB65" s="137"/>
      <c r="AC65" s="153">
        <f>SUM(AC37:AC64)</f>
        <v>0</v>
      </c>
      <c r="AD65" s="137"/>
      <c r="AE65" s="153">
        <f>SUM(AE37:AE64)</f>
        <v>0</v>
      </c>
      <c r="AF65" s="137"/>
      <c r="AG65" s="153">
        <f>SUM(AG37:AG64)</f>
        <v>0</v>
      </c>
      <c r="AH65" s="137"/>
      <c r="AI65" s="153">
        <f>SUM(AI37:AI64)</f>
        <v>0</v>
      </c>
      <c r="AJ65" s="153">
        <f>SUM(AJ37:AJ64)</f>
        <v>0</v>
      </c>
      <c r="AK65" s="153">
        <f>SUM(AK37:AK64)</f>
        <v>0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13579.12894961681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13579.12894961681</v>
      </c>
      <c r="J70" s="51">
        <f t="shared" ref="J70:J77" si="44">J124*I$83</f>
        <v>13579.12894961681</v>
      </c>
      <c r="K70" s="40">
        <f>B70/B$76</f>
        <v>0.61667252268922845</v>
      </c>
      <c r="L70" s="22">
        <f t="shared" ref="L70:L74" si="45">(L124*G$37*F$9/F$7)/B$130</f>
        <v>0.61667252268922834</v>
      </c>
      <c r="M70" s="24">
        <f>J70/B$76</f>
        <v>0.61667252268922845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3394.7822374042025</v>
      </c>
      <c r="AB70" s="156">
        <f>Poor!AB70</f>
        <v>0.25</v>
      </c>
      <c r="AC70" s="147">
        <f>$J70*AB70</f>
        <v>3394.7822374042025</v>
      </c>
      <c r="AD70" s="156">
        <f>Poor!AD70</f>
        <v>0.25</v>
      </c>
      <c r="AE70" s="147">
        <f>$J70*AD70</f>
        <v>3394.7822374042025</v>
      </c>
      <c r="AF70" s="156">
        <f>Poor!AF70</f>
        <v>0.25</v>
      </c>
      <c r="AG70" s="147">
        <f>$J70*AF70</f>
        <v>3394.7822374042025</v>
      </c>
      <c r="AH70" s="155">
        <f>SUM(Z70,AB70,AD70,AF70)</f>
        <v>1</v>
      </c>
      <c r="AI70" s="147">
        <f>SUM(AA70,AC70,AE70,AG70)</f>
        <v>13579.12894961681</v>
      </c>
      <c r="AJ70" s="148">
        <f>(AA70+AC70)</f>
        <v>6789.5644748084051</v>
      </c>
      <c r="AK70" s="147">
        <f>(AE70+AG70)</f>
        <v>6789.5644748084051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13978.666666666668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8440.8710503831917</v>
      </c>
      <c r="J71" s="51">
        <f t="shared" si="44"/>
        <v>8440.8710503831917</v>
      </c>
      <c r="K71" s="40">
        <f t="shared" ref="K71:K72" si="47">B71/B$76</f>
        <v>0.63481683318195581</v>
      </c>
      <c r="L71" s="22">
        <f t="shared" si="45"/>
        <v>0.38332747731077166</v>
      </c>
      <c r="M71" s="24">
        <f t="shared" ref="M71:M72" si="48">J71/B$76</f>
        <v>0.38332747731077166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0</v>
      </c>
      <c r="K72" s="40">
        <f t="shared" si="47"/>
        <v>1.2599455040871934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2800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0.12715712988192551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252</v>
      </c>
      <c r="AB73" s="156">
        <f>Poor!AB73</f>
        <v>0.09</v>
      </c>
      <c r="AC73" s="147">
        <f>$H$73*$B$73*AB73</f>
        <v>252</v>
      </c>
      <c r="AD73" s="156">
        <f>Poor!AD73</f>
        <v>0.23</v>
      </c>
      <c r="AE73" s="147">
        <f>$H$73*$B$73*AD73</f>
        <v>644</v>
      </c>
      <c r="AF73" s="156">
        <f>Poor!AF73</f>
        <v>0.59</v>
      </c>
      <c r="AG73" s="147">
        <f>$H$73*$B$73*AF73</f>
        <v>1652</v>
      </c>
      <c r="AH73" s="155">
        <f>SUM(Z73,AB73,AD73,AF73)</f>
        <v>1</v>
      </c>
      <c r="AI73" s="147">
        <f>SUM(AA73,AC73,AE73,AG73)</f>
        <v>2800</v>
      </c>
      <c r="AJ73" s="148">
        <f>(AA73+AC73)</f>
        <v>504</v>
      </c>
      <c r="AK73" s="147">
        <f>(AE73+AG73)</f>
        <v>2296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4864.6881158426877</v>
      </c>
      <c r="C74" s="39"/>
      <c r="D74" s="38"/>
      <c r="E74" s="32"/>
      <c r="F74" s="32"/>
      <c r="G74" s="32"/>
      <c r="H74" s="31"/>
      <c r="I74" s="39">
        <f>I128*I$83</f>
        <v>8440.8710503831917</v>
      </c>
      <c r="J74" s="51">
        <f t="shared" si="44"/>
        <v>2585.8713154444081</v>
      </c>
      <c r="K74" s="40">
        <f>B74/B$76</f>
        <v>0.22092134949331008</v>
      </c>
      <c r="L74" s="22">
        <f t="shared" si="45"/>
        <v>0.22092134949331005</v>
      </c>
      <c r="M74" s="24">
        <f>J74/B$76</f>
        <v>0.11743284811282508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-3394.7822374042025</v>
      </c>
      <c r="AB74" s="156"/>
      <c r="AC74" s="147">
        <f>AC30*$I$83/4</f>
        <v>-3394.7822374042025</v>
      </c>
      <c r="AD74" s="156"/>
      <c r="AE74" s="147">
        <f>AE30*$I$83/4</f>
        <v>-3394.7822374042025</v>
      </c>
      <c r="AF74" s="156"/>
      <c r="AG74" s="147">
        <f>AG30*$I$83/4</f>
        <v>-3394.7822374042025</v>
      </c>
      <c r="AH74" s="155"/>
      <c r="AI74" s="147">
        <f>SUM(AA74,AC74,AE74,AG74)</f>
        <v>-13579.12894961681</v>
      </c>
      <c r="AJ74" s="148">
        <f>(AA74+AC74)</f>
        <v>-6789.5644748084051</v>
      </c>
      <c r="AK74" s="147">
        <f>(AE74+AG74)</f>
        <v>-6789.5644748084051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22020</v>
      </c>
      <c r="C76" s="39"/>
      <c r="D76" s="38"/>
      <c r="E76" s="32"/>
      <c r="F76" s="32"/>
      <c r="G76" s="32"/>
      <c r="H76" s="31"/>
      <c r="I76" s="39">
        <f>I130*I$83</f>
        <v>22020</v>
      </c>
      <c r="J76" s="51">
        <f t="shared" si="44"/>
        <v>22020</v>
      </c>
      <c r="K76" s="40">
        <f>SUM(K70:K75)</f>
        <v>2.8595133393336134</v>
      </c>
      <c r="L76" s="22">
        <f>SUM(L70:L75)</f>
        <v>1.22092134949331</v>
      </c>
      <c r="M76" s="24">
        <f>SUM(M70:M75)</f>
        <v>1.1174328481128251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0</v>
      </c>
      <c r="AB76" s="137"/>
      <c r="AC76" s="153">
        <f>AC65</f>
        <v>0</v>
      </c>
      <c r="AD76" s="137"/>
      <c r="AE76" s="153">
        <f>AE65</f>
        <v>0</v>
      </c>
      <c r="AF76" s="137"/>
      <c r="AG76" s="153">
        <f>AG65</f>
        <v>0</v>
      </c>
      <c r="AH76" s="137"/>
      <c r="AI76" s="153">
        <f>SUM(AA76,AC76,AE76,AG76)</f>
        <v>0</v>
      </c>
      <c r="AJ76" s="154">
        <f>SUM(AA76,AC76)</f>
        <v>0</v>
      </c>
      <c r="AK76" s="154">
        <f>SUM(AE76,AG76)</f>
        <v>0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13978.666666666668</v>
      </c>
      <c r="J77" s="100">
        <f t="shared" si="44"/>
        <v>8123.666931727882</v>
      </c>
      <c r="K77" s="40"/>
      <c r="L77" s="22">
        <f>-(L131*G$37*F$9/F$7)/B$130</f>
        <v>-0.63481683318195581</v>
      </c>
      <c r="M77" s="24">
        <f>-J77/B$76</f>
        <v>-0.36892220398400916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3394.7822374042025</v>
      </c>
      <c r="AB77" s="112"/>
      <c r="AC77" s="111">
        <f>AC31*$I$83/4</f>
        <v>4442.8802867878312</v>
      </c>
      <c r="AD77" s="112"/>
      <c r="AE77" s="111">
        <f>AE31*$I$83/4</f>
        <v>4492.812509855331</v>
      </c>
      <c r="AF77" s="112"/>
      <c r="AG77" s="111">
        <f>AG31*$I$83/4</f>
        <v>4600.0332517200586</v>
      </c>
      <c r="AH77" s="110"/>
      <c r="AI77" s="154">
        <f>SUM(AA77,AC77,AE77,AG77)</f>
        <v>16930.508285767424</v>
      </c>
      <c r="AJ77" s="153">
        <f>SUM(AA77,AC77)</f>
        <v>7837.6625241920337</v>
      </c>
      <c r="AK77" s="160">
        <f>SUM(AE77,AG77)</f>
        <v>9092.8457615753905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-3394.7822374042025</v>
      </c>
      <c r="AB79" s="112"/>
      <c r="AC79" s="112">
        <f>AA79-AA74+AC65-AC70</f>
        <v>-3394.7822374042025</v>
      </c>
      <c r="AD79" s="112"/>
      <c r="AE79" s="112">
        <f>AC79-AC74+AE65-AE70</f>
        <v>-3394.7822374042025</v>
      </c>
      <c r="AF79" s="112"/>
      <c r="AG79" s="112">
        <f>AE79-AE74+AG65-AG70</f>
        <v>-3394.7822374042025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8457.6810244041226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8457.6810244041226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2114.4202561010306</v>
      </c>
      <c r="AB83" s="112"/>
      <c r="AC83" s="165">
        <f>$I$83*AB82/4</f>
        <v>2114.4202561010306</v>
      </c>
      <c r="AD83" s="112"/>
      <c r="AE83" s="165">
        <f>$I$83*AD82/4</f>
        <v>2114.4202561010306</v>
      </c>
      <c r="AF83" s="112"/>
      <c r="AG83" s="165">
        <f>$I$83*AF82/4</f>
        <v>2114.4202561010306</v>
      </c>
      <c r="AH83" s="165">
        <f>SUM(AA83,AC83,AE83,AG83)</f>
        <v>8457.6810244041226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20136.903793668345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1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1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Water melon: no. local meas (Bhece)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Sweet poatato: no. local meas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Groundnuts (dry): no. local meas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Irish potato: type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Yam: type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Spinach (cash):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Tomatoes (cash):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Cabbage (cash): kg produced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Agricultural cash income -- see Data2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1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Labour migration(formal employment): no. people per HH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Formal Employment (conservancies, etc.)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1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Self-employment -- see Data2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1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Small business -- see Data2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Social development -- see Data2</v>
      </c>
      <c r="B109" s="75">
        <f t="shared" si="51"/>
        <v>2.6035505402086736</v>
      </c>
      <c r="C109" s="75">
        <f t="shared" si="51"/>
        <v>0</v>
      </c>
      <c r="D109" s="24">
        <f t="shared" si="59"/>
        <v>2.6035505402086736</v>
      </c>
      <c r="H109" s="24">
        <f t="shared" si="60"/>
        <v>1</v>
      </c>
      <c r="I109" s="22">
        <f t="shared" si="61"/>
        <v>2.6035505402086736</v>
      </c>
      <c r="J109" s="24">
        <f t="shared" si="62"/>
        <v>2.6035505402086736</v>
      </c>
      <c r="K109" s="22">
        <f t="shared" si="63"/>
        <v>2.6035505402086736</v>
      </c>
      <c r="L109" s="22">
        <f t="shared" si="64"/>
        <v>2.6035505402086736</v>
      </c>
      <c r="M109" s="228">
        <f t="shared" si="65"/>
        <v>2.6035505402086736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Public works -- see Data2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1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Other income: e.g. Credit (cotton loans)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1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1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2.6035505402086736</v>
      </c>
      <c r="C119" s="22">
        <f>SUM(C91:C118)</f>
        <v>0</v>
      </c>
      <c r="D119" s="24">
        <f>SUM(D91:D118)</f>
        <v>2.6035505402086736</v>
      </c>
      <c r="E119" s="22"/>
      <c r="F119" s="2"/>
      <c r="G119" s="2"/>
      <c r="H119" s="31"/>
      <c r="I119" s="22">
        <f>SUM(I91:I118)</f>
        <v>2.6035505402086736</v>
      </c>
      <c r="J119" s="24">
        <f>SUM(J91:J118)</f>
        <v>2.6035505402086736</v>
      </c>
      <c r="K119" s="22">
        <f>SUM(K91:K118)</f>
        <v>2.6035505402086736</v>
      </c>
      <c r="L119" s="22">
        <f>SUM(L91:L118)</f>
        <v>2.6035505402086736</v>
      </c>
      <c r="M119" s="57">
        <f t="shared" si="49"/>
        <v>2.6035505402086736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1.6055380795793861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1.6055380795793861</v>
      </c>
      <c r="J124" s="237">
        <f>IF(SUMPRODUCT($B$124:$B124,$H$124:$H124)&lt;J$119,($B124*$H124),J$119)</f>
        <v>1.6055380795793861</v>
      </c>
      <c r="K124" s="29">
        <f>(B124)</f>
        <v>1.6055380795793861</v>
      </c>
      <c r="L124" s="29">
        <f>IF(SUMPRODUCT($B$124:$B124,$H$124:$H124)&lt;L$119,($B124*$H124),L$119)</f>
        <v>1.6055380795793861</v>
      </c>
      <c r="M124" s="240">
        <f t="shared" si="66"/>
        <v>1.6055380795793861</v>
      </c>
      <c r="N124" s="58"/>
      <c r="O124" s="174">
        <f>B124*H124</f>
        <v>1.6055380795793861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0.9980124606292875</v>
      </c>
      <c r="J125" s="237">
        <f>IF(SUMPRODUCT($B$124:$B125,$H$124:$H125)&lt;J$119,($B125*$H125),IF(SUMPRODUCT($B$124:$B124,$H$124:$H124)&lt;J$119,J$119-SUMPRODUCT($B$124:$B124,$H$124:$H124),0))</f>
        <v>0.9980124606292875</v>
      </c>
      <c r="K125" s="29">
        <f>(B125)</f>
        <v>1.6527777089644404</v>
      </c>
      <c r="L125" s="29">
        <f>IF(SUMPRODUCT($B$124:$B125,$H$124:$H125)&lt;L$119,($B125*$H125),IF(SUMPRODUCT($B$124:$B124,$H$124:$H124)&lt;L$119,L$119-SUMPRODUCT($B$124:$B124,$H$124:$H124),0))</f>
        <v>0.9980124606292875</v>
      </c>
      <c r="M125" s="240">
        <f t="shared" si="66"/>
        <v>0.9980124606292875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0.33106001419547165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0.33106001419547165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0.33106001419547165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0.57517989881693654</v>
      </c>
      <c r="C128" s="2"/>
      <c r="D128" s="31"/>
      <c r="E128" s="2"/>
      <c r="F128" s="2"/>
      <c r="G128" s="2"/>
      <c r="H128" s="24"/>
      <c r="I128" s="29">
        <f>(I30)</f>
        <v>0.9980124606292875</v>
      </c>
      <c r="J128" s="228">
        <f>(J30)</f>
        <v>0.30574235514238879</v>
      </c>
      <c r="K128" s="29">
        <f>(B128)</f>
        <v>0.57517989881693654</v>
      </c>
      <c r="L128" s="29">
        <f>IF(L124=L119,0,(L119-L124)/(B119-B124)*K128)</f>
        <v>0.57517989881693654</v>
      </c>
      <c r="M128" s="240">
        <f t="shared" si="66"/>
        <v>0.30574235514238879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2.6035505402086736</v>
      </c>
      <c r="C130" s="2"/>
      <c r="D130" s="31"/>
      <c r="E130" s="2"/>
      <c r="F130" s="2"/>
      <c r="G130" s="2"/>
      <c r="H130" s="24"/>
      <c r="I130" s="29">
        <f>(I119)</f>
        <v>2.6035505402086736</v>
      </c>
      <c r="J130" s="228">
        <f>(J119)</f>
        <v>2.6035505402086736</v>
      </c>
      <c r="K130" s="29">
        <f>(B130)</f>
        <v>2.6035505402086736</v>
      </c>
      <c r="L130" s="29">
        <f>(L119)</f>
        <v>2.6035505402086736</v>
      </c>
      <c r="M130" s="240">
        <f t="shared" si="66"/>
        <v>2.6035505402086736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1.6527777089644404</v>
      </c>
      <c r="J131" s="237">
        <f>IF(SUMPRODUCT($B124:$B125,$H124:$H125)&gt;(J119-J128),SUMPRODUCT($B124:$B125,$H124:$H125)+J128-J119,0)</f>
        <v>0.96050760347754149</v>
      </c>
      <c r="K131" s="29"/>
      <c r="L131" s="29">
        <f>IF(I131&lt;SUM(L126:L127),0,I131-(SUM(L126:L127)))</f>
        <v>1.6527777089644404</v>
      </c>
      <c r="M131" s="237">
        <f>IF(I131&lt;SUM(M126:M127),0,I131-(SUM(M126:M127)))</f>
        <v>1.6527777089644404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11" priority="3" operator="greaterThan">
      <formula>0</formula>
    </cfRule>
  </conditionalFormatting>
  <conditionalFormatting sqref="R32:T32">
    <cfRule type="cellIs" dxfId="10" priority="2" operator="greaterThan">
      <formula>0</formula>
    </cfRule>
  </conditionalFormatting>
  <conditionalFormatting sqref="R30:T30">
    <cfRule type="cellIs" dxfId="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ZACNI: 59106</v>
      </c>
      <c r="B1" s="244" t="str">
        <f>[1]WB!$A$2</f>
        <v>Coastal open access non-crop income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6" t="s">
        <v>105</v>
      </c>
      <c r="AA1" s="257"/>
      <c r="AB1" s="256" t="s">
        <v>106</v>
      </c>
      <c r="AC1" s="257"/>
      <c r="AD1" s="256" t="s">
        <v>107</v>
      </c>
      <c r="AE1" s="257"/>
      <c r="AF1" s="256" t="s">
        <v>108</v>
      </c>
      <c r="AG1" s="257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4" t="s">
        <v>109</v>
      </c>
      <c r="AA2" s="258"/>
      <c r="AB2" s="254" t="s">
        <v>110</v>
      </c>
      <c r="AC2" s="258"/>
      <c r="AD2" s="254" t="s">
        <v>111</v>
      </c>
      <c r="AE2" s="258"/>
      <c r="AF2" s="254" t="s">
        <v>112</v>
      </c>
      <c r="AG2" s="258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8.3437110834371116E-3</v>
      </c>
      <c r="C6" s="215">
        <f>IF([1]Summ!F1044="",0,[1]Summ!F1044)</f>
        <v>0</v>
      </c>
      <c r="D6" s="24">
        <f t="shared" ref="D6:D16" si="0">SUM(B6,C6)</f>
        <v>8.3437110834371116E-3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8.3437110834371116E-3</v>
      </c>
      <c r="J6" s="24">
        <f t="shared" ref="J6:J13" si="3">IF(I$32&lt;=1+I$131,I6,B6*H6+J$33*(I6-B6*H6))</f>
        <v>8.3437110834371116E-3</v>
      </c>
      <c r="K6" s="22">
        <f t="shared" ref="K6:K31" si="4">B6</f>
        <v>8.3437110834371116E-3</v>
      </c>
      <c r="L6" s="22">
        <f t="shared" ref="L6:L29" si="5">IF(K6="","",K6*H6)</f>
        <v>8.3437110834371116E-3</v>
      </c>
      <c r="M6" s="224">
        <f t="shared" ref="M6:M31" si="6">J6</f>
        <v>8.3437110834371116E-3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3.3374844333748446E-2</v>
      </c>
      <c r="Z6" s="116">
        <v>0.17</v>
      </c>
      <c r="AA6" s="121">
        <f>$M6*Z6*4</f>
        <v>5.6737235367372366E-3</v>
      </c>
      <c r="AB6" s="116">
        <v>0.17</v>
      </c>
      <c r="AC6" s="121">
        <f t="shared" ref="AC6:AC29" si="7">$M6*AB6*4</f>
        <v>5.6737235367372366E-3</v>
      </c>
      <c r="AD6" s="116">
        <v>0.33</v>
      </c>
      <c r="AE6" s="121">
        <f t="shared" ref="AE6:AE29" si="8">$M6*AD6*4</f>
        <v>1.1013698630136988E-2</v>
      </c>
      <c r="AF6" s="122">
        <f>1-SUM(Z6,AB6,AD6)</f>
        <v>0.32999999999999996</v>
      </c>
      <c r="AG6" s="121">
        <f>$M6*AF6*4</f>
        <v>1.1013698630136987E-2</v>
      </c>
      <c r="AH6" s="123">
        <f>SUM(Z6,AB6,AD6,AF6)</f>
        <v>1</v>
      </c>
      <c r="AI6" s="183">
        <f>SUM(AA6,AC6,AE6,AG6)/4</f>
        <v>8.3437110834371116E-3</v>
      </c>
      <c r="AJ6" s="120">
        <f>(AA6+AC6)/2</f>
        <v>5.6737235367372366E-3</v>
      </c>
      <c r="AK6" s="119">
        <f>(AE6+AG6)/2</f>
        <v>1.1013698630136987E-2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2957.4715602296419</v>
      </c>
      <c r="S7" s="222">
        <f>IF($B$81=0,0,(SUMIF($N$6:$N$28,$U7,L$6:L$28)+SUMIF($N$91:$N$118,$U7,L$91:L$118))*$I$83*Poor!$B$81/$B$81)</f>
        <v>2957.4715602296419</v>
      </c>
      <c r="T7" s="222">
        <f>IF($B$81=0,0,(SUMIF($N$6:$N$28,$U7,M$6:M$28)+SUMIF($N$91:$N$118,$U7,M$91:M$118))*$I$83*Poor!$B$81/$B$81)</f>
        <v>3358.1307240101223</v>
      </c>
      <c r="U7" s="223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2.6171573396637608E-2</v>
      </c>
      <c r="C8" s="215">
        <f>IF([1]Summ!F1046="",0,[1]Summ!F1046)</f>
        <v>0</v>
      </c>
      <c r="D8" s="24">
        <f t="shared" si="0"/>
        <v>2.6171573396637608E-2</v>
      </c>
      <c r="E8" s="26">
        <v>1</v>
      </c>
      <c r="F8" s="22" t="s">
        <v>23</v>
      </c>
      <c r="H8" s="24">
        <f t="shared" si="1"/>
        <v>1</v>
      </c>
      <c r="I8" s="22">
        <f t="shared" si="2"/>
        <v>2.6171573396637608E-2</v>
      </c>
      <c r="J8" s="24">
        <f t="shared" si="3"/>
        <v>2.6171573396637608E-2</v>
      </c>
      <c r="K8" s="22">
        <f t="shared" si="4"/>
        <v>2.6171573396637608E-2</v>
      </c>
      <c r="L8" s="22">
        <f t="shared" si="5"/>
        <v>2.6171573396637608E-2</v>
      </c>
      <c r="M8" s="224">
        <f t="shared" si="6"/>
        <v>2.6171573396637608E-2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836</v>
      </c>
      <c r="S8" s="222">
        <f>IF($B$81=0,0,(SUMIF($N$6:$N$28,$U8,L$6:L$28)+SUMIF($N$91:$N$118,$U8,L$91:L$118))*$I$83*Poor!$B$81/$B$81)</f>
        <v>836</v>
      </c>
      <c r="T8" s="222">
        <f>IF($B$81=0,0,(SUMIF($N$6:$N$28,$U8,M$6:M$28)+SUMIF($N$91:$N$118,$U8,M$91:M$118))*$I$83*Poor!$B$81/$B$81)</f>
        <v>150</v>
      </c>
      <c r="U8" s="223">
        <v>2</v>
      </c>
      <c r="V8" s="184"/>
      <c r="W8" s="115"/>
      <c r="X8" s="124">
        <v>1</v>
      </c>
      <c r="Y8" s="183">
        <f t="shared" si="9"/>
        <v>0.10468629358655043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0.10468629358655043</v>
      </c>
      <c r="AH8" s="123">
        <f t="shared" si="12"/>
        <v>1</v>
      </c>
      <c r="AI8" s="183">
        <f t="shared" si="13"/>
        <v>2.6171573396637608E-2</v>
      </c>
      <c r="AJ8" s="120">
        <f t="shared" si="14"/>
        <v>0</v>
      </c>
      <c r="AK8" s="119">
        <f t="shared" si="15"/>
        <v>5.2343146793275216E-2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5">
        <f>IF([1]Summ!E1047="",0,[1]Summ!E1047)</f>
        <v>4.2500000000000003E-2</v>
      </c>
      <c r="C9" s="215">
        <f>IF([1]Summ!F1047="",0,[1]Summ!F1047)</f>
        <v>0</v>
      </c>
      <c r="D9" s="24">
        <f t="shared" si="0"/>
        <v>4.2500000000000003E-2</v>
      </c>
      <c r="E9" s="26">
        <v>1</v>
      </c>
      <c r="F9" s="28">
        <v>8800</v>
      </c>
      <c r="H9" s="24">
        <f t="shared" si="1"/>
        <v>1</v>
      </c>
      <c r="I9" s="22">
        <f t="shared" si="2"/>
        <v>4.2500000000000003E-2</v>
      </c>
      <c r="J9" s="24">
        <f t="shared" si="3"/>
        <v>4.2500000000000003E-2</v>
      </c>
      <c r="K9" s="22">
        <f t="shared" si="4"/>
        <v>4.2500000000000003E-2</v>
      </c>
      <c r="L9" s="22">
        <f t="shared" si="5"/>
        <v>4.2500000000000003E-2</v>
      </c>
      <c r="M9" s="224">
        <f t="shared" si="6"/>
        <v>4.2500000000000003E-2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291.91926659903811</v>
      </c>
      <c r="S9" s="222">
        <f>IF($B$81=0,0,(SUMIF($N$6:$N$28,$U9,L$6:L$28)+SUMIF($N$91:$N$118,$U9,L$91:L$118))*$I$83*Poor!$B$81/$B$81)</f>
        <v>291.91926659903811</v>
      </c>
      <c r="T9" s="222">
        <f>IF($B$81=0,0,(SUMIF($N$6:$N$28,$U9,M$6:M$28)+SUMIF($N$91:$N$118,$U9,M$91:M$118))*$I$83*Poor!$B$81/$B$81)</f>
        <v>291.91926659903811</v>
      </c>
      <c r="U9" s="223">
        <v>3</v>
      </c>
      <c r="V9" s="56"/>
      <c r="W9" s="115"/>
      <c r="X9" s="124">
        <v>1</v>
      </c>
      <c r="Y9" s="183">
        <f t="shared" si="9"/>
        <v>0.17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0.17</v>
      </c>
      <c r="AH9" s="123">
        <f t="shared" si="12"/>
        <v>1</v>
      </c>
      <c r="AI9" s="183">
        <f t="shared" si="13"/>
        <v>4.2500000000000003E-2</v>
      </c>
      <c r="AJ9" s="120">
        <f t="shared" si="14"/>
        <v>0</v>
      </c>
      <c r="AK9" s="119">
        <f t="shared" si="15"/>
        <v>8.5000000000000006E-2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8.8718578767123274E-2</v>
      </c>
      <c r="C10" s="215">
        <f>IF([1]Summ!F1048="",0,[1]Summ!F1048)</f>
        <v>0</v>
      </c>
      <c r="D10" s="24">
        <f t="shared" si="0"/>
        <v>8.8718578767123274E-2</v>
      </c>
      <c r="E10" s="26">
        <v>1</v>
      </c>
      <c r="H10" s="24">
        <f t="shared" si="1"/>
        <v>1</v>
      </c>
      <c r="I10" s="22">
        <f t="shared" si="2"/>
        <v>8.8718578767123274E-2</v>
      </c>
      <c r="J10" s="24">
        <f t="shared" si="3"/>
        <v>8.8718578767123274E-2</v>
      </c>
      <c r="K10" s="22">
        <f t="shared" si="4"/>
        <v>8.8718578767123274E-2</v>
      </c>
      <c r="L10" s="22">
        <f t="shared" si="5"/>
        <v>8.8718578767123274E-2</v>
      </c>
      <c r="M10" s="224">
        <f t="shared" si="6"/>
        <v>8.8718578767123274E-2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0.3548743150684931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0.3548743150684931</v>
      </c>
      <c r="AH10" s="123">
        <f t="shared" si="12"/>
        <v>1</v>
      </c>
      <c r="AI10" s="183">
        <f t="shared" si="13"/>
        <v>8.8718578767123274E-2</v>
      </c>
      <c r="AJ10" s="120">
        <f t="shared" si="14"/>
        <v>0</v>
      </c>
      <c r="AK10" s="119">
        <f t="shared" si="15"/>
        <v>0.17743715753424655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Sorghum: kg produced</v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500</v>
      </c>
      <c r="S11" s="222">
        <f>IF($B$81=0,0,(SUMIF($N$6:$N$28,$U11,L$6:L$28)+SUMIF($N$91:$N$118,$U11,L$91:L$118))*$I$83*Poor!$B$81/$B$81)</f>
        <v>500</v>
      </c>
      <c r="T11" s="222">
        <f>IF($B$81=0,0,(SUMIF($N$6:$N$28,$U11,M$6:M$28)+SUMIF($N$91:$N$118,$U11,M$91:M$118))*$I$83*Poor!$B$81/$B$81)</f>
        <v>500</v>
      </c>
      <c r="U11" s="223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Beans: kg produced</v>
      </c>
      <c r="B12" s="215">
        <f>IF([1]Summ!E1050="",0,[1]Summ!E1050)</f>
        <v>8.2852887608966391E-2</v>
      </c>
      <c r="C12" s="215">
        <f>IF([1]Summ!F1050="",0,[1]Summ!F1050)</f>
        <v>0</v>
      </c>
      <c r="D12" s="24">
        <f t="shared" si="0"/>
        <v>8.2852887608966391E-2</v>
      </c>
      <c r="E12" s="26">
        <v>1</v>
      </c>
      <c r="H12" s="24">
        <f t="shared" si="1"/>
        <v>1</v>
      </c>
      <c r="I12" s="22">
        <f t="shared" si="2"/>
        <v>8.2852887608966391E-2</v>
      </c>
      <c r="J12" s="24">
        <f t="shared" si="3"/>
        <v>8.2852887608966391E-2</v>
      </c>
      <c r="K12" s="22">
        <f t="shared" si="4"/>
        <v>8.2852887608966391E-2</v>
      </c>
      <c r="L12" s="22">
        <f t="shared" si="5"/>
        <v>8.2852887608966391E-2</v>
      </c>
      <c r="M12" s="224">
        <f t="shared" si="6"/>
        <v>8.2852887608966391E-2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0.33141155043586557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0.22204573879202993</v>
      </c>
      <c r="AF12" s="122">
        <f>1-SUM(Z12,AB12,AD12)</f>
        <v>0.32999999999999996</v>
      </c>
      <c r="AG12" s="121">
        <f>$M12*AF12*4</f>
        <v>0.10936581164383562</v>
      </c>
      <c r="AH12" s="123">
        <f t="shared" si="12"/>
        <v>1</v>
      </c>
      <c r="AI12" s="183">
        <f t="shared" si="13"/>
        <v>8.2852887608966391E-2</v>
      </c>
      <c r="AJ12" s="120">
        <f t="shared" si="14"/>
        <v>0</v>
      </c>
      <c r="AK12" s="119">
        <f t="shared" si="15"/>
        <v>0.16570577521793278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Cassava: no. local meas.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1749.301602262017</v>
      </c>
      <c r="S13" s="222">
        <f>IF($B$81=0,0,(SUMIF($N$6:$N$28,$U13,L$6:L$28)+SUMIF($N$91:$N$118,$U13,L$91:L$118))*$I$83*Poor!$B$81/$B$81)</f>
        <v>1749.301602262017</v>
      </c>
      <c r="T13" s="222">
        <f>IF($B$81=0,0,(SUMIF($N$6:$N$28,$U13,M$6:M$28)+SUMIF($N$91:$N$118,$U13,M$91:M$118))*$I$83*Poor!$B$81/$B$81)</f>
        <v>1749.301602262017</v>
      </c>
      <c r="U13" s="223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Water melon: no. local meas (Bhece)</v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Pumpkin: no. local meas</v>
      </c>
      <c r="B15" s="215">
        <f>IF([1]Summ!E1053="",0,[1]Summ!E1053)</f>
        <v>2.1996341843088418E-2</v>
      </c>
      <c r="C15" s="215">
        <f>IF([1]Summ!F1053="",0,[1]Summ!F1053)</f>
        <v>0</v>
      </c>
      <c r="D15" s="24">
        <f t="shared" si="0"/>
        <v>2.1996341843088418E-2</v>
      </c>
      <c r="E15" s="26">
        <v>1</v>
      </c>
      <c r="F15" s="22"/>
      <c r="H15" s="24">
        <f t="shared" si="1"/>
        <v>1</v>
      </c>
      <c r="I15" s="22">
        <f t="shared" si="2"/>
        <v>2.1996341843088418E-2</v>
      </c>
      <c r="J15" s="24">
        <f>IF(I$32&lt;=1+I131,I15,B15*H15+J$33*(I15-B15*H15))</f>
        <v>2.1996341843088418E-2</v>
      </c>
      <c r="K15" s="22">
        <f t="shared" si="4"/>
        <v>2.1996341843088418E-2</v>
      </c>
      <c r="L15" s="22">
        <f t="shared" si="5"/>
        <v>2.1996341843088418E-2</v>
      </c>
      <c r="M15" s="226">
        <f t="shared" si="6"/>
        <v>2.1996341843088418E-2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8.7985367372353671E-2</v>
      </c>
      <c r="Z15" s="116">
        <v>0.25</v>
      </c>
      <c r="AA15" s="121">
        <f t="shared" si="16"/>
        <v>2.1996341843088418E-2</v>
      </c>
      <c r="AB15" s="116">
        <v>0.25</v>
      </c>
      <c r="AC15" s="121">
        <f t="shared" si="7"/>
        <v>2.1996341843088418E-2</v>
      </c>
      <c r="AD15" s="116">
        <v>0.25</v>
      </c>
      <c r="AE15" s="121">
        <f t="shared" si="8"/>
        <v>2.1996341843088418E-2</v>
      </c>
      <c r="AF15" s="122">
        <f t="shared" si="10"/>
        <v>0.25</v>
      </c>
      <c r="AG15" s="121">
        <f t="shared" si="11"/>
        <v>2.1996341843088418E-2</v>
      </c>
      <c r="AH15" s="123">
        <f t="shared" si="12"/>
        <v>1</v>
      </c>
      <c r="AI15" s="183">
        <f t="shared" si="13"/>
        <v>2.1996341843088418E-2</v>
      </c>
      <c r="AJ15" s="120">
        <f t="shared" si="14"/>
        <v>2.1996341843088418E-2</v>
      </c>
      <c r="AK15" s="119">
        <f t="shared" si="15"/>
        <v>2.1996341843088418E-2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Sweet poatato: no. local meas</v>
      </c>
      <c r="B16" s="215">
        <f>IF([1]Summ!E1054="",0,[1]Summ!E1054)</f>
        <v>2.5988480697384807E-2</v>
      </c>
      <c r="C16" s="215">
        <f>IF([1]Summ!F1054="",0,[1]Summ!F1054)</f>
        <v>0</v>
      </c>
      <c r="D16" s="24">
        <f t="shared" si="0"/>
        <v>2.5988480697384807E-2</v>
      </c>
      <c r="E16" s="26">
        <v>1</v>
      </c>
      <c r="F16" s="22"/>
      <c r="H16" s="24">
        <f t="shared" si="1"/>
        <v>1</v>
      </c>
      <c r="I16" s="22">
        <f t="shared" si="2"/>
        <v>2.5988480697384807E-2</v>
      </c>
      <c r="J16" s="24">
        <f>IF(I$32&lt;=1+I131,I16,B16*H16+J$33*(I16-B16*H16))</f>
        <v>2.5988480697384807E-2</v>
      </c>
      <c r="K16" s="22">
        <f t="shared" si="4"/>
        <v>2.5988480697384807E-2</v>
      </c>
      <c r="L16" s="22">
        <f t="shared" si="5"/>
        <v>2.5988480697384807E-2</v>
      </c>
      <c r="M16" s="224">
        <f t="shared" si="6"/>
        <v>2.5988480697384807E-2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0.10395392278953923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0.10395392278953923</v>
      </c>
      <c r="AH16" s="123">
        <f t="shared" si="12"/>
        <v>1</v>
      </c>
      <c r="AI16" s="183">
        <f t="shared" si="13"/>
        <v>2.5988480697384807E-2</v>
      </c>
      <c r="AJ16" s="120">
        <f t="shared" si="14"/>
        <v>0</v>
      </c>
      <c r="AK16" s="119">
        <f t="shared" si="15"/>
        <v>5.1976961394769615E-2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Groundnuts (dry): no. local meas</v>
      </c>
      <c r="B17" s="215">
        <f>IF([1]Summ!E1055="",0,[1]Summ!E1055)</f>
        <v>5.849071699875466E-2</v>
      </c>
      <c r="C17" s="215">
        <f>IF([1]Summ!F1055="",0,[1]Summ!F1055)</f>
        <v>4.7169933063511846E-2</v>
      </c>
      <c r="D17" s="24">
        <f>SUM(B17,C17)</f>
        <v>0.10566065006226651</v>
      </c>
      <c r="E17" s="26">
        <v>1</v>
      </c>
      <c r="F17" s="22"/>
      <c r="H17" s="24">
        <f t="shared" si="1"/>
        <v>1</v>
      </c>
      <c r="I17" s="22">
        <f t="shared" si="2"/>
        <v>0.10566065006226651</v>
      </c>
      <c r="J17" s="24">
        <f t="shared" ref="J17:J25" si="17">IF(I$32&lt;=1+I131,I17,B17*H17+J$33*(I17-B17*H17))</f>
        <v>0.10566065006226651</v>
      </c>
      <c r="K17" s="22">
        <f t="shared" si="4"/>
        <v>5.849071699875466E-2</v>
      </c>
      <c r="L17" s="22">
        <f t="shared" si="5"/>
        <v>5.849071699875466E-2</v>
      </c>
      <c r="M17" s="225">
        <f t="shared" si="6"/>
        <v>0.10566065006226651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0.42264260024906602</v>
      </c>
      <c r="Z17" s="116">
        <v>0.29409999999999997</v>
      </c>
      <c r="AA17" s="121">
        <f t="shared" si="16"/>
        <v>0.12429918873325031</v>
      </c>
      <c r="AB17" s="116">
        <v>0.17649999999999999</v>
      </c>
      <c r="AC17" s="121">
        <f t="shared" si="7"/>
        <v>7.4596418943960144E-2</v>
      </c>
      <c r="AD17" s="116">
        <v>0.23530000000000001</v>
      </c>
      <c r="AE17" s="121">
        <f t="shared" si="8"/>
        <v>9.9447803838605242E-2</v>
      </c>
      <c r="AF17" s="122">
        <f t="shared" si="10"/>
        <v>0.29410000000000003</v>
      </c>
      <c r="AG17" s="121">
        <f t="shared" si="11"/>
        <v>0.12429918873325033</v>
      </c>
      <c r="AH17" s="123">
        <f t="shared" si="12"/>
        <v>1</v>
      </c>
      <c r="AI17" s="183">
        <f t="shared" si="13"/>
        <v>0.10566065006226649</v>
      </c>
      <c r="AJ17" s="120">
        <f t="shared" si="14"/>
        <v>9.9447803838605228E-2</v>
      </c>
      <c r="AK17" s="119">
        <f t="shared" si="15"/>
        <v>0.11187349628592778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Irish potato: type</v>
      </c>
      <c r="B18" s="215">
        <f>IF([1]Summ!E1056="",0,[1]Summ!E1056)</f>
        <v>8.3094645080946453E-3</v>
      </c>
      <c r="C18" s="215">
        <f>IF([1]Summ!F1056="",0,[1]Summ!F1056)</f>
        <v>2.1995641344956414E-3</v>
      </c>
      <c r="D18" s="24">
        <f t="shared" ref="D18:D20" si="18">SUM(B18,C18)</f>
        <v>1.0509028642590287E-2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1.0509028642590287E-2</v>
      </c>
      <c r="J18" s="24">
        <f t="shared" si="17"/>
        <v>8.5117558905513264E-3</v>
      </c>
      <c r="K18" s="22">
        <f t="shared" ref="K18:K20" si="21">B18</f>
        <v>8.3094645080946453E-3</v>
      </c>
      <c r="L18" s="22">
        <f t="shared" ref="L18:L20" si="22">IF(K18="","",K18*H18)</f>
        <v>8.3094645080946453E-3</v>
      </c>
      <c r="M18" s="225">
        <f t="shared" ref="M18:M20" si="23">J18</f>
        <v>8.5117558905513264E-3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1006.8667886195384</v>
      </c>
      <c r="S18" s="222">
        <f>IF($B$81=0,0,(SUMIF($N$6:$N$28,$U18,L$6:L$28)+SUMIF($N$91:$N$118,$U18,L$91:L$118))*$I$83*Poor!$B$81/$B$81)</f>
        <v>1006.8667886195384</v>
      </c>
      <c r="T18" s="222">
        <f>IF($B$81=0,0,(SUMIF($N$6:$N$28,$U18,M$6:M$28)+SUMIF($N$91:$N$118,$U18,M$91:M$118))*$I$83*Poor!$B$81/$B$81)</f>
        <v>1006.8667886195384</v>
      </c>
      <c r="U18" s="223">
        <v>12</v>
      </c>
      <c r="V18" s="56"/>
      <c r="W18" s="110"/>
      <c r="X18" s="118"/>
      <c r="Y18" s="183">
        <f t="shared" ref="Y18:Y20" si="24">M18*4</f>
        <v>3.4047023562205306E-2</v>
      </c>
      <c r="Z18" s="116">
        <v>1.2941</v>
      </c>
      <c r="AA18" s="121">
        <f t="shared" ref="AA18:AA20" si="25">$M18*Z18*4</f>
        <v>4.4060253191849884E-2</v>
      </c>
      <c r="AB18" s="116">
        <v>1.1765000000000001</v>
      </c>
      <c r="AC18" s="121">
        <f t="shared" ref="AC18:AC20" si="26">$M18*AB18*4</f>
        <v>4.0056323220934546E-2</v>
      </c>
      <c r="AD18" s="116">
        <v>1.2353000000000001</v>
      </c>
      <c r="AE18" s="121">
        <f t="shared" ref="AE18:AE20" si="27">$M18*AD18*4</f>
        <v>4.2058288206392215E-2</v>
      </c>
      <c r="AF18" s="122">
        <f t="shared" ref="AF18:AF20" si="28">1-SUM(Z18,AB18,AD18)</f>
        <v>-2.7059000000000002</v>
      </c>
      <c r="AG18" s="121">
        <f t="shared" ref="AG18:AG20" si="29">$M18*AF18*4</f>
        <v>-9.2127841056971346E-2</v>
      </c>
      <c r="AH18" s="123">
        <f t="shared" ref="AH18:AH20" si="30">SUM(Z18,AB18,AD18,AF18)</f>
        <v>1</v>
      </c>
      <c r="AI18" s="183">
        <f t="shared" ref="AI18:AI20" si="31">SUM(AA18,AC18,AE18,AG18)/4</f>
        <v>8.5117558905513264E-3</v>
      </c>
      <c r="AJ18" s="120">
        <f t="shared" ref="AJ18:AJ20" si="32">(AA18+AC18)/2</f>
        <v>4.2058288206392215E-2</v>
      </c>
      <c r="AK18" s="119">
        <f t="shared" ref="AK18:AK20" si="33">(AE18+AG18)/2</f>
        <v>-2.5034776425289566E-2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Yam: type</v>
      </c>
      <c r="B19" s="215">
        <f>IF([1]Summ!E1057="",0,[1]Summ!E1057)</f>
        <v>2.082230697384807E-2</v>
      </c>
      <c r="C19" s="215">
        <f>IF([1]Summ!F1057="",0,[1]Summ!F1057)</f>
        <v>0</v>
      </c>
      <c r="D19" s="24">
        <f t="shared" si="18"/>
        <v>2.082230697384807E-2</v>
      </c>
      <c r="E19" s="26">
        <v>1</v>
      </c>
      <c r="F19" s="22"/>
      <c r="H19" s="24">
        <f t="shared" si="19"/>
        <v>1</v>
      </c>
      <c r="I19" s="22">
        <f t="shared" si="20"/>
        <v>2.082230697384807E-2</v>
      </c>
      <c r="J19" s="24">
        <f t="shared" si="17"/>
        <v>2.082230697384807E-2</v>
      </c>
      <c r="K19" s="22">
        <f t="shared" si="21"/>
        <v>2.082230697384807E-2</v>
      </c>
      <c r="L19" s="22">
        <f t="shared" si="22"/>
        <v>2.082230697384807E-2</v>
      </c>
      <c r="M19" s="225">
        <f t="shared" si="23"/>
        <v>2.082230697384807E-2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8.3289227895392282E-2</v>
      </c>
      <c r="Z19" s="116">
        <v>2.2940999999999998</v>
      </c>
      <c r="AA19" s="121">
        <f t="shared" si="25"/>
        <v>0.19107381771481941</v>
      </c>
      <c r="AB19" s="116">
        <v>2.1764999999999999</v>
      </c>
      <c r="AC19" s="121">
        <f t="shared" si="26"/>
        <v>0.1812790045143213</v>
      </c>
      <c r="AD19" s="116">
        <v>2.2353000000000001</v>
      </c>
      <c r="AE19" s="121">
        <f t="shared" si="27"/>
        <v>0.18617641111457037</v>
      </c>
      <c r="AF19" s="122">
        <f t="shared" si="28"/>
        <v>-5.7058999999999997</v>
      </c>
      <c r="AG19" s="121">
        <f t="shared" si="29"/>
        <v>-0.47524000544831879</v>
      </c>
      <c r="AH19" s="123">
        <f t="shared" si="30"/>
        <v>1</v>
      </c>
      <c r="AI19" s="183">
        <f t="shared" si="31"/>
        <v>2.082230697384807E-2</v>
      </c>
      <c r="AJ19" s="120">
        <f t="shared" si="32"/>
        <v>0.18617641111457034</v>
      </c>
      <c r="AK19" s="119">
        <f t="shared" si="33"/>
        <v>-0.1445317971668742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FISHING -- see worksheet Data 3</v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22020</v>
      </c>
      <c r="S20" s="222">
        <f>IF($B$81=0,0,(SUMIF($N$6:$N$28,$U20,L$6:L$28)+SUMIF($N$91:$N$118,$U20,L$91:L$118))*$I$83*Poor!$B$81/$B$81)</f>
        <v>22020</v>
      </c>
      <c r="T20" s="222">
        <f>IF($B$81=0,0,(SUMIF($N$6:$N$28,$U20,M$6:M$28)+SUMIF($N$91:$N$118,$U20,M$91:M$118))*$I$83*Poor!$B$81/$B$81)</f>
        <v>22020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Labour: Land clearing, construction, herding, slaughtering</v>
      </c>
      <c r="B21" s="215">
        <f>IF([1]Summ!E1059="",0,[1]Summ!E1059)</f>
        <v>5.6779890410958905E-2</v>
      </c>
      <c r="C21" s="215">
        <f>IF([1]Summ!F1059="",0,[1]Summ!F1059)</f>
        <v>0</v>
      </c>
      <c r="D21" s="24">
        <f t="shared" ref="D21:D25" si="34">SUM(B21,C21)</f>
        <v>5.6779890410958905E-2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5.6779890410958905E-2</v>
      </c>
      <c r="J21" s="24">
        <f t="shared" si="17"/>
        <v>5.6779890410958905E-2</v>
      </c>
      <c r="K21" s="22">
        <f t="shared" ref="K21:K25" si="37">B21</f>
        <v>5.6779890410958905E-2</v>
      </c>
      <c r="L21" s="22">
        <f t="shared" ref="L21:L25" si="38">IF(K21="","",K21*H21)</f>
        <v>5.6779890410958905E-2</v>
      </c>
      <c r="M21" s="225">
        <f t="shared" ref="M21:M25" si="39">J21</f>
        <v>5.6779890410958905E-2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>
        <f t="shared" ref="Y21:Y25" si="40">M21*4</f>
        <v>0.22711956164383562</v>
      </c>
      <c r="Z21" s="116">
        <v>4.2941000000000003</v>
      </c>
      <c r="AA21" s="121">
        <f t="shared" ref="AA21:AA25" si="41">$M21*Z21*4</f>
        <v>0.97527410965479455</v>
      </c>
      <c r="AB21" s="116">
        <v>4.1764999999999999</v>
      </c>
      <c r="AC21" s="121">
        <f t="shared" ref="AC21:AC25" si="42">$M21*AB21*4</f>
        <v>0.94856484920547945</v>
      </c>
      <c r="AD21" s="116">
        <v>4.2352999999999996</v>
      </c>
      <c r="AE21" s="121">
        <f t="shared" ref="AE21:AE25" si="43">$M21*AD21*4</f>
        <v>0.96191947943013689</v>
      </c>
      <c r="AF21" s="122">
        <f t="shared" ref="AF21:AF25" si="44">1-SUM(Z21,AB21,AD21)</f>
        <v>-11.7059</v>
      </c>
      <c r="AG21" s="121">
        <f t="shared" ref="AG21:AG25" si="45">$M21*AF21*4</f>
        <v>-2.6586388766465752</v>
      </c>
      <c r="AH21" s="123">
        <f t="shared" ref="AH21:AH25" si="46">SUM(Z21,AB21,AD21,AF21)</f>
        <v>1</v>
      </c>
      <c r="AI21" s="183">
        <f t="shared" ref="AI21:AI25" si="47">SUM(AA21,AC21,AE21,AG21)/4</f>
        <v>5.6779890410958989E-2</v>
      </c>
      <c r="AJ21" s="120">
        <f t="shared" ref="AJ21:AJ25" si="48">(AA21+AC21)/2</f>
        <v>0.961919479430137</v>
      </c>
      <c r="AK21" s="119">
        <f t="shared" ref="AK21:AK25" si="49">(AE21+AG21)/2</f>
        <v>-0.84835969860821914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Labour: Weeding</v>
      </c>
      <c r="B22" s="215">
        <f>IF([1]Summ!E1060="",0,[1]Summ!E1060)</f>
        <v>1.8926630136986301E-2</v>
      </c>
      <c r="C22" s="215">
        <f>IF([1]Summ!F1060="",0,[1]Summ!F1060)</f>
        <v>0</v>
      </c>
      <c r="D22" s="24">
        <f t="shared" si="34"/>
        <v>1.8926630136986301E-2</v>
      </c>
      <c r="E22" s="26">
        <v>1</v>
      </c>
      <c r="F22" s="22"/>
      <c r="H22" s="24">
        <f t="shared" si="35"/>
        <v>1</v>
      </c>
      <c r="I22" s="22">
        <f t="shared" si="36"/>
        <v>1.8926630136986301E-2</v>
      </c>
      <c r="J22" s="24">
        <f t="shared" si="17"/>
        <v>1.8926630136986301E-2</v>
      </c>
      <c r="K22" s="22">
        <f t="shared" si="37"/>
        <v>1.8926630136986301E-2</v>
      </c>
      <c r="L22" s="22">
        <f t="shared" si="38"/>
        <v>1.8926630136986301E-2</v>
      </c>
      <c r="M22" s="225">
        <f t="shared" si="39"/>
        <v>1.8926630136986301E-2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7.5706520547945202E-2</v>
      </c>
      <c r="Z22" s="116">
        <v>5.2941000000000003</v>
      </c>
      <c r="AA22" s="121">
        <f t="shared" si="41"/>
        <v>0.40079789043287672</v>
      </c>
      <c r="AB22" s="116">
        <v>5.1764999999999999</v>
      </c>
      <c r="AC22" s="121">
        <f t="shared" si="42"/>
        <v>0.39189480361643836</v>
      </c>
      <c r="AD22" s="116">
        <v>5.2352999999999996</v>
      </c>
      <c r="AE22" s="121">
        <f t="shared" si="43"/>
        <v>0.39634634702465749</v>
      </c>
      <c r="AF22" s="122">
        <f t="shared" si="44"/>
        <v>-14.7059</v>
      </c>
      <c r="AG22" s="121">
        <f t="shared" si="45"/>
        <v>-1.1133325205260274</v>
      </c>
      <c r="AH22" s="123">
        <f t="shared" si="46"/>
        <v>1</v>
      </c>
      <c r="AI22" s="183">
        <f t="shared" si="47"/>
        <v>1.8926630136986311E-2</v>
      </c>
      <c r="AJ22" s="120">
        <f t="shared" si="48"/>
        <v>0.39634634702465754</v>
      </c>
      <c r="AK22" s="119">
        <f t="shared" si="49"/>
        <v>-0.35849308675068492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>Gifts/remittances: cereal</v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>
        <v>13</v>
      </c>
      <c r="O23" s="2"/>
      <c r="P23" s="22"/>
      <c r="Q23" s="171" t="s">
        <v>100</v>
      </c>
      <c r="R23" s="179">
        <f>SUM(R7:R22)</f>
        <v>29361.559217710233</v>
      </c>
      <c r="S23" s="179">
        <f>SUM(S7:S22)</f>
        <v>29361.559217710233</v>
      </c>
      <c r="T23" s="179">
        <f>SUM(T7:T22)</f>
        <v>29076.218381490715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>Gifts/remittances: Other</v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20136.903793668345</v>
      </c>
      <c r="S24" s="41">
        <f>IF($B$81=0,0,(SUM(($B$70*$H$70))+((1-$D$29)*$I$83))*Poor!$B$81/$B$81)</f>
        <v>20136.903793668345</v>
      </c>
      <c r="T24" s="41">
        <f>IF($B$81=0,0,(SUM(($B$70*$H$70))+((1-$D$29)*$I$83))*Poor!$B$81/$B$81)</f>
        <v>20136.903793668345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34115.570460335017</v>
      </c>
      <c r="S25" s="41">
        <f>IF($B$81=0,0,(SUM(($B$70*$H$70),($B$71*$H$71))+((1-$D$29)*$I$83))*Poor!$B$81/$B$81)</f>
        <v>34115.570460335017</v>
      </c>
      <c r="T25" s="41">
        <f>IF($B$81=0,0,(SUM(($B$70*$H$70),($B$71*$H$71))+((1-$D$29)*$I$83))*Poor!$B$81/$B$81)</f>
        <v>34115.570460335017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61859.57046033501</v>
      </c>
      <c r="S26" s="41">
        <f>IF($B$81=0,0,(SUM(($B$70*$H$70),($B$71*$H$71),($B$72*$H$72))+((1-$D$29)*$I$83))*Poor!$B$81/$B$81)</f>
        <v>61859.57046033501</v>
      </c>
      <c r="T26" s="41">
        <f>IF($B$81=0,0,(SUM(($B$70*$H$70),($B$71*$H$71),($B$72*$H$72))+((1-$D$29)*$I$83))*Poor!$B$81/$B$81)</f>
        <v>61859.57046033501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3.314115504358655E-2</v>
      </c>
      <c r="C27" s="215">
        <f>IF([1]Summ!F1065="",0,[1]Summ!F1065)</f>
        <v>-3.314115504358655E-2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0.19715891469489413</v>
      </c>
      <c r="C29" s="215">
        <f>IF([1]Summ!F1067="",0,[1]Summ!F1067)</f>
        <v>2.7477859247102939E-2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0.19715891469489413</v>
      </c>
      <c r="L29" s="22">
        <f t="shared" si="5"/>
        <v>0.19715891469489413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0.57048734589041095</v>
      </c>
      <c r="C30" s="103"/>
      <c r="D30" s="24">
        <f>(D119-B124)</f>
        <v>1.2059890909756568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1.2059890909756568</v>
      </c>
      <c r="J30" s="231">
        <f>IF(I$32&lt;=1,I30,1-SUM(J6:J29))</f>
        <v>0.14904280013913518</v>
      </c>
      <c r="K30" s="22">
        <f t="shared" si="4"/>
        <v>0.57048734589041095</v>
      </c>
      <c r="L30" s="22">
        <f>IF(L124=L119,0,IF(K30="",0,(L119-L124)/(B119-B124)*K30))</f>
        <v>0.57048734589041095</v>
      </c>
      <c r="M30" s="175">
        <f t="shared" si="6"/>
        <v>0.14904280013913518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0.59617120055654071</v>
      </c>
      <c r="Z30" s="122">
        <f>IF($Y30=0,0,AA30/($Y$30))</f>
        <v>-1.8566138670632719</v>
      </c>
      <c r="AA30" s="187">
        <f>IF(AA79*4/$I$83+SUM(AA6:AA29)&lt;1,AA79*4/$I$83,1-SUM(AA6:AA29))</f>
        <v>-1.1068597180970325</v>
      </c>
      <c r="AB30" s="122">
        <f>IF($Y30=0,0,AC30/($Y$30))</f>
        <v>-1.6903631992451487</v>
      </c>
      <c r="AC30" s="187">
        <f>IF(AC79*4/$I$83+SUM(AC6:AC29)&lt;1,AC79*4/$I$83,1-SUM(AC6:AC29))</f>
        <v>-1.0077458578705754</v>
      </c>
      <c r="AD30" s="122">
        <f>IF($Y30=0,0,AE30/($Y$30))</f>
        <v>-2.154898627558568</v>
      </c>
      <c r="AE30" s="187">
        <f>IF(AE79*4/$I$83+SUM(AE6:AE29)&lt;1,AE79*4/$I$83,1-SUM(AE6:AE29))</f>
        <v>-1.2846885018692333</v>
      </c>
      <c r="AF30" s="122">
        <f>IF($Y30=0,0,AG30/($Y$30))</f>
        <v>6.701875693866989</v>
      </c>
      <c r="AG30" s="187">
        <f>IF(AG79*4/$I$83+SUM(AG6:AG29)&lt;1,AG79*4/$I$83,1-SUM(AG6:AG29))</f>
        <v>3.9954652783933824</v>
      </c>
      <c r="AH30" s="123">
        <f t="shared" si="12"/>
        <v>1.0000000000000009</v>
      </c>
      <c r="AI30" s="183">
        <f t="shared" si="13"/>
        <v>0.14904280013913529</v>
      </c>
      <c r="AJ30" s="120">
        <f t="shared" si="14"/>
        <v>-1.0573027879838039</v>
      </c>
      <c r="AK30" s="119">
        <f t="shared" si="15"/>
        <v>1.3553883882620745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-0.37973561710179071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4754.0112426247833</v>
      </c>
      <c r="S31" s="234">
        <f t="shared" si="50"/>
        <v>4754.0112426247833</v>
      </c>
      <c r="T31" s="234">
        <f>IF(T25&gt;T$23,T25-T$23,0)</f>
        <v>5039.352078844302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1.3797356171017907</v>
      </c>
      <c r="C32" s="29">
        <f>SUM(C6:C31)</f>
        <v>4.370620140152387E-2</v>
      </c>
      <c r="D32" s="24">
        <f>SUM(D6:D30)</f>
        <v>2.0589435635885605</v>
      </c>
      <c r="E32" s="2"/>
      <c r="F32" s="2"/>
      <c r="H32" s="17"/>
      <c r="I32" s="22">
        <f>SUM(I6:I30)</f>
        <v>2.0589435635885605</v>
      </c>
      <c r="J32" s="17"/>
      <c r="L32" s="22">
        <f>SUM(L6:L30)</f>
        <v>1.3797356171017907</v>
      </c>
      <c r="M32" s="23"/>
      <c r="N32" s="56"/>
      <c r="O32" s="2"/>
      <c r="P32" s="22"/>
      <c r="Q32" s="234" t="s">
        <v>143</v>
      </c>
      <c r="R32" s="234">
        <f t="shared" si="50"/>
        <v>32498.011242624776</v>
      </c>
      <c r="S32" s="234">
        <f t="shared" si="50"/>
        <v>32498.011242624776</v>
      </c>
      <c r="T32" s="234">
        <f t="shared" si="50"/>
        <v>32783.352078844298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1.0000000000000004</v>
      </c>
      <c r="AK32" s="141">
        <f>SUM(AK6:AK31)</f>
        <v>1.0000000000000002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9.1968849320716431E-2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5039.3520788442947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66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3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66"/>
      <c r="S37" s="266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500</v>
      </c>
      <c r="C38" s="216">
        <f>IF([1]Summ!F1073="",0,[1]Summ!F1073)</f>
        <v>0</v>
      </c>
      <c r="D38" s="38">
        <f t="shared" ref="D38:D47" si="58">SUM(B38,C38)</f>
        <v>500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500</v>
      </c>
      <c r="J38" s="38">
        <f t="shared" si="53"/>
        <v>500</v>
      </c>
      <c r="K38" s="40">
        <f t="shared" si="54"/>
        <v>2.0437359493153485E-2</v>
      </c>
      <c r="L38" s="22">
        <f t="shared" si="55"/>
        <v>2.0437359493153485E-2</v>
      </c>
      <c r="M38" s="24">
        <f t="shared" si="56"/>
        <v>2.0437359493153485E-2</v>
      </c>
      <c r="N38" s="2"/>
      <c r="O38" s="2"/>
      <c r="P38" s="2"/>
      <c r="Q38" s="59"/>
      <c r="R38" s="266"/>
      <c r="S38" s="266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500</v>
      </c>
      <c r="AH38" s="123">
        <f t="shared" ref="AH38:AI58" si="61">SUM(Z38,AB38,AD38,AF38)</f>
        <v>1</v>
      </c>
      <c r="AI38" s="112">
        <f t="shared" si="61"/>
        <v>500</v>
      </c>
      <c r="AJ38" s="148">
        <f t="shared" ref="AJ38:AJ64" si="62">(AA38+AC38)</f>
        <v>0</v>
      </c>
      <c r="AK38" s="147">
        <f t="shared" ref="AK38:AK64" si="63">(AE38+AG38)</f>
        <v>500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66"/>
      <c r="S39" s="266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66"/>
      <c r="S40" s="266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66"/>
      <c r="S41" s="266"/>
      <c r="T41" s="267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Water melon: no. local meas (Bhece)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68"/>
      <c r="T42" s="268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Sweet poatato: no. local meas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Groundnuts (dry): no. local meas</v>
      </c>
      <c r="B44" s="216">
        <f>IF([1]Summ!E1079="",0,[1]Summ!E1079)</f>
        <v>650</v>
      </c>
      <c r="C44" s="216">
        <f>IF([1]Summ!F1079="",0,[1]Summ!F1079)</f>
        <v>-650</v>
      </c>
      <c r="D44" s="38">
        <f t="shared" si="58"/>
        <v>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0</v>
      </c>
      <c r="J44" s="38">
        <f t="shared" si="53"/>
        <v>0</v>
      </c>
      <c r="K44" s="40">
        <f t="shared" si="54"/>
        <v>2.6568567341099528E-2</v>
      </c>
      <c r="L44" s="22">
        <f t="shared" si="55"/>
        <v>2.6568567341099528E-2</v>
      </c>
      <c r="M44" s="24">
        <f t="shared" si="56"/>
        <v>0</v>
      </c>
      <c r="N44" s="2"/>
      <c r="O44" s="2"/>
      <c r="P44" s="2"/>
      <c r="Q44" s="269"/>
      <c r="R44" s="41"/>
      <c r="S44" s="41"/>
      <c r="T44" s="267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Irish potato: type</v>
      </c>
      <c r="B45" s="216">
        <f>IF([1]Summ!E1080="",0,[1]Summ!E1080)</f>
        <v>36</v>
      </c>
      <c r="C45" s="216">
        <f>IF([1]Summ!F1080="",0,[1]Summ!F1080)</f>
        <v>-36</v>
      </c>
      <c r="D45" s="38">
        <f t="shared" si="58"/>
        <v>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0</v>
      </c>
      <c r="J45" s="38">
        <f t="shared" si="53"/>
        <v>0</v>
      </c>
      <c r="K45" s="40">
        <f t="shared" si="54"/>
        <v>1.4714898835070508E-3</v>
      </c>
      <c r="L45" s="22">
        <f t="shared" si="55"/>
        <v>1.4714898835070508E-3</v>
      </c>
      <c r="M45" s="24">
        <f t="shared" si="56"/>
        <v>0</v>
      </c>
      <c r="N45" s="2"/>
      <c r="O45" s="2"/>
      <c r="P45" s="56"/>
      <c r="Q45" s="269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Yam: type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69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Spinach (cash): kg produced</v>
      </c>
      <c r="B47" s="216">
        <f>IF([1]Summ!E1082="",0,[1]Summ!E1082)</f>
        <v>150</v>
      </c>
      <c r="C47" s="216">
        <f>IF([1]Summ!F1082="",0,[1]Summ!F1082)</f>
        <v>0</v>
      </c>
      <c r="D47" s="38">
        <f t="shared" si="58"/>
        <v>150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150</v>
      </c>
      <c r="J47" s="38">
        <f t="shared" si="53"/>
        <v>150</v>
      </c>
      <c r="K47" s="40">
        <f t="shared" si="54"/>
        <v>6.1312078479460455E-3</v>
      </c>
      <c r="L47" s="22">
        <f t="shared" si="55"/>
        <v>6.1312078479460455E-3</v>
      </c>
      <c r="M47" s="24">
        <f t="shared" si="56"/>
        <v>6.1312078479460455E-3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37.5</v>
      </c>
      <c r="AB47" s="116">
        <v>0.25</v>
      </c>
      <c r="AC47" s="147">
        <f t="shared" si="65"/>
        <v>37.5</v>
      </c>
      <c r="AD47" s="116">
        <v>0.25</v>
      </c>
      <c r="AE47" s="147">
        <f t="shared" si="66"/>
        <v>37.5</v>
      </c>
      <c r="AF47" s="122">
        <f t="shared" si="57"/>
        <v>0.25</v>
      </c>
      <c r="AG47" s="147">
        <f t="shared" si="60"/>
        <v>37.5</v>
      </c>
      <c r="AH47" s="123">
        <f t="shared" si="61"/>
        <v>1</v>
      </c>
      <c r="AI47" s="112">
        <f t="shared" si="61"/>
        <v>150</v>
      </c>
      <c r="AJ47" s="148">
        <f t="shared" si="62"/>
        <v>75</v>
      </c>
      <c r="AK47" s="147">
        <f t="shared" si="63"/>
        <v>75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Tomatoes (cash): kg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69"/>
      <c r="R48" s="266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Cabbage (cash): kg produced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Agricultural cash income -- see Data2</v>
      </c>
      <c r="B50" s="216">
        <f>IF([1]Summ!E1085="",0,[1]Summ!E1085)</f>
        <v>1109</v>
      </c>
      <c r="C50" s="216">
        <f>IF([1]Summ!F1085="",0,[1]Summ!F1085)</f>
        <v>0</v>
      </c>
      <c r="D50" s="38">
        <f t="shared" si="67"/>
        <v>1109</v>
      </c>
      <c r="E50" s="26">
        <v>1</v>
      </c>
      <c r="F50" s="26">
        <v>1</v>
      </c>
      <c r="G50" s="22">
        <f t="shared" si="59"/>
        <v>1</v>
      </c>
      <c r="H50" s="24">
        <f t="shared" ref="H50:H64" si="68">(E50*F50)</f>
        <v>1</v>
      </c>
      <c r="I50" s="39">
        <f t="shared" ref="I50:I64" si="69">D50*H50</f>
        <v>1109</v>
      </c>
      <c r="J50" s="38">
        <f t="shared" ref="J50:J64" si="70">J104*I$83</f>
        <v>1108.9999999999998</v>
      </c>
      <c r="K50" s="40">
        <f t="shared" ref="K50:K64" si="71">(B50/B$65)</f>
        <v>4.533006335581443E-2</v>
      </c>
      <c r="L50" s="22">
        <f t="shared" ref="L50:L64" si="72">(K50*H50)</f>
        <v>4.533006335581443E-2</v>
      </c>
      <c r="M50" s="24">
        <f t="shared" ref="M50:M64" si="73">J50/B$65</f>
        <v>4.5330063355814416E-2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Labour migration(formal employment): no. people per HH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Formal Employment (conservancies, etc.)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Self-employment -- see Data2</v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Small business -- see Data2</v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Social development -- see Data2</v>
      </c>
      <c r="B55" s="216">
        <f>IF([1]Summ!E1090="",0,[1]Summ!E1090)</f>
        <v>22020</v>
      </c>
      <c r="C55" s="216">
        <f>IF([1]Summ!F1090="",0,[1]Summ!F1090)</f>
        <v>0</v>
      </c>
      <c r="D55" s="38">
        <f t="shared" si="67"/>
        <v>22020</v>
      </c>
      <c r="E55" s="26">
        <v>1</v>
      </c>
      <c r="F55" s="26">
        <v>1</v>
      </c>
      <c r="G55" s="22">
        <f t="shared" si="59"/>
        <v>1</v>
      </c>
      <c r="H55" s="24">
        <f t="shared" si="68"/>
        <v>1</v>
      </c>
      <c r="I55" s="39">
        <f t="shared" si="69"/>
        <v>22020</v>
      </c>
      <c r="J55" s="38">
        <f t="shared" si="70"/>
        <v>22020</v>
      </c>
      <c r="K55" s="40">
        <f t="shared" si="71"/>
        <v>0.9000613120784795</v>
      </c>
      <c r="L55" s="22">
        <f t="shared" si="72"/>
        <v>0.9000613120784795</v>
      </c>
      <c r="M55" s="24">
        <f t="shared" si="73"/>
        <v>0.9000613120784795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5505</v>
      </c>
      <c r="AB55" s="116">
        <v>0.25</v>
      </c>
      <c r="AC55" s="147">
        <f t="shared" si="65"/>
        <v>5505</v>
      </c>
      <c r="AD55" s="116">
        <v>0.25</v>
      </c>
      <c r="AE55" s="147">
        <f t="shared" si="66"/>
        <v>5505</v>
      </c>
      <c r="AF55" s="122">
        <f t="shared" si="57"/>
        <v>0.25</v>
      </c>
      <c r="AG55" s="147">
        <f t="shared" si="60"/>
        <v>5505</v>
      </c>
      <c r="AH55" s="123">
        <f t="shared" si="61"/>
        <v>1</v>
      </c>
      <c r="AI55" s="112">
        <f t="shared" si="61"/>
        <v>22020</v>
      </c>
      <c r="AJ55" s="148">
        <f t="shared" si="62"/>
        <v>11010</v>
      </c>
      <c r="AK55" s="147">
        <f t="shared" si="63"/>
        <v>11010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Public works -- see Data2</v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Other income: e.g. Credit (cotton loans)</v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24465</v>
      </c>
      <c r="C65" s="41">
        <f>SUM(C37:C64)</f>
        <v>-686</v>
      </c>
      <c r="D65" s="42">
        <f>SUM(D37:D64)</f>
        <v>23779</v>
      </c>
      <c r="E65" s="32"/>
      <c r="F65" s="32"/>
      <c r="G65" s="32"/>
      <c r="H65" s="31"/>
      <c r="I65" s="39">
        <f>SUM(I37:I64)</f>
        <v>23779</v>
      </c>
      <c r="J65" s="39">
        <f>SUM(J37:J64)</f>
        <v>23779</v>
      </c>
      <c r="K65" s="40">
        <f>SUM(K37:K64)</f>
        <v>1</v>
      </c>
      <c r="L65" s="22">
        <f>SUM(L37:L64)</f>
        <v>1</v>
      </c>
      <c r="M65" s="24">
        <f>SUM(M37:M64)</f>
        <v>0.97195994277539344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5542.5</v>
      </c>
      <c r="AB65" s="137"/>
      <c r="AC65" s="153">
        <f>SUM(AC37:AC64)</f>
        <v>5542.5</v>
      </c>
      <c r="AD65" s="137"/>
      <c r="AE65" s="153">
        <f>SUM(AE37:AE64)</f>
        <v>5542.5</v>
      </c>
      <c r="AF65" s="137"/>
      <c r="AG65" s="153">
        <f>SUM(AG37:AG64)</f>
        <v>6042.5</v>
      </c>
      <c r="AH65" s="137"/>
      <c r="AI65" s="153">
        <f>SUM(AI37:AI64)</f>
        <v>22670</v>
      </c>
      <c r="AJ65" s="153">
        <f>SUM(AJ37:AJ64)</f>
        <v>11085</v>
      </c>
      <c r="AK65" s="153">
        <f>SUM(AK37:AK64)</f>
        <v>11585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13579.12894961681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13579.12894961681</v>
      </c>
      <c r="J70" s="51">
        <f t="shared" ref="J70:J77" si="75">J124*I$83</f>
        <v>13579.12894961681</v>
      </c>
      <c r="K70" s="40">
        <f>B70/B$76</f>
        <v>0.55504307989441282</v>
      </c>
      <c r="L70" s="22">
        <f t="shared" ref="L70:L75" si="76">(L124*G$37*F$9/F$7)/B$130</f>
        <v>0.55504307989441282</v>
      </c>
      <c r="M70" s="24">
        <f>J70/B$76</f>
        <v>0.55504307989441282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3394.7822374042025</v>
      </c>
      <c r="AB70" s="116">
        <v>0.25</v>
      </c>
      <c r="AC70" s="147">
        <f>$J70*AB70</f>
        <v>3394.7822374042025</v>
      </c>
      <c r="AD70" s="116">
        <v>0.25</v>
      </c>
      <c r="AE70" s="147">
        <f>$J70*AD70</f>
        <v>3394.7822374042025</v>
      </c>
      <c r="AF70" s="122">
        <f>1-SUM(Z70,AB70,AD70)</f>
        <v>0.25</v>
      </c>
      <c r="AG70" s="147">
        <f>$J70*AF70</f>
        <v>3394.7822374042025</v>
      </c>
      <c r="AH70" s="155">
        <f>SUM(Z70,AB70,AD70,AF70)</f>
        <v>1</v>
      </c>
      <c r="AI70" s="147">
        <f>SUM(AA70,AC70,AE70,AG70)</f>
        <v>13579.12894961681</v>
      </c>
      <c r="AJ70" s="148">
        <f>(AA70+AC70)</f>
        <v>6789.5644748084051</v>
      </c>
      <c r="AK70" s="147">
        <f>(AE70+AG70)</f>
        <v>6789.5644748084051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13978.666666666668</v>
      </c>
      <c r="C71" s="46"/>
      <c r="D71" s="38"/>
      <c r="E71" s="26">
        <v>1</v>
      </c>
      <c r="F71" s="26">
        <v>1</v>
      </c>
      <c r="G71" s="22"/>
      <c r="H71" s="24">
        <f t="shared" ref="H71:H72" si="77">(E71*F71)</f>
        <v>1</v>
      </c>
      <c r="I71" s="39">
        <f>I125*I$83</f>
        <v>10199.87105038319</v>
      </c>
      <c r="J71" s="51">
        <f t="shared" si="75"/>
        <v>10199.87105038319</v>
      </c>
      <c r="K71" s="40">
        <f t="shared" ref="K71:K72" si="78">B71/B$76</f>
        <v>0.57137407180325639</v>
      </c>
      <c r="L71" s="22">
        <f t="shared" si="76"/>
        <v>0.44495692010558718</v>
      </c>
      <c r="M71" s="24">
        <f t="shared" ref="M71:M72" si="79">J71/B$76</f>
        <v>0.41691686288098057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</v>
      </c>
      <c r="G72" s="22"/>
      <c r="H72" s="24">
        <f t="shared" si="77"/>
        <v>1</v>
      </c>
      <c r="I72" s="39">
        <f>I126*I$83</f>
        <v>0</v>
      </c>
      <c r="J72" s="51">
        <f t="shared" si="75"/>
        <v>0</v>
      </c>
      <c r="K72" s="40">
        <f t="shared" si="78"/>
        <v>1.1340282035561005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3740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5"/>
        <v>0</v>
      </c>
      <c r="K73" s="40">
        <f>B73/B$76</f>
        <v>0.15287144900878807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336.59999999999997</v>
      </c>
      <c r="AB73" s="116">
        <v>0.09</v>
      </c>
      <c r="AC73" s="147">
        <f>$H$73*$B$73*AB73</f>
        <v>336.59999999999997</v>
      </c>
      <c r="AD73" s="116">
        <v>0.23</v>
      </c>
      <c r="AE73" s="147">
        <f>$H$73*$B$73*AD73</f>
        <v>860.2</v>
      </c>
      <c r="AF73" s="122">
        <f>1-SUM(Z73,AB73,AD73)</f>
        <v>0.59</v>
      </c>
      <c r="AG73" s="147">
        <f>$H$73*$B$73*AF73</f>
        <v>2206.6</v>
      </c>
      <c r="AH73" s="155">
        <f>SUM(Z73,AB73,AD73,AF73)</f>
        <v>1</v>
      </c>
      <c r="AI73" s="147">
        <f>SUM(AA73,AC73,AE73,AG73)</f>
        <v>3740</v>
      </c>
      <c r="AJ73" s="148">
        <f>(AA73+AC73)</f>
        <v>673.19999999999993</v>
      </c>
      <c r="AK73" s="147">
        <f>(AE73+AG73)</f>
        <v>3066.8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4825</v>
      </c>
      <c r="C74" s="46"/>
      <c r="D74" s="38"/>
      <c r="E74" s="32"/>
      <c r="F74" s="32"/>
      <c r="G74" s="32"/>
      <c r="H74" s="31"/>
      <c r="I74" s="39">
        <f>I128*I$83</f>
        <v>10199.87105038319</v>
      </c>
      <c r="J74" s="51">
        <f t="shared" si="75"/>
        <v>1260.5564625608197</v>
      </c>
      <c r="K74" s="40">
        <f>B74/B$76</f>
        <v>0.19722051910893112</v>
      </c>
      <c r="L74" s="22">
        <f t="shared" si="76"/>
        <v>0.19722051910893112</v>
      </c>
      <c r="M74" s="24">
        <f>J74/B$76</f>
        <v>5.1524891173546687E-2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-2340.3666086066423</v>
      </c>
      <c r="AB74" s="156"/>
      <c r="AC74" s="147">
        <f>AC30*$I$83/4</f>
        <v>-2130.7982548834548</v>
      </c>
      <c r="AD74" s="156"/>
      <c r="AE74" s="147">
        <f>AE30*$I$83/4</f>
        <v>-2716.3713911323939</v>
      </c>
      <c r="AF74" s="156"/>
      <c r="AG74" s="147">
        <f>AG30*$I$83/4</f>
        <v>8448.0927171833118</v>
      </c>
      <c r="AH74" s="155"/>
      <c r="AI74" s="147">
        <f>SUM(AA74,AC74,AE74,AG74)</f>
        <v>1260.5564625608204</v>
      </c>
      <c r="AJ74" s="148">
        <f>(AA74+AC74)</f>
        <v>-4471.1648634900976</v>
      </c>
      <c r="AK74" s="147">
        <f>(AE74+AG74)</f>
        <v>5731.7213260509179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4488.0843712024398</v>
      </c>
      <c r="AB75" s="158"/>
      <c r="AC75" s="149">
        <f>AA75+AC65-SUM(AC70,AC74)</f>
        <v>8766.6003886816925</v>
      </c>
      <c r="AD75" s="158"/>
      <c r="AE75" s="149">
        <f>AC75+AE65-SUM(AE70,AE74)</f>
        <v>13630.689542409884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7830.3145878223695</v>
      </c>
      <c r="AJ75" s="151">
        <f>AJ76-SUM(AJ70,AJ74)</f>
        <v>8766.6003886816925</v>
      </c>
      <c r="AK75" s="149">
        <f>AJ75+AK76-SUM(AK70,AK74)</f>
        <v>7830.3145878223677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24465</v>
      </c>
      <c r="C76" s="46"/>
      <c r="D76" s="38"/>
      <c r="E76" s="32"/>
      <c r="F76" s="32"/>
      <c r="G76" s="32"/>
      <c r="H76" s="31"/>
      <c r="I76" s="39">
        <f>I130*I$83</f>
        <v>23779</v>
      </c>
      <c r="J76" s="51">
        <f t="shared" si="75"/>
        <v>23779</v>
      </c>
      <c r="K76" s="40">
        <f>SUM(K70:K75)</f>
        <v>2.6105373233714886</v>
      </c>
      <c r="L76" s="22">
        <f>SUM(L70:L75)</f>
        <v>1.1972205191089311</v>
      </c>
      <c r="M76" s="24">
        <f>SUM(M70:M75)</f>
        <v>1.02348483394894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5542.5</v>
      </c>
      <c r="AB76" s="137"/>
      <c r="AC76" s="153">
        <f>AC65</f>
        <v>5542.5</v>
      </c>
      <c r="AD76" s="137"/>
      <c r="AE76" s="153">
        <f>AE65</f>
        <v>5542.5</v>
      </c>
      <c r="AF76" s="137"/>
      <c r="AG76" s="153">
        <f>AG65</f>
        <v>6042.5</v>
      </c>
      <c r="AH76" s="137"/>
      <c r="AI76" s="153">
        <f>SUM(AA76,AC76,AE76,AG76)</f>
        <v>22670</v>
      </c>
      <c r="AJ76" s="154">
        <f>SUM(AA76,AC76)</f>
        <v>11085</v>
      </c>
      <c r="AK76" s="154">
        <f>SUM(AE76,AG76)</f>
        <v>11585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13978.666666666668</v>
      </c>
      <c r="J77" s="100">
        <f t="shared" si="75"/>
        <v>5039.3520788442947</v>
      </c>
      <c r="K77" s="40"/>
      <c r="L77" s="22">
        <f>-(L131*G$37*F$9/F$7)/B$130</f>
        <v>-0.57137407180325639</v>
      </c>
      <c r="M77" s="24">
        <f>-J77/B$76</f>
        <v>-0.20598210009582238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4488.0843712024398</v>
      </c>
      <c r="AD78" s="112"/>
      <c r="AE78" s="112">
        <f>AC75</f>
        <v>8766.6003886816925</v>
      </c>
      <c r="AF78" s="112"/>
      <c r="AG78" s="112">
        <f>AE75</f>
        <v>13630.689542409884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2147.7177625957975</v>
      </c>
      <c r="AB79" s="112"/>
      <c r="AC79" s="112">
        <f>AA79-AA74+AC65-AC70</f>
        <v>6635.8021337982373</v>
      </c>
      <c r="AD79" s="112"/>
      <c r="AE79" s="112">
        <f>AC79-AC74+AE65-AE70</f>
        <v>10914.31815127749</v>
      </c>
      <c r="AF79" s="112"/>
      <c r="AG79" s="112">
        <f>AE79-AE74+AG65-AG70</f>
        <v>16278.407305005681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0.64232512570888012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4.509345794392523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8457.6810244041226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8457.6810244041226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2114.4202561010306</v>
      </c>
      <c r="AB83" s="112"/>
      <c r="AC83" s="165">
        <f>$I$83*AB82/4</f>
        <v>2114.4202561010306</v>
      </c>
      <c r="AD83" s="112"/>
      <c r="AE83" s="165">
        <f>$I$83*AD82/4</f>
        <v>2114.4202561010306</v>
      </c>
      <c r="AF83" s="112"/>
      <c r="AG83" s="165">
        <f>$I$83*AF82/4</f>
        <v>2114.4202561010306</v>
      </c>
      <c r="AH83" s="165">
        <f>SUM(AA83,AC83,AE83,AG83)</f>
        <v>8457.6810244041226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20136.903793668345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1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7">
        <f t="shared" si="80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5.9117859677762792E-2</v>
      </c>
      <c r="C92" s="60">
        <f t="shared" si="81"/>
        <v>0</v>
      </c>
      <c r="D92" s="24">
        <f t="shared" ref="D92:D118" si="86">SUM(B92,C92)</f>
        <v>5.9117859677762792E-2</v>
      </c>
      <c r="H92" s="24">
        <f t="shared" ref="H92:H118" si="87">(E38*F38/G38*F$7/F$9)</f>
        <v>1</v>
      </c>
      <c r="I92" s="22">
        <f t="shared" ref="I92:I118" si="88">(D92*H92)</f>
        <v>5.9117859677762792E-2</v>
      </c>
      <c r="J92" s="24">
        <f t="shared" ref="J92:J118" si="89">IF(I$32&lt;=1+I$131,I92,L92+J$33*(I92-L92))</f>
        <v>5.9117859677762792E-2</v>
      </c>
      <c r="K92" s="22">
        <f t="shared" ref="K92:K118" si="90">IF(B92="",0,B92)</f>
        <v>5.9117859677762792E-2</v>
      </c>
      <c r="L92" s="22">
        <f t="shared" ref="L92:L118" si="91">(K92*H92)</f>
        <v>5.9117859677762792E-2</v>
      </c>
      <c r="M92" s="227">
        <f t="shared" ref="M92:M118" si="92">(J92)</f>
        <v>5.9117859677762792E-2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1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Beans: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1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Water melon: no. local meas (Bhece)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1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Sweet poatato: no. local meas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Groundnuts (dry): no. local meas</v>
      </c>
      <c r="B98" s="60">
        <f t="shared" si="81"/>
        <v>7.6853217581091635E-2</v>
      </c>
      <c r="C98" s="60">
        <f t="shared" si="81"/>
        <v>-7.6853217581091635E-2</v>
      </c>
      <c r="D98" s="24">
        <f t="shared" si="86"/>
        <v>0</v>
      </c>
      <c r="H98" s="24">
        <f t="shared" si="87"/>
        <v>1</v>
      </c>
      <c r="I98" s="22">
        <f t="shared" si="88"/>
        <v>0</v>
      </c>
      <c r="J98" s="24">
        <f t="shared" si="89"/>
        <v>0</v>
      </c>
      <c r="K98" s="22">
        <f t="shared" si="90"/>
        <v>7.6853217581091635E-2</v>
      </c>
      <c r="L98" s="22">
        <f t="shared" si="91"/>
        <v>7.6853217581091635E-2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Irish potato: type</v>
      </c>
      <c r="B99" s="60">
        <f t="shared" si="81"/>
        <v>4.2564858967989215E-3</v>
      </c>
      <c r="C99" s="60">
        <f t="shared" si="81"/>
        <v>-4.2564858967989215E-3</v>
      </c>
      <c r="D99" s="24">
        <f t="shared" si="86"/>
        <v>0</v>
      </c>
      <c r="H99" s="24">
        <f t="shared" si="87"/>
        <v>1</v>
      </c>
      <c r="I99" s="22">
        <f t="shared" si="88"/>
        <v>0</v>
      </c>
      <c r="J99" s="24">
        <f t="shared" si="89"/>
        <v>0</v>
      </c>
      <c r="K99" s="22">
        <f t="shared" si="90"/>
        <v>4.2564858967989215E-3</v>
      </c>
      <c r="L99" s="22">
        <f t="shared" si="91"/>
        <v>4.2564858967989215E-3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Yam: type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Spinach (cash): kg produced</v>
      </c>
      <c r="B101" s="60">
        <f t="shared" si="81"/>
        <v>1.7735357903328839E-2</v>
      </c>
      <c r="C101" s="60">
        <f t="shared" si="81"/>
        <v>0</v>
      </c>
      <c r="D101" s="24">
        <f t="shared" si="86"/>
        <v>1.7735357903328839E-2</v>
      </c>
      <c r="H101" s="24">
        <f t="shared" si="87"/>
        <v>1</v>
      </c>
      <c r="I101" s="22">
        <f t="shared" si="88"/>
        <v>1.7735357903328839E-2</v>
      </c>
      <c r="J101" s="24">
        <f t="shared" si="89"/>
        <v>1.7735357903328839E-2</v>
      </c>
      <c r="K101" s="22">
        <f t="shared" si="90"/>
        <v>1.7735357903328839E-2</v>
      </c>
      <c r="L101" s="22">
        <f t="shared" si="91"/>
        <v>1.7735357903328839E-2</v>
      </c>
      <c r="M101" s="227">
        <f t="shared" si="92"/>
        <v>1.7735357903328839E-2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Tomatoes (cash): kg produced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1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Cabbage (cash): kg produced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1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Agricultural cash income -- see Data2</v>
      </c>
      <c r="B104" s="60">
        <f t="shared" si="81"/>
        <v>0.13112341276527786</v>
      </c>
      <c r="C104" s="60">
        <f t="shared" si="81"/>
        <v>0</v>
      </c>
      <c r="D104" s="24">
        <f t="shared" si="86"/>
        <v>0.13112341276527786</v>
      </c>
      <c r="H104" s="24">
        <f t="shared" si="87"/>
        <v>1</v>
      </c>
      <c r="I104" s="22">
        <f t="shared" si="88"/>
        <v>0.13112341276527786</v>
      </c>
      <c r="J104" s="24">
        <f t="shared" si="89"/>
        <v>0.13112341276527786</v>
      </c>
      <c r="K104" s="22">
        <f t="shared" si="90"/>
        <v>0.13112341276527786</v>
      </c>
      <c r="L104" s="22">
        <f t="shared" si="91"/>
        <v>0.13112341276527786</v>
      </c>
      <c r="M104" s="227">
        <f t="shared" si="92"/>
        <v>0.13112341276527786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Labour migration(formal employment): no. people per HH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1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Formal Employment (conservancies, etc.)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1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Self-employment -- see Data2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1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Small business -- see Data2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1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Social development -- see Data2</v>
      </c>
      <c r="B109" s="60">
        <f t="shared" si="81"/>
        <v>2.6035505402086736</v>
      </c>
      <c r="C109" s="60">
        <f t="shared" si="81"/>
        <v>0</v>
      </c>
      <c r="D109" s="24">
        <f t="shared" si="86"/>
        <v>2.6035505402086736</v>
      </c>
      <c r="H109" s="24">
        <f t="shared" si="87"/>
        <v>1</v>
      </c>
      <c r="I109" s="22">
        <f t="shared" si="88"/>
        <v>2.6035505402086736</v>
      </c>
      <c r="J109" s="24">
        <f t="shared" si="89"/>
        <v>2.6035505402086736</v>
      </c>
      <c r="K109" s="22">
        <f t="shared" si="90"/>
        <v>2.6035505402086736</v>
      </c>
      <c r="L109" s="22">
        <f t="shared" si="91"/>
        <v>2.6035505402086736</v>
      </c>
      <c r="M109" s="227">
        <f t="shared" si="92"/>
        <v>2.6035505402086736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Public works -- see Data2</v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1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Other income: e.g. Credit (cotton loans)</v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1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1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1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1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1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1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1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2.8926368740329336</v>
      </c>
      <c r="C119" s="29">
        <f>SUM(C91:C118)</f>
        <v>-8.1109703477890552E-2</v>
      </c>
      <c r="D119" s="24">
        <f>SUM(D91:D118)</f>
        <v>2.8115271705550429</v>
      </c>
      <c r="E119" s="22"/>
      <c r="F119" s="2"/>
      <c r="G119" s="2"/>
      <c r="H119" s="31"/>
      <c r="I119" s="22">
        <f>SUM(I91:I118)</f>
        <v>2.8115271705550429</v>
      </c>
      <c r="J119" s="24">
        <f>SUM(J91:J118)</f>
        <v>2.8115271705550429</v>
      </c>
      <c r="K119" s="22">
        <f>SUM(K91:K118)</f>
        <v>2.8926368740329336</v>
      </c>
      <c r="L119" s="22">
        <f>SUM(L91:L118)</f>
        <v>2.8926368740329336</v>
      </c>
      <c r="M119" s="57">
        <f t="shared" si="80"/>
        <v>2.8115271705550429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1.6055380795793861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1.6055380795793861</v>
      </c>
      <c r="J124" s="237">
        <f>IF(SUMPRODUCT($B$124:$B124,$H$124:$H124)&lt;J$119,($B124*$H124),J$119)</f>
        <v>1.6055380795793861</v>
      </c>
      <c r="K124" s="29">
        <f>(B124)</f>
        <v>1.6055380795793861</v>
      </c>
      <c r="L124" s="29">
        <f>IF(SUMPRODUCT($B$124:$B124,$H$124:$H124)&lt;L$119,($B124*$H124),L$119)</f>
        <v>1.6055380795793861</v>
      </c>
      <c r="M124" s="240">
        <f t="shared" si="93"/>
        <v>1.6055380795793861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1.2059890909756568</v>
      </c>
      <c r="J125" s="237">
        <f>IF(SUMPRODUCT($B$124:$B125,$H$124:$H125)&lt;J$119,($B125*$H125),IF(SUMPRODUCT($B$124:$B124,$H$124:$H124)&lt;J$119,J$119-SUMPRODUCT($B$124:$B124,$H$124:$H124),0))</f>
        <v>1.2059890909756568</v>
      </c>
      <c r="K125" s="29">
        <f>(B125)</f>
        <v>1.6527777089644404</v>
      </c>
      <c r="L125" s="29">
        <f>IF(SUMPRODUCT($B$124:$B125,$H$124:$H125)&lt;L$119,($B125*$H125),IF(SUMPRODUCT($B$124:$B124,$H$124:$H124)&lt;L$119,L$119-SUMPRODUCT($B$124:$B124,$H$124:$H124),0))</f>
        <v>1.2870987944535475</v>
      </c>
      <c r="M125" s="240">
        <f t="shared" si="93"/>
        <v>1.2059890909756568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0.44220159038966572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0.44220159038966572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0.57048734589041095</v>
      </c>
      <c r="C128" s="56"/>
      <c r="D128" s="31"/>
      <c r="E128" s="2"/>
      <c r="F128" s="2"/>
      <c r="G128" s="2"/>
      <c r="H128" s="24"/>
      <c r="I128" s="29">
        <f>(I30)</f>
        <v>1.2059890909756568</v>
      </c>
      <c r="J128" s="228">
        <f>(J30)</f>
        <v>0.14904280013913518</v>
      </c>
      <c r="K128" s="29">
        <f>(B128)</f>
        <v>0.57048734589041095</v>
      </c>
      <c r="L128" s="29">
        <f>IF(L124=L119,0,(L119-L124)/(B119-B124)*K128)</f>
        <v>0.57048734589041095</v>
      </c>
      <c r="M128" s="240">
        <f t="shared" si="93"/>
        <v>0.14904280013913518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2.8926368740329336</v>
      </c>
      <c r="C130" s="56"/>
      <c r="D130" s="31"/>
      <c r="E130" s="2"/>
      <c r="F130" s="2"/>
      <c r="G130" s="2"/>
      <c r="H130" s="24"/>
      <c r="I130" s="29">
        <f>(I119)</f>
        <v>2.8115271705550429</v>
      </c>
      <c r="J130" s="228">
        <f>(J119)</f>
        <v>2.8115271705550429</v>
      </c>
      <c r="K130" s="29">
        <f>(B130)</f>
        <v>2.8926368740329336</v>
      </c>
      <c r="L130" s="29">
        <f>(L119)</f>
        <v>2.8926368740329336</v>
      </c>
      <c r="M130" s="240">
        <f t="shared" si="93"/>
        <v>2.8115271705550429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1.6527777089644404</v>
      </c>
      <c r="J131" s="237">
        <f>IF(SUMPRODUCT($B124:$B125,$H124:$H125)&gt;(J119-J128),SUMPRODUCT($B124:$B125,$H124:$H125)+J128-J119,0)</f>
        <v>0.59583141812791851</v>
      </c>
      <c r="K131" s="29"/>
      <c r="L131" s="29">
        <f>IF(I131&lt;SUM(L126:L127),0,I131-(SUM(L126:L127)))</f>
        <v>1.6527777089644404</v>
      </c>
      <c r="M131" s="237">
        <f>IF(I131&lt;SUM(M126:M127),0,I131-(SUM(M126:M127)))</f>
        <v>1.6527777089644404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51" priority="68" operator="equal">
      <formula>16</formula>
    </cfRule>
    <cfRule type="cellIs" dxfId="250" priority="69" operator="equal">
      <formula>15</formula>
    </cfRule>
    <cfRule type="cellIs" dxfId="249" priority="70" operator="equal">
      <formula>14</formula>
    </cfRule>
    <cfRule type="cellIs" dxfId="248" priority="71" operator="equal">
      <formula>13</formula>
    </cfRule>
    <cfRule type="cellIs" dxfId="247" priority="72" operator="equal">
      <formula>12</formula>
    </cfRule>
    <cfRule type="cellIs" dxfId="246" priority="73" operator="equal">
      <formula>11</formula>
    </cfRule>
    <cfRule type="cellIs" dxfId="245" priority="74" operator="equal">
      <formula>10</formula>
    </cfRule>
    <cfRule type="cellIs" dxfId="244" priority="75" operator="equal">
      <formula>9</formula>
    </cfRule>
    <cfRule type="cellIs" dxfId="243" priority="76" operator="equal">
      <formula>8</formula>
    </cfRule>
    <cfRule type="cellIs" dxfId="242" priority="77" operator="equal">
      <formula>7</formula>
    </cfRule>
    <cfRule type="cellIs" dxfId="241" priority="78" operator="equal">
      <formula>6</formula>
    </cfRule>
    <cfRule type="cellIs" dxfId="240" priority="79" operator="equal">
      <formula>5</formula>
    </cfRule>
    <cfRule type="cellIs" dxfId="239" priority="80" operator="equal">
      <formula>4</formula>
    </cfRule>
    <cfRule type="cellIs" dxfId="238" priority="81" operator="equal">
      <formula>3</formula>
    </cfRule>
    <cfRule type="cellIs" dxfId="237" priority="82" operator="equal">
      <formula>2</formula>
    </cfRule>
    <cfRule type="cellIs" dxfId="236" priority="83" operator="equal">
      <formula>1</formula>
    </cfRule>
  </conditionalFormatting>
  <conditionalFormatting sqref="N91:N104">
    <cfRule type="cellIs" dxfId="235" priority="20" operator="equal">
      <formula>16</formula>
    </cfRule>
    <cfRule type="cellIs" dxfId="234" priority="21" operator="equal">
      <formula>15</formula>
    </cfRule>
    <cfRule type="cellIs" dxfId="233" priority="22" operator="equal">
      <formula>14</formula>
    </cfRule>
    <cfRule type="cellIs" dxfId="232" priority="23" operator="equal">
      <formula>13</formula>
    </cfRule>
    <cfRule type="cellIs" dxfId="231" priority="24" operator="equal">
      <formula>12</formula>
    </cfRule>
    <cfRule type="cellIs" dxfId="230" priority="25" operator="equal">
      <formula>11</formula>
    </cfRule>
    <cfRule type="cellIs" dxfId="229" priority="26" operator="equal">
      <formula>10</formula>
    </cfRule>
    <cfRule type="cellIs" dxfId="228" priority="27" operator="equal">
      <formula>9</formula>
    </cfRule>
    <cfRule type="cellIs" dxfId="227" priority="28" operator="equal">
      <formula>8</formula>
    </cfRule>
    <cfRule type="cellIs" dxfId="226" priority="29" operator="equal">
      <formula>7</formula>
    </cfRule>
    <cfRule type="cellIs" dxfId="225" priority="30" operator="equal">
      <formula>6</formula>
    </cfRule>
    <cfRule type="cellIs" dxfId="224" priority="31" operator="equal">
      <formula>5</formula>
    </cfRule>
    <cfRule type="cellIs" dxfId="223" priority="32" operator="equal">
      <formula>4</formula>
    </cfRule>
    <cfRule type="cellIs" dxfId="222" priority="33" operator="equal">
      <formula>3</formula>
    </cfRule>
    <cfRule type="cellIs" dxfId="221" priority="34" operator="equal">
      <formula>2</formula>
    </cfRule>
    <cfRule type="cellIs" dxfId="220" priority="35" operator="equal">
      <formula>1</formula>
    </cfRule>
  </conditionalFormatting>
  <conditionalFormatting sqref="N105:N118">
    <cfRule type="cellIs" dxfId="219" priority="4" operator="equal">
      <formula>16</formula>
    </cfRule>
    <cfRule type="cellIs" dxfId="218" priority="5" operator="equal">
      <formula>15</formula>
    </cfRule>
    <cfRule type="cellIs" dxfId="217" priority="6" operator="equal">
      <formula>14</formula>
    </cfRule>
    <cfRule type="cellIs" dxfId="216" priority="7" operator="equal">
      <formula>13</formula>
    </cfRule>
    <cfRule type="cellIs" dxfId="215" priority="8" operator="equal">
      <formula>12</formula>
    </cfRule>
    <cfRule type="cellIs" dxfId="214" priority="9" operator="equal">
      <formula>11</formula>
    </cfRule>
    <cfRule type="cellIs" dxfId="213" priority="10" operator="equal">
      <formula>10</formula>
    </cfRule>
    <cfRule type="cellIs" dxfId="212" priority="11" operator="equal">
      <formula>9</formula>
    </cfRule>
    <cfRule type="cellIs" dxfId="211" priority="12" operator="equal">
      <formula>8</formula>
    </cfRule>
    <cfRule type="cellIs" dxfId="210" priority="13" operator="equal">
      <formula>7</formula>
    </cfRule>
    <cfRule type="cellIs" dxfId="209" priority="14" operator="equal">
      <formula>6</formula>
    </cfRule>
    <cfRule type="cellIs" dxfId="208" priority="15" operator="equal">
      <formula>5</formula>
    </cfRule>
    <cfRule type="cellIs" dxfId="207" priority="16" operator="equal">
      <formula>4</formula>
    </cfRule>
    <cfRule type="cellIs" dxfId="206" priority="17" operator="equal">
      <formula>3</formula>
    </cfRule>
    <cfRule type="cellIs" dxfId="205" priority="18" operator="equal">
      <formula>2</formula>
    </cfRule>
    <cfRule type="cellIs" dxfId="204" priority="19" operator="equal">
      <formula>1</formula>
    </cfRule>
  </conditionalFormatting>
  <conditionalFormatting sqref="R31:T31">
    <cfRule type="cellIs" dxfId="8" priority="3" operator="greaterThan">
      <formula>0</formula>
    </cfRule>
  </conditionalFormatting>
  <conditionalFormatting sqref="R32:T32">
    <cfRule type="cellIs" dxfId="7" priority="2" operator="greaterThan">
      <formula>0</formula>
    </cfRule>
  </conditionalFormatting>
  <conditionalFormatting sqref="R30:T30">
    <cfRule type="cellIs" dxfId="6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1.3037048567870486E-2</v>
      </c>
      <c r="C6" s="102">
        <f>IF([1]Summ!$I1044="",0,[1]Summ!$I1044)</f>
        <v>0</v>
      </c>
      <c r="D6" s="24">
        <f t="shared" ref="D6:D29" si="0">(B6+C6)</f>
        <v>1.3037048567870486E-2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1.3037048567870486E-2</v>
      </c>
      <c r="J6" s="24">
        <f t="shared" ref="J6:J13" si="3">IF(I$32&lt;=1+I$131,I6,B6*H6+J$33*(I6-B6*H6))</f>
        <v>1.3037048567870486E-2</v>
      </c>
      <c r="K6" s="22">
        <f t="shared" ref="K6:K31" si="4">B6</f>
        <v>1.3037048567870486E-2</v>
      </c>
      <c r="L6" s="22">
        <f t="shared" ref="L6:L29" si="5">IF(K6="","",K6*H6)</f>
        <v>1.3037048567870486E-2</v>
      </c>
      <c r="M6" s="224">
        <f t="shared" ref="M6:M31" si="6">J6</f>
        <v>1.3037048567870486E-2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5.2148194271481943E-2</v>
      </c>
      <c r="Z6" s="156">
        <f>Poor!Z6</f>
        <v>0.17</v>
      </c>
      <c r="AA6" s="121">
        <f>$M6*Z6*4</f>
        <v>8.8651930261519317E-3</v>
      </c>
      <c r="AB6" s="156">
        <f>Poor!AB6</f>
        <v>0.17</v>
      </c>
      <c r="AC6" s="121">
        <f t="shared" ref="AC6:AC29" si="7">$M6*AB6*4</f>
        <v>8.8651930261519317E-3</v>
      </c>
      <c r="AD6" s="156">
        <f>Poor!AD6</f>
        <v>0.33</v>
      </c>
      <c r="AE6" s="121">
        <f t="shared" ref="AE6:AE29" si="8">$M6*AD6*4</f>
        <v>1.7208904109589043E-2</v>
      </c>
      <c r="AF6" s="122">
        <f>1-SUM(Z6,AB6,AD6)</f>
        <v>0.32999999999999996</v>
      </c>
      <c r="AG6" s="121">
        <f>$M6*AF6*4</f>
        <v>1.720890410958904E-2</v>
      </c>
      <c r="AH6" s="123">
        <f>SUM(Z6,AB6,AD6,AF6)</f>
        <v>1</v>
      </c>
      <c r="AI6" s="183">
        <f>SUM(AA6,AC6,AE6,AG6)/4</f>
        <v>1.3037048567870486E-2</v>
      </c>
      <c r="AJ6" s="120">
        <f>(AA6+AC6)/2</f>
        <v>8.8651930261519317E-3</v>
      </c>
      <c r="AK6" s="119">
        <f>(AE6+AG6)/2</f>
        <v>1.7208904109589043E-2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4116.2430518819356</v>
      </c>
      <c r="S7" s="222">
        <f>IF($B$81=0,0,(SUMIF($N$6:$N$28,$U7,L$6:L$28)+SUMIF($N$91:$N$118,$U7,L$91:L$118))*$I$83*Poor!$B$81/$B$81)</f>
        <v>4116.2430518819356</v>
      </c>
      <c r="T7" s="222">
        <f>IF($B$81=0,0,(SUMIF($N$6:$N$28,$U7,M$6:M$28)+SUMIF($N$91:$N$118,$U7,M$91:M$118))*$I$83*Poor!$B$81/$B$81)</f>
        <v>4287.3633781078943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4.6436721668742222E-2</v>
      </c>
      <c r="C8" s="102">
        <f>IF([1]Summ!$I1046="",0,[1]Summ!$I1046)</f>
        <v>0</v>
      </c>
      <c r="D8" s="24">
        <f t="shared" si="0"/>
        <v>4.6436721668742222E-2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4.6436721668742222E-2</v>
      </c>
      <c r="J8" s="24">
        <f t="shared" si="3"/>
        <v>4.6436721668742222E-2</v>
      </c>
      <c r="K8" s="22">
        <f t="shared" si="4"/>
        <v>4.6436721668742222E-2</v>
      </c>
      <c r="L8" s="22">
        <f t="shared" si="5"/>
        <v>4.6436721668742222E-2</v>
      </c>
      <c r="M8" s="224">
        <f t="shared" si="6"/>
        <v>4.6436721668742222E-2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3621</v>
      </c>
      <c r="S8" s="222">
        <f>IF($B$81=0,0,(SUMIF($N$6:$N$28,$U8,L$6:L$28)+SUMIF($N$91:$N$118,$U8,L$91:L$118))*$I$83*Poor!$B$81/$B$81)</f>
        <v>3621</v>
      </c>
      <c r="T8" s="222">
        <f>IF($B$81=0,0,(SUMIF($N$6:$N$28,$U8,M$6:M$28)+SUMIF($N$91:$N$118,$U8,M$91:M$118))*$I$83*Poor!$B$81/$B$81)</f>
        <v>3610.7119657315552</v>
      </c>
      <c r="U8" s="223">
        <v>2</v>
      </c>
      <c r="V8" s="56"/>
      <c r="W8" s="115"/>
      <c r="X8" s="118">
        <f>Poor!X8</f>
        <v>1</v>
      </c>
      <c r="Y8" s="183">
        <f t="shared" si="9"/>
        <v>0.18574688667496889</v>
      </c>
      <c r="Z8" s="125">
        <f>IF($Y8=0,0,AA8/$Y8)</f>
        <v>0.54281970908696886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0.10082707098871678</v>
      </c>
      <c r="AB8" s="125">
        <f>IF($Y8=0,0,AC8/$Y8)</f>
        <v>0.45718029091303114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8.4919815686252106E-2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4.6436721668742222E-2</v>
      </c>
      <c r="AJ8" s="120">
        <f t="shared" si="14"/>
        <v>9.2873443337484443E-2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4.2500000000000003E-2</v>
      </c>
      <c r="C9" s="102">
        <f>IF([1]Summ!$I1047="",0,[1]Summ!$I1047)</f>
        <v>0</v>
      </c>
      <c r="D9" s="24">
        <f t="shared" si="0"/>
        <v>4.2500000000000003E-2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4.2500000000000003E-2</v>
      </c>
      <c r="J9" s="24">
        <f t="shared" si="3"/>
        <v>4.2500000000000003E-2</v>
      </c>
      <c r="K9" s="22">
        <f t="shared" si="4"/>
        <v>4.2500000000000003E-2</v>
      </c>
      <c r="L9" s="22">
        <f t="shared" si="5"/>
        <v>4.2500000000000003E-2</v>
      </c>
      <c r="M9" s="224">
        <f t="shared" si="6"/>
        <v>4.2500000000000003E-2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503.01017797997002</v>
      </c>
      <c r="S9" s="222">
        <f>IF($B$81=0,0,(SUMIF($N$6:$N$28,$U9,L$6:L$28)+SUMIF($N$91:$N$118,$U9,L$91:L$118))*$I$83*Poor!$B$81/$B$81)</f>
        <v>503.01017797997002</v>
      </c>
      <c r="T9" s="222">
        <f>IF($B$81=0,0,(SUMIF($N$6:$N$28,$U9,M$6:M$28)+SUMIF($N$91:$N$118,$U9,M$91:M$118))*$I$83*Poor!$B$81/$B$81)</f>
        <v>503.01017797997002</v>
      </c>
      <c r="U9" s="223">
        <v>3</v>
      </c>
      <c r="V9" s="56"/>
      <c r="W9" s="115"/>
      <c r="X9" s="118">
        <f>Poor!X9</f>
        <v>1</v>
      </c>
      <c r="Y9" s="183">
        <f t="shared" si="9"/>
        <v>0.17</v>
      </c>
      <c r="Z9" s="125">
        <f>IF($Y9=0,0,AA9/$Y9)</f>
        <v>0.54281970908696875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9.22793505447847E-2</v>
      </c>
      <c r="AB9" s="125">
        <f>IF($Y9=0,0,AC9/$Y9)</f>
        <v>0.4571802909130312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7.7720649455215313E-2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4.2500000000000003E-2</v>
      </c>
      <c r="AJ9" s="120">
        <f t="shared" si="14"/>
        <v>8.5000000000000006E-2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0.13307786815068492</v>
      </c>
      <c r="C10" s="102">
        <f>IF([1]Summ!$I1048="",0,[1]Summ!$I1048)</f>
        <v>7.3932148972602724E-2</v>
      </c>
      <c r="D10" s="24">
        <f t="shared" si="0"/>
        <v>0.20701001712328765</v>
      </c>
      <c r="E10" s="75">
        <f>Poor!E10</f>
        <v>1</v>
      </c>
      <c r="H10" s="24">
        <f t="shared" si="1"/>
        <v>1</v>
      </c>
      <c r="I10" s="22">
        <f t="shared" si="2"/>
        <v>0.20701001712328765</v>
      </c>
      <c r="J10" s="24">
        <f t="shared" si="3"/>
        <v>0.14607985929888803</v>
      </c>
      <c r="K10" s="22">
        <f t="shared" si="4"/>
        <v>0.13307786815068492</v>
      </c>
      <c r="L10" s="22">
        <f t="shared" si="5"/>
        <v>0.13307786815068492</v>
      </c>
      <c r="M10" s="224">
        <f t="shared" si="6"/>
        <v>0.14607985929888803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0.58431943719555213</v>
      </c>
      <c r="Z10" s="125">
        <f>IF($Y10=0,0,AA10/$Y10)</f>
        <v>0.54281970908696886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0.31718010691235099</v>
      </c>
      <c r="AB10" s="125">
        <f>IF($Y10=0,0,AC10/$Y10)</f>
        <v>0.45718029091303114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0.26713933028320114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0.14607985929888803</v>
      </c>
      <c r="AJ10" s="120">
        <f t="shared" si="14"/>
        <v>0.29215971859777606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3500</v>
      </c>
      <c r="S11" s="222">
        <f>IF($B$81=0,0,(SUMIF($N$6:$N$28,$U11,L$6:L$28)+SUMIF($N$91:$N$118,$U11,L$91:L$118))*$I$83*Poor!$B$81/$B$81)</f>
        <v>3500</v>
      </c>
      <c r="T11" s="222">
        <f>IF($B$81=0,0,(SUMIF($N$6:$N$28,$U11,M$6:M$28)+SUMIF($N$91:$N$118,$U11,M$91:M$118))*$I$83*Poor!$B$81/$B$81)</f>
        <v>3675.8638336486242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101">
        <f>IF([1]Summ!$H1050="",0,[1]Summ!$H1050)</f>
        <v>0.10770875389165629</v>
      </c>
      <c r="C12" s="102">
        <f>IF([1]Summ!$I1050="",0,[1]Summ!$I1050)</f>
        <v>-4.0045562344333749E-2</v>
      </c>
      <c r="D12" s="24">
        <f t="shared" si="0"/>
        <v>6.7663191547322546E-2</v>
      </c>
      <c r="E12" s="75">
        <f>Poor!E12</f>
        <v>1</v>
      </c>
      <c r="H12" s="24">
        <f t="shared" si="1"/>
        <v>1</v>
      </c>
      <c r="I12" s="22">
        <f t="shared" si="2"/>
        <v>6.7663191547322546E-2</v>
      </c>
      <c r="J12" s="24">
        <f t="shared" si="3"/>
        <v>0.10066618777716678</v>
      </c>
      <c r="K12" s="22">
        <f t="shared" si="4"/>
        <v>0.10770875389165629</v>
      </c>
      <c r="L12" s="22">
        <f t="shared" si="5"/>
        <v>0.10770875389165629</v>
      </c>
      <c r="M12" s="224">
        <f t="shared" si="6"/>
        <v>0.10066618777716678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0.40266475110866712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0.26978538324280699</v>
      </c>
      <c r="AF12" s="122">
        <f>1-SUM(Z12,AB12,AD12)</f>
        <v>0.32999999999999996</v>
      </c>
      <c r="AG12" s="121">
        <f>$M12*AF12*4</f>
        <v>0.13287936786586013</v>
      </c>
      <c r="AH12" s="123">
        <f t="shared" si="12"/>
        <v>1</v>
      </c>
      <c r="AI12" s="183">
        <f t="shared" si="13"/>
        <v>0.10066618777716678</v>
      </c>
      <c r="AJ12" s="120">
        <f t="shared" si="14"/>
        <v>0</v>
      </c>
      <c r="AK12" s="119">
        <f t="shared" si="15"/>
        <v>0.20133237555433356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752</v>
      </c>
      <c r="S13" s="222">
        <f>IF($B$81=0,0,(SUMIF($N$6:$N$28,$U13,L$6:L$28)+SUMIF($N$91:$N$118,$U13,L$91:L$118))*$I$83*Poor!$B$81/$B$81)</f>
        <v>752</v>
      </c>
      <c r="T13" s="222">
        <f>IF($B$81=0,0,(SUMIF($N$6:$N$28,$U13,M$6:M$28)+SUMIF($N$91:$N$118,$U13,M$91:M$118))*$I$83*Poor!$B$81/$B$81)</f>
        <v>752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 (Bhece)</v>
      </c>
      <c r="B14" s="101">
        <f>IF([1]Summ!$H1052="",0,[1]Summ!$H1052)</f>
        <v>2.2485149439601493E-3</v>
      </c>
      <c r="C14" s="102">
        <f>IF([1]Summ!$I1052="",0,[1]Summ!$I1052)</f>
        <v>1.1242574719800748E-3</v>
      </c>
      <c r="D14" s="24">
        <f t="shared" si="0"/>
        <v>3.3727724159402241E-3</v>
      </c>
      <c r="E14" s="75">
        <f>Poor!E14</f>
        <v>1</v>
      </c>
      <c r="F14" s="22"/>
      <c r="H14" s="24">
        <f t="shared" si="1"/>
        <v>1</v>
      </c>
      <c r="I14" s="22">
        <f t="shared" si="2"/>
        <v>3.3727724159402241E-3</v>
      </c>
      <c r="J14" s="24">
        <f>IF(I$32&lt;=1+I131,I14,B14*H14+J$33*(I14-B14*H14))</f>
        <v>2.4462311729906757E-3</v>
      </c>
      <c r="K14" s="22">
        <f t="shared" si="4"/>
        <v>2.2485149439601493E-3</v>
      </c>
      <c r="L14" s="22">
        <f t="shared" si="5"/>
        <v>2.2485149439601493E-3</v>
      </c>
      <c r="M14" s="225">
        <f t="shared" si="6"/>
        <v>2.4462311729906757E-3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9.7849246919627028E-3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9.7849246919627028E-3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2.4462311729906757E-3</v>
      </c>
      <c r="AJ14" s="120">
        <f t="shared" si="14"/>
        <v>4.8924623459813514E-3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Pumpkin: no. local meas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371</v>
      </c>
      <c r="S15" s="222">
        <f>IF($B$81=0,0,(SUMIF($N$6:$N$28,$U15,L$6:L$28)+SUMIF($N$91:$N$118,$U15,L$91:L$118))*$I$83*Poor!$B$81/$B$81)</f>
        <v>371</v>
      </c>
      <c r="T15" s="222">
        <f>IF($B$81=0,0,(SUMIF($N$6:$N$28,$U15,M$6:M$28)+SUMIF($N$91:$N$118,$U15,M$91:M$118))*$I$83*Poor!$B$81/$B$81)</f>
        <v>371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poatato: no. local meas</v>
      </c>
      <c r="B16" s="101">
        <f>IF([1]Summ!$H1054="",0,[1]Summ!$H1054)</f>
        <v>6.125856164383562E-2</v>
      </c>
      <c r="C16" s="102">
        <f>IF([1]Summ!$I1054="",0,[1]Summ!$I1054)</f>
        <v>9.281600249065998E-3</v>
      </c>
      <c r="D16" s="24">
        <f t="shared" si="0"/>
        <v>7.0540161892901618E-2</v>
      </c>
      <c r="E16" s="75">
        <f>Poor!E16</f>
        <v>1</v>
      </c>
      <c r="F16" s="22"/>
      <c r="H16" s="24">
        <f t="shared" si="1"/>
        <v>1</v>
      </c>
      <c r="I16" s="22">
        <f t="shared" si="2"/>
        <v>7.0540161892901618E-2</v>
      </c>
      <c r="J16" s="24">
        <f>IF(I$32&lt;=1+I131,I16,B16*H16+J$33*(I16-B16*H16))</f>
        <v>6.2890859446030387E-2</v>
      </c>
      <c r="K16" s="22">
        <f t="shared" si="4"/>
        <v>6.125856164383562E-2</v>
      </c>
      <c r="L16" s="22">
        <f t="shared" si="5"/>
        <v>6.125856164383562E-2</v>
      </c>
      <c r="M16" s="224">
        <f t="shared" si="6"/>
        <v>6.2890859446030387E-2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429</v>
      </c>
      <c r="S16" s="222">
        <f>IF($B$81=0,0,(SUMIF($N$6:$N$28,$U16,L$6:L$28)+SUMIF($N$91:$N$118,$U16,L$91:L$118))*$I$83*Poor!$B$81/$B$81)</f>
        <v>429</v>
      </c>
      <c r="T16" s="222">
        <f>IF($B$81=0,0,(SUMIF($N$6:$N$28,$U16,M$6:M$28)+SUMIF($N$91:$N$118,$U16,M$91:M$118))*$I$83*Poor!$B$81/$B$81)</f>
        <v>444.08911692705198</v>
      </c>
      <c r="U16" s="223">
        <v>10</v>
      </c>
      <c r="V16" s="56"/>
      <c r="W16" s="110"/>
      <c r="X16" s="118"/>
      <c r="Y16" s="183">
        <f t="shared" si="9"/>
        <v>0.25156343778412155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0.25156343778412155</v>
      </c>
      <c r="AH16" s="123">
        <f t="shared" si="12"/>
        <v>1</v>
      </c>
      <c r="AI16" s="183">
        <f t="shared" si="13"/>
        <v>6.2890859446030387E-2</v>
      </c>
      <c r="AJ16" s="120">
        <f t="shared" si="14"/>
        <v>0</v>
      </c>
      <c r="AK16" s="119">
        <f t="shared" si="15"/>
        <v>0.12578171889206077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101">
        <f>IF([1]Summ!$H1055="",0,[1]Summ!$H1055)</f>
        <v>9.4339866127023678E-2</v>
      </c>
      <c r="C17" s="102">
        <f>IF([1]Summ!$I1055="",0,[1]Summ!$I1055)</f>
        <v>4.7169933063511818E-2</v>
      </c>
      <c r="D17" s="24">
        <f t="shared" si="0"/>
        <v>0.1415097991905355</v>
      </c>
      <c r="E17" s="75">
        <f>Poor!E17</f>
        <v>1</v>
      </c>
      <c r="F17" s="22"/>
      <c r="H17" s="24">
        <f t="shared" si="1"/>
        <v>1</v>
      </c>
      <c r="I17" s="22">
        <f t="shared" si="2"/>
        <v>0.1415097991905355</v>
      </c>
      <c r="J17" s="24">
        <f t="shared" ref="J17:J25" si="17">IF(I$32&lt;=1+I131,I17,B17*H17+J$33*(I17-B17*H17))</f>
        <v>0.10263535138852185</v>
      </c>
      <c r="K17" s="22">
        <f t="shared" si="4"/>
        <v>9.4339866127023678E-2</v>
      </c>
      <c r="L17" s="22">
        <f t="shared" si="5"/>
        <v>9.4339866127023678E-2</v>
      </c>
      <c r="M17" s="225">
        <f t="shared" si="6"/>
        <v>0.10263535138852185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2160</v>
      </c>
      <c r="S17" s="222">
        <f>IF($B$81=0,0,(SUMIF($N$6:$N$28,$U17,L$6:L$28)+SUMIF($N$91:$N$118,$U17,L$91:L$118))*$I$83*Poor!$B$81/$B$81)</f>
        <v>2160</v>
      </c>
      <c r="T17" s="222">
        <f>IF($B$81=0,0,(SUMIF($N$6:$N$28,$U17,M$6:M$28)+SUMIF($N$91:$N$118,$U17,M$91:M$118))*$I$83*Poor!$B$81/$B$81)</f>
        <v>2160</v>
      </c>
      <c r="U17" s="223">
        <v>11</v>
      </c>
      <c r="V17" s="56"/>
      <c r="W17" s="110"/>
      <c r="X17" s="118"/>
      <c r="Y17" s="183">
        <f t="shared" si="9"/>
        <v>0.41054140555408741</v>
      </c>
      <c r="Z17" s="156">
        <f>Poor!Z17</f>
        <v>0.29409999999999997</v>
      </c>
      <c r="AA17" s="121">
        <f t="shared" si="16"/>
        <v>0.12074022737345709</v>
      </c>
      <c r="AB17" s="156">
        <f>Poor!AB17</f>
        <v>0.17649999999999999</v>
      </c>
      <c r="AC17" s="121">
        <f t="shared" si="7"/>
        <v>7.2460558080296431E-2</v>
      </c>
      <c r="AD17" s="156">
        <f>Poor!AD17</f>
        <v>0.23530000000000001</v>
      </c>
      <c r="AE17" s="121">
        <f t="shared" si="8"/>
        <v>9.6600392726876774E-2</v>
      </c>
      <c r="AF17" s="122">
        <f t="shared" si="10"/>
        <v>0.29410000000000003</v>
      </c>
      <c r="AG17" s="121">
        <f t="shared" si="11"/>
        <v>0.12074022737345712</v>
      </c>
      <c r="AH17" s="123">
        <f t="shared" si="12"/>
        <v>1</v>
      </c>
      <c r="AI17" s="183">
        <f t="shared" si="13"/>
        <v>0.10263535138852185</v>
      </c>
      <c r="AJ17" s="120">
        <f t="shared" si="14"/>
        <v>9.660039272687676E-2</v>
      </c>
      <c r="AK17" s="119">
        <f t="shared" si="15"/>
        <v>0.10867031005016695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Irish potato: type</v>
      </c>
      <c r="B18" s="101">
        <f>IF([1]Summ!$H1056="",0,[1]Summ!$H1056)</f>
        <v>2.4561799501867997E-2</v>
      </c>
      <c r="C18" s="102">
        <f>IF([1]Summ!$I1056="",0,[1]Summ!$I1056)</f>
        <v>2.358421544209215E-2</v>
      </c>
      <c r="D18" s="24">
        <f t="shared" ref="D18:D25" si="18">(B18+C18)</f>
        <v>4.8146014943960147E-2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4.8146014943960147E-2</v>
      </c>
      <c r="J18" s="24">
        <f t="shared" si="17"/>
        <v>2.8709410043109403E-2</v>
      </c>
      <c r="K18" s="22">
        <f t="shared" ref="K18:K25" si="21">B18</f>
        <v>2.4561799501867997E-2</v>
      </c>
      <c r="L18" s="22">
        <f t="shared" ref="L18:L25" si="22">IF(K18="","",K18*H18)</f>
        <v>2.4561799501867997E-2</v>
      </c>
      <c r="M18" s="225">
        <f t="shared" ref="M18:M25" si="23">J18</f>
        <v>2.8709410043109403E-2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1006.8667886195384</v>
      </c>
      <c r="S18" s="222">
        <f>IF($B$81=0,0,(SUMIF($N$6:$N$28,$U18,L$6:L$28)+SUMIF($N$91:$N$118,$U18,L$91:L$118))*$I$83*Poor!$B$81/$B$81)</f>
        <v>1006.8667886195384</v>
      </c>
      <c r="T18" s="222">
        <f>IF($B$81=0,0,(SUMIF($N$6:$N$28,$U18,M$6:M$28)+SUMIF($N$91:$N$118,$U18,M$91:M$118))*$I$83*Poor!$B$81/$B$81)</f>
        <v>1006.8667886195384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Yam: type</v>
      </c>
      <c r="B19" s="101">
        <f>IF([1]Summ!$H1057="",0,[1]Summ!$H1057)</f>
        <v>2.0991594022415939E-2</v>
      </c>
      <c r="C19" s="102">
        <f>IF([1]Summ!$I1057="",0,[1]Summ!$I1057)</f>
        <v>0</v>
      </c>
      <c r="D19" s="24">
        <f t="shared" si="18"/>
        <v>2.0991594022415939E-2</v>
      </c>
      <c r="E19" s="75">
        <f>Poor!E19</f>
        <v>1</v>
      </c>
      <c r="F19" s="22"/>
      <c r="H19" s="24">
        <f t="shared" si="19"/>
        <v>1</v>
      </c>
      <c r="I19" s="22">
        <f t="shared" si="20"/>
        <v>2.0991594022415939E-2</v>
      </c>
      <c r="J19" s="24">
        <f t="shared" si="17"/>
        <v>2.0991594022415939E-2</v>
      </c>
      <c r="K19" s="22">
        <f t="shared" si="21"/>
        <v>2.0991594022415939E-2</v>
      </c>
      <c r="L19" s="22">
        <f t="shared" si="22"/>
        <v>2.0991594022415939E-2</v>
      </c>
      <c r="M19" s="225">
        <f t="shared" si="23"/>
        <v>2.0991594022415939E-2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344.77375954295883</v>
      </c>
      <c r="S19" s="222">
        <f>IF($B$81=0,0,(SUMIF($N$6:$N$28,$U19,L$6:L$28)+SUMIF($N$91:$N$118,$U19,L$91:L$118))*$I$83*Poor!$B$81/$B$81)</f>
        <v>344.77375954295883</v>
      </c>
      <c r="T19" s="222">
        <f>IF($B$81=0,0,(SUMIF($N$6:$N$28,$U19,M$6:M$28)+SUMIF($N$91:$N$118,$U19,M$91:M$118))*$I$83*Poor!$B$81/$B$81)</f>
        <v>344.77375954295883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22020</v>
      </c>
      <c r="S20" s="222">
        <f>IF($B$81=0,0,(SUMIF($N$6:$N$28,$U20,L$6:L$28)+SUMIF($N$91:$N$118,$U20,L$91:L$118))*$I$83*Poor!$B$81/$B$81)</f>
        <v>22020</v>
      </c>
      <c r="T20" s="222">
        <f>IF($B$81=0,0,(SUMIF($N$6:$N$28,$U20,M$6:M$28)+SUMIF($N$91:$N$118,$U20,M$91:M$118))*$I$83*Poor!$B$81/$B$81)</f>
        <v>22020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Land clearing, construction, herding, slaughtering</v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</v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1600</v>
      </c>
      <c r="S22" s="222">
        <f>IF($B$81=0,0,(SUMIF($N$6:$N$28,$U22,L$6:L$28)+SUMIF($N$91:$N$118,$U22,L$91:L$118))*$I$83*Poor!$B$81/$B$81)</f>
        <v>1600</v>
      </c>
      <c r="T22" s="222">
        <f>IF($B$81=0,0,(SUMIF($N$6:$N$28,$U22,M$6:M$28)+SUMIF($N$91:$N$118,$U22,M$91:M$118))*$I$83*Poor!$B$81/$B$81)</f>
        <v>1600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Gifts/remittances: cereal</v>
      </c>
      <c r="B23" s="101">
        <f>IF([1]Summ!$H1061="",0,[1]Summ!$H1061)</f>
        <v>1.7694834993773351E-2</v>
      </c>
      <c r="C23" s="102">
        <f>IF([1]Summ!$I1061="",0,[1]Summ!$I1061)</f>
        <v>0</v>
      </c>
      <c r="D23" s="24">
        <f t="shared" si="18"/>
        <v>1.7694834993773351E-2</v>
      </c>
      <c r="E23" s="75">
        <f>Poor!E23</f>
        <v>1</v>
      </c>
      <c r="F23" s="22"/>
      <c r="H23" s="24">
        <f t="shared" si="19"/>
        <v>1</v>
      </c>
      <c r="I23" s="22">
        <f t="shared" si="20"/>
        <v>1.7694834993773351E-2</v>
      </c>
      <c r="J23" s="24">
        <f t="shared" si="17"/>
        <v>1.7694834993773351E-2</v>
      </c>
      <c r="K23" s="22">
        <f t="shared" si="21"/>
        <v>1.7694834993773351E-2</v>
      </c>
      <c r="L23" s="22">
        <f t="shared" si="22"/>
        <v>1.7694834993773351E-2</v>
      </c>
      <c r="M23" s="225">
        <f t="shared" si="23"/>
        <v>1.7694834993773351E-2</v>
      </c>
      <c r="N23" s="229">
        <v>13</v>
      </c>
      <c r="O23" s="2"/>
      <c r="P23" s="22"/>
      <c r="Q23" s="171" t="s">
        <v>100</v>
      </c>
      <c r="R23" s="179">
        <f>SUM(R7:R22)</f>
        <v>40423.893778024401</v>
      </c>
      <c r="S23" s="179">
        <f>SUM(S7:S22)</f>
        <v>40423.893778024401</v>
      </c>
      <c r="T23" s="179">
        <f>SUM(T7:T22)</f>
        <v>40775.679020557596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Other</v>
      </c>
      <c r="B24" s="101">
        <f>IF([1]Summ!$H1062="",0,[1]Summ!$H1062)</f>
        <v>2.3069738480697384E-2</v>
      </c>
      <c r="C24" s="102">
        <f>IF([1]Summ!$I1062="",0,[1]Summ!$I1062)</f>
        <v>0</v>
      </c>
      <c r="D24" s="24">
        <f t="shared" si="18"/>
        <v>2.3069738480697384E-2</v>
      </c>
      <c r="E24" s="75">
        <f>Poor!E24</f>
        <v>1</v>
      </c>
      <c r="F24" s="22"/>
      <c r="H24" s="24">
        <f t="shared" si="19"/>
        <v>1</v>
      </c>
      <c r="I24" s="22">
        <f t="shared" si="20"/>
        <v>2.3069738480697384E-2</v>
      </c>
      <c r="J24" s="24">
        <f t="shared" si="17"/>
        <v>2.3069738480697384E-2</v>
      </c>
      <c r="K24" s="22">
        <f t="shared" si="21"/>
        <v>2.3069738480697384E-2</v>
      </c>
      <c r="L24" s="22">
        <f t="shared" si="22"/>
        <v>2.3069738480697384E-2</v>
      </c>
      <c r="M24" s="225">
        <f t="shared" si="23"/>
        <v>2.3069738480697384E-2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20136.903793668345</v>
      </c>
      <c r="S24" s="41">
        <f>IF($B$81=0,0,(SUM(($B$70*$H$70))+((1-$D$29)*$I$83))*Poor!$B$81/$B$81)</f>
        <v>20136.903793668345</v>
      </c>
      <c r="T24" s="41">
        <f>IF($B$81=0,0,(SUM(($B$70*$H$70))+((1-$D$29)*$I$83))*Poor!$B$81/$B$81)</f>
        <v>20136.903793668345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34115.570460335017</v>
      </c>
      <c r="S25" s="41">
        <f>IF($B$81=0,0,(SUM(($B$70*$H$70),($B$71*$H$71))+((1-$D$29)*$I$83))*Poor!$B$81/$B$81)</f>
        <v>34115.570460335017</v>
      </c>
      <c r="T25" s="41">
        <f>IF($B$81=0,0,(SUM(($B$70*$H$70),($B$71*$H$71))+((1-$D$29)*$I$83))*Poor!$B$81/$B$81)</f>
        <v>34115.570460335017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61859.57046033501</v>
      </c>
      <c r="S26" s="41">
        <f>IF($B$81=0,0,(SUM(($B$70*$H$70),($B$71*$H$71),($B$72*$H$72))+((1-$D$29)*$I$83))*Poor!$B$81/$B$81)</f>
        <v>61859.57046033501</v>
      </c>
      <c r="T26" s="41">
        <f>IF($B$81=0,0,(SUM(($B$70*$H$70),($B$71*$H$71),($B$72*$H$72))+((1-$D$29)*$I$83))*Poor!$B$81/$B$81)</f>
        <v>61859.57046033501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3.314115504358655E-2</v>
      </c>
      <c r="C27" s="102">
        <f>IF([1]Summ!$I1065="",0,[1]Summ!$I1065)</f>
        <v>-3.314115504358655E-2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2.7312824466077985E-2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2.7312824466077985E-2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0.10925129786431194</v>
      </c>
      <c r="Z27" s="156">
        <f>Poor!Z27</f>
        <v>0.25</v>
      </c>
      <c r="AA27" s="121">
        <f t="shared" si="16"/>
        <v>2.7312824466077985E-2</v>
      </c>
      <c r="AB27" s="156">
        <f>Poor!AB27</f>
        <v>0.25</v>
      </c>
      <c r="AC27" s="121">
        <f t="shared" si="7"/>
        <v>2.7312824466077985E-2</v>
      </c>
      <c r="AD27" s="156">
        <f>Poor!AD27</f>
        <v>0.25</v>
      </c>
      <c r="AE27" s="121">
        <f t="shared" si="8"/>
        <v>2.7312824466077985E-2</v>
      </c>
      <c r="AF27" s="122">
        <f t="shared" si="10"/>
        <v>0.25</v>
      </c>
      <c r="AG27" s="121">
        <f t="shared" si="11"/>
        <v>2.7312824466077985E-2</v>
      </c>
      <c r="AH27" s="123">
        <f t="shared" si="12"/>
        <v>1</v>
      </c>
      <c r="AI27" s="183">
        <f t="shared" si="13"/>
        <v>2.7312824466077985E-2</v>
      </c>
      <c r="AJ27" s="120">
        <f t="shared" si="14"/>
        <v>2.7312824466077985E-2</v>
      </c>
      <c r="AK27" s="119">
        <f t="shared" si="15"/>
        <v>2.7312824466077985E-2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0.21142394971980072</v>
      </c>
      <c r="C29" s="102">
        <f>IF([1]Summ!$I1067="",0,[1]Summ!$I1067)</f>
        <v>1.3212824222196339E-2</v>
      </c>
      <c r="D29" s="24">
        <f t="shared" si="0"/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0.21374760764084155</v>
      </c>
      <c r="K29" s="22">
        <f t="shared" si="4"/>
        <v>0.21142394971980072</v>
      </c>
      <c r="L29" s="22">
        <f t="shared" si="5"/>
        <v>0.21142394971980072</v>
      </c>
      <c r="M29" s="224">
        <f t="shared" si="6"/>
        <v>0.21374760764084155</v>
      </c>
      <c r="N29" s="229"/>
      <c r="P29" s="22"/>
      <c r="V29" s="56"/>
      <c r="W29" s="110"/>
      <c r="X29" s="118"/>
      <c r="Y29" s="183">
        <f t="shared" si="9"/>
        <v>0.85499043056336621</v>
      </c>
      <c r="Z29" s="156">
        <f>Poor!Z29</f>
        <v>0.25</v>
      </c>
      <c r="AA29" s="121">
        <f t="shared" si="16"/>
        <v>0.21374760764084155</v>
      </c>
      <c r="AB29" s="156">
        <f>Poor!AB29</f>
        <v>0.25</v>
      </c>
      <c r="AC29" s="121">
        <f t="shared" si="7"/>
        <v>0.21374760764084155</v>
      </c>
      <c r="AD29" s="156">
        <f>Poor!AD29</f>
        <v>0.25</v>
      </c>
      <c r="AE29" s="121">
        <f t="shared" si="8"/>
        <v>0.21374760764084155</v>
      </c>
      <c r="AF29" s="122">
        <f t="shared" si="10"/>
        <v>0.25</v>
      </c>
      <c r="AG29" s="121">
        <f t="shared" si="11"/>
        <v>0.21374760764084155</v>
      </c>
      <c r="AH29" s="123">
        <f t="shared" si="12"/>
        <v>1</v>
      </c>
      <c r="AI29" s="183">
        <f t="shared" si="13"/>
        <v>0.21374760764084155</v>
      </c>
      <c r="AJ29" s="120">
        <f t="shared" si="14"/>
        <v>0.21374760764084155</v>
      </c>
      <c r="AK29" s="119">
        <f t="shared" si="15"/>
        <v>0.21374760764084155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0.56457277397260275</v>
      </c>
      <c r="C30" s="103"/>
      <c r="D30" s="24">
        <f>(D119-B124)</f>
        <v>2.5895007138704687</v>
      </c>
      <c r="E30" s="75">
        <f>Poor!E30</f>
        <v>1</v>
      </c>
      <c r="H30" s="96">
        <f>(E30*F$7/F$9)</f>
        <v>1</v>
      </c>
      <c r="I30" s="29">
        <f>IF(E30&gt;=1,I119-I124,MIN(I119-I124,B30*H30))</f>
        <v>2.5895007138704687</v>
      </c>
      <c r="J30" s="231">
        <f>IF(I$32&lt;=1,I30,1-SUM(J6:J29))</f>
        <v>3.2734111985254888E-2</v>
      </c>
      <c r="K30" s="22">
        <f t="shared" si="4"/>
        <v>0.56457277397260275</v>
      </c>
      <c r="L30" s="22">
        <f>IF(L124=L119,0,IF(K30="",0,(L119-L124)/(B119-B124)*K30))</f>
        <v>0.56457277397260275</v>
      </c>
      <c r="M30" s="175">
        <f t="shared" si="6"/>
        <v>3.2734111985254888E-2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0.13093644794101955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-2.3227684869619876</v>
      </c>
      <c r="AC30" s="187">
        <f>IF(AC79*4/$I$84+SUM(AC6:AC29)&lt;1,AC79*4/$I$84,1-SUM(AC6:AC29))</f>
        <v>-0.30413505507213906</v>
      </c>
      <c r="AD30" s="122">
        <f>IF($Y30=0,0,AE30/($Y$30))</f>
        <v>-4.2158152046383481</v>
      </c>
      <c r="AE30" s="187">
        <f>IF(AE79*4/$I$84+SUM(AE6:AE29)&lt;1,AE79*4/$I$84,1-SUM(AE6:AE29))</f>
        <v>-0.5520038680710877</v>
      </c>
      <c r="AF30" s="122">
        <f>IF($Y30=0,0,AG30/($Y$30))</f>
        <v>-1.8668449665005338</v>
      </c>
      <c r="AG30" s="187">
        <f>IF(AG79*4/$I$84+SUM(AG6:AG29)&lt;1,AG79*4/$I$84,1-SUM(AG6:AG29))</f>
        <v>-0.24443804877015152</v>
      </c>
      <c r="AH30" s="123">
        <f t="shared" si="12"/>
        <v>-8.4054286581008686</v>
      </c>
      <c r="AI30" s="183">
        <f t="shared" si="13"/>
        <v>-0.27514424297834461</v>
      </c>
      <c r="AJ30" s="120">
        <f t="shared" si="14"/>
        <v>-0.15206752753606953</v>
      </c>
      <c r="AK30" s="119">
        <f t="shared" si="15"/>
        <v>-0.39822095842061961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-0.51511079977613705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0.42313653269452089</v>
      </c>
      <c r="AD31" s="134"/>
      <c r="AE31" s="133">
        <f>1-AE32+IF($Y32&lt;0,$Y32/4,0)</f>
        <v>0.80830113683727634</v>
      </c>
      <c r="AF31" s="134"/>
      <c r="AG31" s="133">
        <f>1-AG32+IF($Y32&lt;0,$Y32/4,0)</f>
        <v>0.36193806048258514</v>
      </c>
      <c r="AH31" s="123"/>
      <c r="AI31" s="182">
        <f>SUM(AA31,AC31,AE31,AG31)/4</f>
        <v>0.39834393250359557</v>
      </c>
      <c r="AJ31" s="135">
        <f t="shared" si="14"/>
        <v>0.21156826634726045</v>
      </c>
      <c r="AK31" s="136">
        <f t="shared" si="15"/>
        <v>0.58511959865993068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1.5151107997761371</v>
      </c>
      <c r="C32" s="77">
        <f>SUM(C6:C31)</f>
        <v>9.5118262033528814E-2</v>
      </c>
      <c r="D32" s="24">
        <f>SUM(D6:D30)</f>
        <v>3.6351570017075319</v>
      </c>
      <c r="E32" s="2"/>
      <c r="F32" s="2"/>
      <c r="H32" s="17"/>
      <c r="I32" s="22">
        <f>SUM(I6:I30)</f>
        <v>3.6351570017075319</v>
      </c>
      <c r="J32" s="17"/>
      <c r="L32" s="22">
        <f>SUM(L6:L30)</f>
        <v>1.5151107997761371</v>
      </c>
      <c r="M32" s="23"/>
      <c r="N32" s="56"/>
      <c r="O32" s="2"/>
      <c r="P32" s="22"/>
      <c r="Q32" s="234" t="s">
        <v>143</v>
      </c>
      <c r="R32" s="234">
        <f t="shared" si="24"/>
        <v>21435.676682310608</v>
      </c>
      <c r="S32" s="234">
        <f t="shared" si="24"/>
        <v>21435.676682310608</v>
      </c>
      <c r="T32" s="234">
        <f t="shared" si="24"/>
        <v>21083.891439777413</v>
      </c>
      <c r="V32" s="56"/>
      <c r="W32" s="110"/>
      <c r="X32" s="118"/>
      <c r="Y32" s="115">
        <f>SUM(Y6:Y31)</f>
        <v>3.6381376898400157</v>
      </c>
      <c r="Z32" s="137"/>
      <c r="AA32" s="138">
        <f>SUM(AA6:AA30)</f>
        <v>1</v>
      </c>
      <c r="AB32" s="137"/>
      <c r="AC32" s="139">
        <f>SUM(AC6:AC30)</f>
        <v>0.57686346730547911</v>
      </c>
      <c r="AD32" s="137"/>
      <c r="AE32" s="139">
        <f>SUM(AE6:AE30)</f>
        <v>0.19169886316272366</v>
      </c>
      <c r="AF32" s="137"/>
      <c r="AG32" s="139">
        <f>SUM(AG6:AG30)</f>
        <v>0.63806193951741486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0.1758638336486241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66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2000</v>
      </c>
      <c r="C37" s="104">
        <f>IF([1]Summ!$I1072="",0,[1]Summ!$I1072)</f>
        <v>0</v>
      </c>
      <c r="D37" s="38">
        <f t="shared" ref="D37:D64" si="25">B37+C37</f>
        <v>2000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2000</v>
      </c>
      <c r="J37" s="38">
        <f>J91*I$83</f>
        <v>2000</v>
      </c>
      <c r="K37" s="40">
        <f>(B37/B$65)</f>
        <v>5.805009723391287E-2</v>
      </c>
      <c r="L37" s="22">
        <f t="shared" ref="L37" si="28">(K37*H37)</f>
        <v>5.805009723391287E-2</v>
      </c>
      <c r="M37" s="24">
        <f>J37/B$65</f>
        <v>5.805009723391287E-2</v>
      </c>
      <c r="N37" s="2"/>
      <c r="O37" s="2"/>
      <c r="P37" s="2"/>
      <c r="Q37" s="59"/>
      <c r="R37" s="266"/>
      <c r="S37" s="266"/>
      <c r="T37" s="29"/>
      <c r="U37" s="56"/>
      <c r="V37" s="56"/>
      <c r="W37" s="115"/>
      <c r="X37" s="118"/>
      <c r="Y37" s="110"/>
      <c r="Z37" s="122">
        <f>IF($J37=0,0,AA37/($J37))</f>
        <v>0.70068724139796879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1401.3744827959376</v>
      </c>
      <c r="AB37" s="122">
        <f>IF($J37=0,0,AC37/($J37))</f>
        <v>0.29931275860203116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598.62551720406236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2000</v>
      </c>
      <c r="AJ37" s="148">
        <f>(AA37+AC37)</f>
        <v>2000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1500</v>
      </c>
      <c r="C38" s="104">
        <f>IF([1]Summ!$I1073="",0,[1]Summ!$I1073)</f>
        <v>1000</v>
      </c>
      <c r="D38" s="38">
        <f t="shared" si="25"/>
        <v>2500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2500</v>
      </c>
      <c r="J38" s="38">
        <f t="shared" ref="J38:J64" si="32">J92*I$83</f>
        <v>1675.8638336486242</v>
      </c>
      <c r="K38" s="40">
        <f t="shared" ref="K38:K64" si="33">(B38/B$65)</f>
        <v>4.3537572925434649E-2</v>
      </c>
      <c r="L38" s="22">
        <f t="shared" ref="L38:L64" si="34">(K38*H38)</f>
        <v>4.3537572925434649E-2</v>
      </c>
      <c r="M38" s="24">
        <f t="shared" ref="M38:M64" si="35">J38/B$65</f>
        <v>4.8642029247050307E-2</v>
      </c>
      <c r="N38" s="2"/>
      <c r="O38" s="2"/>
      <c r="P38" s="2"/>
      <c r="Q38" s="59"/>
      <c r="R38" s="266"/>
      <c r="S38" s="266"/>
      <c r="T38" s="29"/>
      <c r="U38" s="56"/>
      <c r="V38" s="56"/>
      <c r="W38" s="115"/>
      <c r="X38" s="118"/>
      <c r="Y38" s="110"/>
      <c r="Z38" s="122">
        <f>IF($J38=0,0,AA38/($J38))</f>
        <v>0.70068724139796879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1174.256406557879</v>
      </c>
      <c r="AB38" s="122">
        <f>IF($J38=0,0,AC38/($J38))</f>
        <v>0.29931275860203116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501.6074270907452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1675.8638336486242</v>
      </c>
      <c r="AJ38" s="148">
        <f t="shared" ref="AJ38:AJ64" si="38">(AA38+AC38)</f>
        <v>1675.8638336486242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66"/>
      <c r="S39" s="266"/>
      <c r="T39" s="29"/>
      <c r="U39" s="56"/>
      <c r="V39" s="56"/>
      <c r="W39" s="115"/>
      <c r="X39" s="194">
        <f>X8</f>
        <v>1</v>
      </c>
      <c r="Y39" s="110"/>
      <c r="Z39" s="122">
        <f>Z8</f>
        <v>0.54281970908696886</v>
      </c>
      <c r="AA39" s="147">
        <f t="shared" ref="AA39:AA64" si="40">$J39*Z39</f>
        <v>0</v>
      </c>
      <c r="AB39" s="122">
        <f>AB8</f>
        <v>0.45718029091303114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500</v>
      </c>
      <c r="C40" s="104">
        <f>IF([1]Summ!$I1075="",0,[1]Summ!$I1075)</f>
        <v>-500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412.06808317568795</v>
      </c>
      <c r="K40" s="40">
        <f t="shared" si="33"/>
        <v>1.4512524308478218E-2</v>
      </c>
      <c r="L40" s="22">
        <f t="shared" si="34"/>
        <v>1.4512524308478218E-2</v>
      </c>
      <c r="M40" s="24">
        <f t="shared" si="35"/>
        <v>1.196029614767039E-2</v>
      </c>
      <c r="N40" s="2"/>
      <c r="O40" s="2"/>
      <c r="P40" s="2"/>
      <c r="Q40" s="59"/>
      <c r="R40" s="266"/>
      <c r="S40" s="266"/>
      <c r="T40" s="29"/>
      <c r="U40" s="56"/>
      <c r="V40" s="56"/>
      <c r="W40" s="115"/>
      <c r="X40" s="194">
        <f>X9</f>
        <v>1</v>
      </c>
      <c r="Y40" s="110"/>
      <c r="Z40" s="122">
        <f>Z9</f>
        <v>0.54281970908696875</v>
      </c>
      <c r="AA40" s="147">
        <f t="shared" si="40"/>
        <v>223.67867703345178</v>
      </c>
      <c r="AB40" s="122">
        <f>AB9</f>
        <v>0.4571802909130312</v>
      </c>
      <c r="AC40" s="147">
        <f t="shared" si="41"/>
        <v>188.38940614223614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412.06808317568789</v>
      </c>
      <c r="AJ40" s="148">
        <f t="shared" si="38"/>
        <v>412.06808317568789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1250</v>
      </c>
      <c r="C41" s="104">
        <f>IF([1]Summ!$I1076="",0,[1]Summ!$I1076)</f>
        <v>1812.5</v>
      </c>
      <c r="D41" s="38">
        <f t="shared" si="25"/>
        <v>3062.5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3062.5</v>
      </c>
      <c r="J41" s="38">
        <f t="shared" si="32"/>
        <v>1568.7531984881311</v>
      </c>
      <c r="K41" s="40">
        <f t="shared" si="33"/>
        <v>3.6281310771195542E-2</v>
      </c>
      <c r="L41" s="22">
        <f t="shared" si="34"/>
        <v>3.6281310771195542E-2</v>
      </c>
      <c r="M41" s="24">
        <f t="shared" si="35"/>
        <v>4.5533137854123912E-2</v>
      </c>
      <c r="N41" s="2"/>
      <c r="O41" s="2"/>
      <c r="P41" s="2"/>
      <c r="Q41" s="59"/>
      <c r="R41" s="266"/>
      <c r="S41" s="266"/>
      <c r="T41" s="267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1568.7531984881311</v>
      </c>
      <c r="AH41" s="123">
        <f t="shared" si="37"/>
        <v>1</v>
      </c>
      <c r="AI41" s="112">
        <f t="shared" si="37"/>
        <v>1568.7531984881311</v>
      </c>
      <c r="AJ41" s="148">
        <f t="shared" si="38"/>
        <v>0</v>
      </c>
      <c r="AK41" s="147">
        <f t="shared" si="39"/>
        <v>1568.7531984881311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Water melon: no. local meas (Bhece)</v>
      </c>
      <c r="B42" s="104">
        <f>IF([1]Summ!$H1077="",0,[1]Summ!$H1077)</f>
        <v>99</v>
      </c>
      <c r="C42" s="104">
        <f>IF([1]Summ!$I1077="",0,[1]Summ!$I1077)</f>
        <v>-99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81.589480468786206</v>
      </c>
      <c r="K42" s="40">
        <f t="shared" si="33"/>
        <v>2.8734798130786868E-3</v>
      </c>
      <c r="L42" s="22">
        <f t="shared" si="34"/>
        <v>2.8734798130786868E-3</v>
      </c>
      <c r="M42" s="24">
        <f t="shared" si="35"/>
        <v>2.3681386372387371E-3</v>
      </c>
      <c r="N42" s="2"/>
      <c r="O42" s="2"/>
      <c r="P42" s="2"/>
      <c r="Q42" s="41"/>
      <c r="R42" s="41"/>
      <c r="S42" s="268"/>
      <c r="T42" s="268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20.397370117196552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40.794740234393103</v>
      </c>
      <c r="AF42" s="122">
        <f t="shared" si="29"/>
        <v>0.25</v>
      </c>
      <c r="AG42" s="147">
        <f t="shared" si="36"/>
        <v>20.397370117196552</v>
      </c>
      <c r="AH42" s="123">
        <f t="shared" si="37"/>
        <v>1</v>
      </c>
      <c r="AI42" s="112">
        <f t="shared" si="37"/>
        <v>81.589480468786206</v>
      </c>
      <c r="AJ42" s="148">
        <f t="shared" si="38"/>
        <v>20.397370117196552</v>
      </c>
      <c r="AK42" s="147">
        <f t="shared" si="39"/>
        <v>61.192110351589655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Sweet poatato: no. local meas</v>
      </c>
      <c r="B43" s="104">
        <f>IF([1]Summ!$H1078="",0,[1]Summ!$H1078)</f>
        <v>250</v>
      </c>
      <c r="C43" s="104">
        <f>IF([1]Summ!$I1078="",0,[1]Summ!$I1078)</f>
        <v>-250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206.03404158784397</v>
      </c>
      <c r="K43" s="40">
        <f t="shared" si="33"/>
        <v>7.2562621542391088E-3</v>
      </c>
      <c r="L43" s="22">
        <f t="shared" si="34"/>
        <v>7.2562621542391088E-3</v>
      </c>
      <c r="M43" s="24">
        <f t="shared" si="35"/>
        <v>5.9801480738351951E-3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51.508510396960993</v>
      </c>
      <c r="AB43" s="156">
        <f>Poor!AB43</f>
        <v>0.25</v>
      </c>
      <c r="AC43" s="147">
        <f t="shared" si="41"/>
        <v>51.508510396960993</v>
      </c>
      <c r="AD43" s="156">
        <f>Poor!AD43</f>
        <v>0.25</v>
      </c>
      <c r="AE43" s="147">
        <f t="shared" si="42"/>
        <v>51.508510396960993</v>
      </c>
      <c r="AF43" s="122">
        <f t="shared" si="29"/>
        <v>0.25</v>
      </c>
      <c r="AG43" s="147">
        <f t="shared" si="36"/>
        <v>51.508510396960993</v>
      </c>
      <c r="AH43" s="123">
        <f t="shared" si="37"/>
        <v>1</v>
      </c>
      <c r="AI43" s="112">
        <f t="shared" si="37"/>
        <v>206.03404158784397</v>
      </c>
      <c r="AJ43" s="148">
        <f t="shared" si="38"/>
        <v>103.01702079392199</v>
      </c>
      <c r="AK43" s="147">
        <f t="shared" si="39"/>
        <v>103.01702079392199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Groundnuts (dry): no. local meas</v>
      </c>
      <c r="B44" s="104">
        <f>IF([1]Summ!$H1079="",0,[1]Summ!$H1079)</f>
        <v>250</v>
      </c>
      <c r="C44" s="104">
        <f>IF([1]Summ!$I1079="",0,[1]Summ!$I1079)</f>
        <v>-250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206.03404158784397</v>
      </c>
      <c r="K44" s="40">
        <f t="shared" si="33"/>
        <v>7.2562621542391088E-3</v>
      </c>
      <c r="L44" s="22">
        <f t="shared" si="34"/>
        <v>7.2562621542391088E-3</v>
      </c>
      <c r="M44" s="24">
        <f t="shared" si="35"/>
        <v>5.9801480738351951E-3</v>
      </c>
      <c r="N44" s="2"/>
      <c r="O44" s="2"/>
      <c r="P44" s="2"/>
      <c r="Q44" s="269"/>
      <c r="R44" s="41"/>
      <c r="S44" s="41"/>
      <c r="T44" s="267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51.508510396960993</v>
      </c>
      <c r="AB44" s="156">
        <f>Poor!AB44</f>
        <v>0.25</v>
      </c>
      <c r="AC44" s="147">
        <f t="shared" si="41"/>
        <v>51.508510396960993</v>
      </c>
      <c r="AD44" s="156">
        <f>Poor!AD44</f>
        <v>0.25</v>
      </c>
      <c r="AE44" s="147">
        <f t="shared" si="42"/>
        <v>51.508510396960993</v>
      </c>
      <c r="AF44" s="122">
        <f t="shared" si="29"/>
        <v>0.25</v>
      </c>
      <c r="AG44" s="147">
        <f t="shared" si="36"/>
        <v>51.508510396960993</v>
      </c>
      <c r="AH44" s="123">
        <f t="shared" si="37"/>
        <v>1</v>
      </c>
      <c r="AI44" s="112">
        <f t="shared" si="37"/>
        <v>206.03404158784397</v>
      </c>
      <c r="AJ44" s="148">
        <f t="shared" si="38"/>
        <v>103.01702079392199</v>
      </c>
      <c r="AK44" s="147">
        <f t="shared" si="39"/>
        <v>103.01702079392199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Irish potato: type</v>
      </c>
      <c r="B45" s="104">
        <f>IF([1]Summ!$H1080="",0,[1]Summ!$H1080)</f>
        <v>772</v>
      </c>
      <c r="C45" s="104">
        <f>IF([1]Summ!$I1080="",0,[1]Summ!$I1080)</f>
        <v>-772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636.23312042326211</v>
      </c>
      <c r="K45" s="40">
        <f t="shared" si="33"/>
        <v>2.2407337532290367E-2</v>
      </c>
      <c r="L45" s="22">
        <f t="shared" si="34"/>
        <v>2.2407337532290367E-2</v>
      </c>
      <c r="M45" s="24">
        <f t="shared" si="35"/>
        <v>1.8466697252003079E-2</v>
      </c>
      <c r="N45" s="2"/>
      <c r="O45" s="2"/>
      <c r="P45" s="2"/>
      <c r="Q45" s="269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159.05828010581553</v>
      </c>
      <c r="AB45" s="156">
        <f>Poor!AB45</f>
        <v>0.25</v>
      </c>
      <c r="AC45" s="147">
        <f t="shared" si="41"/>
        <v>159.05828010581553</v>
      </c>
      <c r="AD45" s="156">
        <f>Poor!AD45</f>
        <v>0.25</v>
      </c>
      <c r="AE45" s="147">
        <f t="shared" si="42"/>
        <v>159.05828010581553</v>
      </c>
      <c r="AF45" s="122">
        <f t="shared" si="29"/>
        <v>0.25</v>
      </c>
      <c r="AG45" s="147">
        <f t="shared" si="36"/>
        <v>159.05828010581553</v>
      </c>
      <c r="AH45" s="123">
        <f t="shared" si="37"/>
        <v>1</v>
      </c>
      <c r="AI45" s="112">
        <f t="shared" si="37"/>
        <v>636.23312042326211</v>
      </c>
      <c r="AJ45" s="148">
        <f t="shared" si="38"/>
        <v>318.11656021163105</v>
      </c>
      <c r="AK45" s="147">
        <f t="shared" si="39"/>
        <v>318.11656021163105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Yam: type</v>
      </c>
      <c r="B46" s="104">
        <f>IF([1]Summ!$H1081="",0,[1]Summ!$H1081)</f>
        <v>400</v>
      </c>
      <c r="C46" s="104">
        <f>IF([1]Summ!$I1081="",0,[1]Summ!$I1081)</f>
        <v>0</v>
      </c>
      <c r="D46" s="38">
        <f t="shared" si="25"/>
        <v>400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400</v>
      </c>
      <c r="J46" s="38">
        <f t="shared" si="32"/>
        <v>400</v>
      </c>
      <c r="K46" s="40">
        <f t="shared" si="33"/>
        <v>1.1610019446782574E-2</v>
      </c>
      <c r="L46" s="22">
        <f t="shared" si="34"/>
        <v>1.1610019446782574E-2</v>
      </c>
      <c r="M46" s="24">
        <f t="shared" si="35"/>
        <v>1.1610019446782574E-2</v>
      </c>
      <c r="N46" s="2"/>
      <c r="O46" s="2"/>
      <c r="P46" s="2"/>
      <c r="Q46" s="269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100</v>
      </c>
      <c r="AB46" s="156">
        <f>Poor!AB46</f>
        <v>0.25</v>
      </c>
      <c r="AC46" s="147">
        <f t="shared" si="41"/>
        <v>100</v>
      </c>
      <c r="AD46" s="156">
        <f>Poor!AD46</f>
        <v>0.25</v>
      </c>
      <c r="AE46" s="147">
        <f t="shared" si="42"/>
        <v>100</v>
      </c>
      <c r="AF46" s="122">
        <f t="shared" si="29"/>
        <v>0.25</v>
      </c>
      <c r="AG46" s="147">
        <f t="shared" si="36"/>
        <v>100</v>
      </c>
      <c r="AH46" s="123">
        <f t="shared" si="37"/>
        <v>1</v>
      </c>
      <c r="AI46" s="112">
        <f t="shared" si="37"/>
        <v>400</v>
      </c>
      <c r="AJ46" s="148">
        <f t="shared" si="38"/>
        <v>200</v>
      </c>
      <c r="AK46" s="147">
        <f t="shared" si="39"/>
        <v>200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Spinach (cash): kg produced</v>
      </c>
      <c r="B47" s="104">
        <f>IF([1]Summ!$H1082="",0,[1]Summ!$H1082)</f>
        <v>100</v>
      </c>
      <c r="C47" s="104">
        <f>IF([1]Summ!$I1082="",0,[1]Summ!$I1082)</f>
        <v>0</v>
      </c>
      <c r="D47" s="38">
        <f t="shared" si="25"/>
        <v>100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100</v>
      </c>
      <c r="J47" s="38">
        <f t="shared" si="32"/>
        <v>100</v>
      </c>
      <c r="K47" s="40">
        <f t="shared" si="33"/>
        <v>2.9025048616956434E-3</v>
      </c>
      <c r="L47" s="22">
        <f t="shared" si="34"/>
        <v>2.9025048616956434E-3</v>
      </c>
      <c r="M47" s="24">
        <f t="shared" si="35"/>
        <v>2.9025048616956434E-3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25</v>
      </c>
      <c r="AB47" s="156">
        <f>Poor!AB47</f>
        <v>0.25</v>
      </c>
      <c r="AC47" s="147">
        <f t="shared" si="41"/>
        <v>25</v>
      </c>
      <c r="AD47" s="156">
        <f>Poor!AD47</f>
        <v>0.25</v>
      </c>
      <c r="AE47" s="147">
        <f t="shared" si="42"/>
        <v>25</v>
      </c>
      <c r="AF47" s="122">
        <f t="shared" si="29"/>
        <v>0.25</v>
      </c>
      <c r="AG47" s="147">
        <f t="shared" si="36"/>
        <v>25</v>
      </c>
      <c r="AH47" s="123">
        <f t="shared" si="37"/>
        <v>1</v>
      </c>
      <c r="AI47" s="112">
        <f t="shared" si="37"/>
        <v>100</v>
      </c>
      <c r="AJ47" s="148">
        <f t="shared" si="38"/>
        <v>50</v>
      </c>
      <c r="AK47" s="147">
        <f t="shared" si="39"/>
        <v>50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Tomatoes (cash):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69"/>
      <c r="R48" s="266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Cabbage (cash): kg produced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Agricultural cash income -- see Data2</v>
      </c>
      <c r="B50" s="104">
        <f>IF([1]Summ!$H1085="",0,[1]Summ!$H1085)</f>
        <v>752</v>
      </c>
      <c r="C50" s="104">
        <f>IF([1]Summ!$I1085="",0,[1]Summ!$I1085)</f>
        <v>0</v>
      </c>
      <c r="D50" s="38">
        <f t="shared" si="25"/>
        <v>752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752</v>
      </c>
      <c r="J50" s="38">
        <f t="shared" si="32"/>
        <v>752</v>
      </c>
      <c r="K50" s="40">
        <f t="shared" si="33"/>
        <v>2.1826836559951237E-2</v>
      </c>
      <c r="L50" s="22">
        <f t="shared" si="34"/>
        <v>2.1826836559951237E-2</v>
      </c>
      <c r="M50" s="24">
        <f t="shared" si="35"/>
        <v>2.1826836559951237E-2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188</v>
      </c>
      <c r="AB50" s="156">
        <f>Poor!AB55</f>
        <v>0.25</v>
      </c>
      <c r="AC50" s="147">
        <f t="shared" si="41"/>
        <v>188</v>
      </c>
      <c r="AD50" s="156">
        <f>Poor!AD55</f>
        <v>0.25</v>
      </c>
      <c r="AE50" s="147">
        <f t="shared" si="42"/>
        <v>188</v>
      </c>
      <c r="AF50" s="122">
        <f t="shared" si="29"/>
        <v>0.25</v>
      </c>
      <c r="AG50" s="147">
        <f t="shared" si="36"/>
        <v>188</v>
      </c>
      <c r="AH50" s="123">
        <f t="shared" si="37"/>
        <v>1</v>
      </c>
      <c r="AI50" s="112">
        <f t="shared" si="37"/>
        <v>752</v>
      </c>
      <c r="AJ50" s="148">
        <f t="shared" si="38"/>
        <v>376</v>
      </c>
      <c r="AK50" s="147">
        <f t="shared" si="39"/>
        <v>376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Labour migration(formal employment): no. people per HH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Formal Employment (conservancies, etc.)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Self-employment -- see Data2</v>
      </c>
      <c r="B53" s="104">
        <f>IF([1]Summ!$H1088="",0,[1]Summ!$H1088)</f>
        <v>429</v>
      </c>
      <c r="C53" s="104">
        <f>IF([1]Summ!$I1088="",0,[1]Summ!$I1088)</f>
        <v>85.799999999999955</v>
      </c>
      <c r="D53" s="38">
        <f t="shared" si="25"/>
        <v>514.79999999999995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514.79999999999995</v>
      </c>
      <c r="J53" s="38">
        <f t="shared" si="32"/>
        <v>444.08911692705198</v>
      </c>
      <c r="K53" s="40">
        <f t="shared" si="33"/>
        <v>1.245174585667431E-2</v>
      </c>
      <c r="L53" s="22">
        <f t="shared" si="34"/>
        <v>1.245174585667431E-2</v>
      </c>
      <c r="M53" s="24">
        <f t="shared" si="35"/>
        <v>1.2889708209068934E-2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Small business -- see Data2</v>
      </c>
      <c r="B54" s="104">
        <f>IF([1]Summ!$H1089="",0,[1]Summ!$H1089)</f>
        <v>2160</v>
      </c>
      <c r="C54" s="104">
        <f>IF([1]Summ!$I1089="",0,[1]Summ!$I1089)</f>
        <v>0</v>
      </c>
      <c r="D54" s="38">
        <f t="shared" si="25"/>
        <v>2160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2160</v>
      </c>
      <c r="J54" s="38">
        <f t="shared" si="32"/>
        <v>2160</v>
      </c>
      <c r="K54" s="40">
        <f t="shared" si="33"/>
        <v>6.26941050126259E-2</v>
      </c>
      <c r="L54" s="22">
        <f t="shared" si="34"/>
        <v>6.26941050126259E-2</v>
      </c>
      <c r="M54" s="24">
        <f t="shared" si="35"/>
        <v>6.26941050126259E-2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Social development -- see Data2</v>
      </c>
      <c r="B55" s="104">
        <f>IF([1]Summ!$H1090="",0,[1]Summ!$H1090)</f>
        <v>22020</v>
      </c>
      <c r="C55" s="104">
        <f>IF([1]Summ!$I1090="",0,[1]Summ!$I1090)</f>
        <v>0</v>
      </c>
      <c r="D55" s="38">
        <f t="shared" si="25"/>
        <v>22020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22020</v>
      </c>
      <c r="J55" s="38">
        <f t="shared" si="32"/>
        <v>22020</v>
      </c>
      <c r="K55" s="40">
        <f t="shared" si="33"/>
        <v>0.63913157054538061</v>
      </c>
      <c r="L55" s="22">
        <f t="shared" si="34"/>
        <v>0.63913157054538061</v>
      </c>
      <c r="M55" s="24">
        <f t="shared" si="35"/>
        <v>0.63913157054538061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Public works -- see Data2</v>
      </c>
      <c r="B56" s="104">
        <f>IF([1]Summ!$H1091="",0,[1]Summ!$H1091)</f>
        <v>371</v>
      </c>
      <c r="C56" s="104">
        <f>IF([1]Summ!$I1091="",0,[1]Summ!$I1091)</f>
        <v>0</v>
      </c>
      <c r="D56" s="38">
        <f t="shared" si="25"/>
        <v>371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371</v>
      </c>
      <c r="J56" s="38">
        <f t="shared" si="32"/>
        <v>371</v>
      </c>
      <c r="K56" s="40">
        <f t="shared" si="33"/>
        <v>1.0768293036890838E-2</v>
      </c>
      <c r="L56" s="22">
        <f t="shared" si="34"/>
        <v>1.0768293036890838E-2</v>
      </c>
      <c r="M56" s="24">
        <f t="shared" si="35"/>
        <v>1.0768293036890838E-2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Other income: e.g. Credit (cotton loans)</v>
      </c>
      <c r="B57" s="104">
        <f>IF([1]Summ!$H1092="",0,[1]Summ!$H1092)</f>
        <v>1600</v>
      </c>
      <c r="C57" s="104">
        <f>IF([1]Summ!$I1092="",0,[1]Summ!$I1092)</f>
        <v>0</v>
      </c>
      <c r="D57" s="38">
        <f t="shared" si="25"/>
        <v>1600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1600</v>
      </c>
      <c r="J57" s="38">
        <f t="shared" si="32"/>
        <v>1600</v>
      </c>
      <c r="K57" s="40">
        <f t="shared" si="33"/>
        <v>4.6440077787130295E-2</v>
      </c>
      <c r="L57" s="22">
        <f t="shared" si="34"/>
        <v>4.6440077787130295E-2</v>
      </c>
      <c r="M57" s="24">
        <f t="shared" si="35"/>
        <v>4.6440077787130295E-2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34453</v>
      </c>
      <c r="C65" s="39">
        <f>SUM(C37:C64)</f>
        <v>1027.3</v>
      </c>
      <c r="D65" s="42">
        <f>SUM(D37:D64)</f>
        <v>35480.300000000003</v>
      </c>
      <c r="E65" s="32"/>
      <c r="F65" s="32"/>
      <c r="G65" s="32"/>
      <c r="H65" s="31"/>
      <c r="I65" s="39">
        <f>SUM(I37:I64)</f>
        <v>35480.300000000003</v>
      </c>
      <c r="J65" s="39">
        <f>SUM(J37:J64)</f>
        <v>34633.664916307229</v>
      </c>
      <c r="K65" s="40">
        <f>SUM(K37:K64)</f>
        <v>1</v>
      </c>
      <c r="L65" s="22">
        <f>SUM(L37:L64)</f>
        <v>1</v>
      </c>
      <c r="M65" s="24">
        <f>SUM(M37:M64)</f>
        <v>1.0052438079791957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3394.7822374042021</v>
      </c>
      <c r="AB65" s="137"/>
      <c r="AC65" s="153">
        <f>SUM(AC37:AC64)</f>
        <v>1863.6976513367811</v>
      </c>
      <c r="AD65" s="137"/>
      <c r="AE65" s="153">
        <f>SUM(AE37:AE64)</f>
        <v>615.87004113413059</v>
      </c>
      <c r="AF65" s="137"/>
      <c r="AG65" s="153">
        <f>SUM(AG37:AG64)</f>
        <v>2164.225869505065</v>
      </c>
      <c r="AH65" s="137"/>
      <c r="AI65" s="153">
        <f>SUM(AI37:AI64)</f>
        <v>8038.5757993801781</v>
      </c>
      <c r="AJ65" s="153">
        <f>SUM(AJ37:AJ64)</f>
        <v>5258.4798887409825</v>
      </c>
      <c r="AK65" s="153">
        <f>SUM(AK37:AK64)</f>
        <v>2780.0959106391961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13579.12894961681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13579.12894961681</v>
      </c>
      <c r="J70" s="51">
        <f t="shared" ref="J70:J77" si="44">J124*I$83</f>
        <v>13579.12894961681</v>
      </c>
      <c r="K70" s="40">
        <f>B70/B$76</f>
        <v>0.39413487793854846</v>
      </c>
      <c r="L70" s="22">
        <f t="shared" ref="L70:L75" si="45">(L124*G$37*F$9/F$7)/B$130</f>
        <v>0.3941348779385484</v>
      </c>
      <c r="M70" s="24">
        <f>J70/B$76</f>
        <v>0.39413487793854846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3394.7822374042025</v>
      </c>
      <c r="AB70" s="156">
        <f>Poor!AB70</f>
        <v>0.25</v>
      </c>
      <c r="AC70" s="147">
        <f>$J70*AB70</f>
        <v>3394.7822374042025</v>
      </c>
      <c r="AD70" s="156">
        <f>Poor!AD70</f>
        <v>0.25</v>
      </c>
      <c r="AE70" s="147">
        <f>$J70*AD70</f>
        <v>3394.7822374042025</v>
      </c>
      <c r="AF70" s="156">
        <f>Poor!AF70</f>
        <v>0.25</v>
      </c>
      <c r="AG70" s="147">
        <f>$J70*AF70</f>
        <v>3394.7822374042025</v>
      </c>
      <c r="AH70" s="155">
        <f>SUM(Z70,AB70,AD70,AF70)</f>
        <v>1</v>
      </c>
      <c r="AI70" s="147">
        <f>SUM(AA70,AC70,AE70,AG70)</f>
        <v>13579.12894961681</v>
      </c>
      <c r="AJ70" s="148">
        <f>(AA70+AC70)</f>
        <v>6789.5644748084051</v>
      </c>
      <c r="AK70" s="147">
        <f>(AE70+AG70)</f>
        <v>6789.5644748084051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13978.666666666668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13978.666666666668</v>
      </c>
      <c r="J71" s="51">
        <f t="shared" si="44"/>
        <v>13978.666666666668</v>
      </c>
      <c r="K71" s="40">
        <f t="shared" ref="K71:K72" si="47">B71/B$76</f>
        <v>0.40573147960022837</v>
      </c>
      <c r="L71" s="22">
        <f t="shared" si="45"/>
        <v>0.40573147960022832</v>
      </c>
      <c r="M71" s="24">
        <f t="shared" ref="M71:M72" si="48">J71/B$76</f>
        <v>0.40573147960022837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27744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6799.0146222353496</v>
      </c>
      <c r="K72" s="40">
        <f t="shared" si="47"/>
        <v>0.80527094882883932</v>
      </c>
      <c r="L72" s="22">
        <f t="shared" si="45"/>
        <v>6.1539719223093758E-2</v>
      </c>
      <c r="M72" s="24">
        <f t="shared" si="48"/>
        <v>0.19734172995777871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7510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0.21797811511334281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675.9</v>
      </c>
      <c r="AB73" s="156">
        <f>Poor!AB73</f>
        <v>0.09</v>
      </c>
      <c r="AC73" s="147">
        <f>$H$73*$B$73*AB73</f>
        <v>675.9</v>
      </c>
      <c r="AD73" s="156">
        <f>Poor!AD73</f>
        <v>0.23</v>
      </c>
      <c r="AE73" s="147">
        <f>$H$73*$B$73*AD73</f>
        <v>1727.3000000000002</v>
      </c>
      <c r="AF73" s="156">
        <f>Poor!AF73</f>
        <v>0.59</v>
      </c>
      <c r="AG73" s="147">
        <f>$H$73*$B$73*AF73</f>
        <v>4430.8999999999996</v>
      </c>
      <c r="AH73" s="155">
        <f>SUM(Z73,AB73,AD73,AF73)</f>
        <v>1</v>
      </c>
      <c r="AI73" s="147">
        <f>SUM(AA73,AC73,AE73,AG73)</f>
        <v>7510</v>
      </c>
      <c r="AJ73" s="148">
        <f>(AA73+AC73)</f>
        <v>1351.8</v>
      </c>
      <c r="AK73" s="147">
        <f>(AE73+AG73)</f>
        <v>6158.2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4774.9764373232802</v>
      </c>
      <c r="C74" s="39"/>
      <c r="D74" s="38"/>
      <c r="E74" s="32"/>
      <c r="F74" s="32"/>
      <c r="G74" s="32"/>
      <c r="H74" s="31"/>
      <c r="I74" s="39">
        <f>I128*I$83</f>
        <v>21901.171050383193</v>
      </c>
      <c r="J74" s="51">
        <f t="shared" si="44"/>
        <v>276.85467778840984</v>
      </c>
      <c r="K74" s="40">
        <f>B74/B$76</f>
        <v>0.13859392323812963</v>
      </c>
      <c r="L74" s="22">
        <f t="shared" si="45"/>
        <v>0.13859392323812961</v>
      </c>
      <c r="M74" s="24">
        <f>J74/B$76</f>
        <v>8.0357204826404047E-3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-1531.0845860674222</v>
      </c>
      <c r="AD74" s="156"/>
      <c r="AE74" s="147">
        <f>AE30*$I$84/4</f>
        <v>-2778.9121962700715</v>
      </c>
      <c r="AF74" s="156"/>
      <c r="AG74" s="147">
        <f>AG30*$I$84/4</f>
        <v>-1230.556367899138</v>
      </c>
      <c r="AH74" s="155"/>
      <c r="AI74" s="147">
        <f>SUM(AA74,AC74,AE74,AG74)</f>
        <v>-5540.5531502366321</v>
      </c>
      <c r="AJ74" s="148">
        <f>(AA74+AC74)</f>
        <v>-1531.0845860674222</v>
      </c>
      <c r="AK74" s="147">
        <f>(AE74+AG74)</f>
        <v>-4009.4685641692095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7.5119297665829899E-12</v>
      </c>
      <c r="K75" s="40">
        <f>B75/B$76</f>
        <v>0</v>
      </c>
      <c r="L75" s="22">
        <f t="shared" si="45"/>
        <v>0</v>
      </c>
      <c r="M75" s="24">
        <f>J75/B$76</f>
        <v>2.1803412668223347E-16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-4.5474735088646412E-13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34453</v>
      </c>
      <c r="C76" s="39"/>
      <c r="D76" s="38"/>
      <c r="E76" s="32"/>
      <c r="F76" s="32"/>
      <c r="G76" s="32"/>
      <c r="H76" s="31"/>
      <c r="I76" s="39">
        <f>I130*I$83</f>
        <v>35480.300000000003</v>
      </c>
      <c r="J76" s="51">
        <f t="shared" si="44"/>
        <v>34633.664916307236</v>
      </c>
      <c r="K76" s="40">
        <f>SUM(K70:K75)</f>
        <v>1.9617093447190888</v>
      </c>
      <c r="L76" s="22">
        <f>SUM(L70:L75)</f>
        <v>1.0000000000000002</v>
      </c>
      <c r="M76" s="24">
        <f>SUM(M70:M75)</f>
        <v>1.0052438079791961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3394.7822374042021</v>
      </c>
      <c r="AB76" s="137"/>
      <c r="AC76" s="153">
        <f>AC65</f>
        <v>1863.6976513367811</v>
      </c>
      <c r="AD76" s="137"/>
      <c r="AE76" s="153">
        <f>AE65</f>
        <v>615.87004113413059</v>
      </c>
      <c r="AF76" s="137"/>
      <c r="AG76" s="153">
        <f>AG65</f>
        <v>2164.225869505065</v>
      </c>
      <c r="AH76" s="137"/>
      <c r="AI76" s="153">
        <f>SUM(AA76,AC76,AE76,AG76)</f>
        <v>8038.575799380179</v>
      </c>
      <c r="AJ76" s="154">
        <f>SUM(AA76,AC76)</f>
        <v>5258.4798887409834</v>
      </c>
      <c r="AK76" s="154">
        <f>SUM(AE76,AG76)</f>
        <v>2780.0959106391956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13978.666666666668</v>
      </c>
      <c r="J77" s="100">
        <f t="shared" si="44"/>
        <v>0</v>
      </c>
      <c r="K77" s="40"/>
      <c r="L77" s="22">
        <f>-(L131*G$37*F$9/F$7)/B$130</f>
        <v>-0.34419176037713456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2130.1649126139919</v>
      </c>
      <c r="AD77" s="112"/>
      <c r="AE77" s="111">
        <f>AE31*$I$84/4</f>
        <v>4069.1705572012465</v>
      </c>
      <c r="AF77" s="112"/>
      <c r="AG77" s="111">
        <f>AG31*$I$84/4</f>
        <v>1822.0779758011829</v>
      </c>
      <c r="AH77" s="110"/>
      <c r="AI77" s="154">
        <f>SUM(AA77,AC77,AE77,AG77)</f>
        <v>8021.4134456164211</v>
      </c>
      <c r="AJ77" s="153">
        <f>SUM(AA77,AC77)</f>
        <v>2130.1649126139919</v>
      </c>
      <c r="AK77" s="160">
        <f>SUM(AE77,AG77)</f>
        <v>5891.2485330024292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-4.5474735088646412E-13</v>
      </c>
      <c r="AB79" s="112"/>
      <c r="AC79" s="112">
        <f>AA79-AA74+AC65-AC70</f>
        <v>-1531.0845860674219</v>
      </c>
      <c r="AD79" s="112"/>
      <c r="AE79" s="112">
        <f>AC79-AC74+AE65-AE70</f>
        <v>-2778.9121962700719</v>
      </c>
      <c r="AF79" s="112"/>
      <c r="AG79" s="112">
        <f>AE79-AE74+AG65-AG70</f>
        <v>-1230.556367899138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8457.6810244041226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8457.6810244041226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5034.2259484170863</v>
      </c>
      <c r="AB83" s="112"/>
      <c r="AC83" s="165">
        <f>$I$84*AB82/4</f>
        <v>5034.2259484170863</v>
      </c>
      <c r="AD83" s="112"/>
      <c r="AE83" s="165">
        <f>$I$84*AD82/4</f>
        <v>5034.2259484170863</v>
      </c>
      <c r="AF83" s="112"/>
      <c r="AG83" s="165">
        <f>$I$84*AF82/4</f>
        <v>5034.2259484170863</v>
      </c>
      <c r="AH83" s="165">
        <f>SUM(AA83,AC83,AE83,AG83)</f>
        <v>20136.903793668345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20136.903793668345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0.23647143871105117</v>
      </c>
      <c r="C91" s="75">
        <f t="shared" si="50"/>
        <v>0</v>
      </c>
      <c r="D91" s="24">
        <f t="shared" ref="D91" si="51">(B91+C91)</f>
        <v>0.23647143871105117</v>
      </c>
      <c r="H91" s="24">
        <f>(E37*F37/G37*F$7/F$9)</f>
        <v>1</v>
      </c>
      <c r="I91" s="22">
        <f t="shared" ref="I91" si="52">(D91*H91)</f>
        <v>0.23647143871105117</v>
      </c>
      <c r="J91" s="24">
        <f>IF(I$32&lt;=1+I$131,I91,L91+J$33*(I91-L91))</f>
        <v>0.23647143871105117</v>
      </c>
      <c r="K91" s="22">
        <f t="shared" ref="K91" si="53">(B91)</f>
        <v>0.23647143871105117</v>
      </c>
      <c r="L91" s="22">
        <f t="shared" ref="L91" si="54">(K91*H91)</f>
        <v>0.23647143871105117</v>
      </c>
      <c r="M91" s="227">
        <f t="shared" si="49"/>
        <v>0.23647143871105117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0.17735357903328838</v>
      </c>
      <c r="C92" s="75">
        <f t="shared" si="50"/>
        <v>0.11823571935552558</v>
      </c>
      <c r="D92" s="24">
        <f t="shared" ref="D92:D118" si="56">(B92+C92)</f>
        <v>0.29558929838881398</v>
      </c>
      <c r="H92" s="24">
        <f t="shared" ref="H92:H118" si="57">(E38*F38/G38*F$7/F$9)</f>
        <v>1</v>
      </c>
      <c r="I92" s="22">
        <f t="shared" ref="I92:I118" si="58">(D92*H92)</f>
        <v>0.29558929838881398</v>
      </c>
      <c r="J92" s="24">
        <f t="shared" ref="J92:J118" si="59">IF(I$32&lt;=1+I$131,I92,L92+J$33*(I92-L92))</f>
        <v>0.19814696591335396</v>
      </c>
      <c r="K92" s="22">
        <f t="shared" ref="K92:K118" si="60">(B92)</f>
        <v>0.17735357903328838</v>
      </c>
      <c r="L92" s="22">
        <f t="shared" ref="L92:L118" si="61">(K92*H92)</f>
        <v>0.17735357903328838</v>
      </c>
      <c r="M92" s="227">
        <f t="shared" ref="M92:M118" si="62">(J92)</f>
        <v>0.19814696591335396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1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7">
        <f t="shared" si="6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5.9117859677762792E-2</v>
      </c>
      <c r="C94" s="75">
        <f t="shared" si="50"/>
        <v>-5.9117859677762792E-2</v>
      </c>
      <c r="D94" s="24">
        <f t="shared" si="56"/>
        <v>0</v>
      </c>
      <c r="H94" s="24">
        <f t="shared" si="57"/>
        <v>1</v>
      </c>
      <c r="I94" s="22">
        <f t="shared" si="58"/>
        <v>0</v>
      </c>
      <c r="J94" s="24">
        <f t="shared" si="59"/>
        <v>4.8721166237730013E-2</v>
      </c>
      <c r="K94" s="22">
        <f t="shared" si="60"/>
        <v>5.9117859677762792E-2</v>
      </c>
      <c r="L94" s="22">
        <f t="shared" si="61"/>
        <v>5.9117859677762792E-2</v>
      </c>
      <c r="M94" s="227">
        <f t="shared" si="62"/>
        <v>4.8721166237730013E-2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si="50"/>
        <v>0.14779464919440699</v>
      </c>
      <c r="C95" s="75">
        <f t="shared" si="50"/>
        <v>0.21430224133189013</v>
      </c>
      <c r="D95" s="24">
        <f t="shared" si="56"/>
        <v>0.36209689052629712</v>
      </c>
      <c r="H95" s="24">
        <f t="shared" si="57"/>
        <v>1</v>
      </c>
      <c r="I95" s="22">
        <f t="shared" si="58"/>
        <v>0.36209689052629712</v>
      </c>
      <c r="J95" s="24">
        <f t="shared" si="59"/>
        <v>0.18548266291452581</v>
      </c>
      <c r="K95" s="22">
        <f t="shared" si="60"/>
        <v>0.14779464919440699</v>
      </c>
      <c r="L95" s="22">
        <f t="shared" si="61"/>
        <v>0.14779464919440699</v>
      </c>
      <c r="M95" s="227">
        <f t="shared" si="62"/>
        <v>0.18548266291452581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 (Bhece)</v>
      </c>
      <c r="B96" s="75">
        <f t="shared" si="50"/>
        <v>1.1705336216197033E-2</v>
      </c>
      <c r="C96" s="75">
        <f t="shared" si="50"/>
        <v>-1.1705336216197033E-2</v>
      </c>
      <c r="D96" s="24">
        <f t="shared" si="56"/>
        <v>0</v>
      </c>
      <c r="H96" s="24">
        <f t="shared" si="57"/>
        <v>1</v>
      </c>
      <c r="I96" s="22">
        <f t="shared" si="58"/>
        <v>0</v>
      </c>
      <c r="J96" s="24">
        <f t="shared" si="59"/>
        <v>9.6467909150705425E-3</v>
      </c>
      <c r="K96" s="22">
        <f t="shared" si="60"/>
        <v>1.1705336216197033E-2</v>
      </c>
      <c r="L96" s="22">
        <f t="shared" si="61"/>
        <v>1.1705336216197033E-2</v>
      </c>
      <c r="M96" s="227">
        <f t="shared" si="62"/>
        <v>9.6467909150705425E-3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Sweet poatato: no. local meas</v>
      </c>
      <c r="B97" s="75">
        <f t="shared" si="50"/>
        <v>2.9558929838881396E-2</v>
      </c>
      <c r="C97" s="75">
        <f t="shared" si="50"/>
        <v>-2.9558929838881396E-2</v>
      </c>
      <c r="D97" s="24">
        <f t="shared" si="56"/>
        <v>0</v>
      </c>
      <c r="H97" s="24">
        <f t="shared" si="57"/>
        <v>1</v>
      </c>
      <c r="I97" s="22">
        <f t="shared" si="58"/>
        <v>0</v>
      </c>
      <c r="J97" s="24">
        <f t="shared" si="59"/>
        <v>2.4360583118865006E-2</v>
      </c>
      <c r="K97" s="22">
        <f t="shared" si="60"/>
        <v>2.9558929838881396E-2</v>
      </c>
      <c r="L97" s="22">
        <f t="shared" si="61"/>
        <v>2.9558929838881396E-2</v>
      </c>
      <c r="M97" s="227">
        <f t="shared" si="62"/>
        <v>2.4360583118865006E-2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si="50"/>
        <v>2.9558929838881396E-2</v>
      </c>
      <c r="C98" s="75">
        <f t="shared" si="50"/>
        <v>-2.9558929838881396E-2</v>
      </c>
      <c r="D98" s="24">
        <f t="shared" si="56"/>
        <v>0</v>
      </c>
      <c r="H98" s="24">
        <f t="shared" si="57"/>
        <v>1</v>
      </c>
      <c r="I98" s="22">
        <f t="shared" si="58"/>
        <v>0</v>
      </c>
      <c r="J98" s="24">
        <f t="shared" si="59"/>
        <v>2.4360583118865006E-2</v>
      </c>
      <c r="K98" s="22">
        <f t="shared" si="60"/>
        <v>2.9558929838881396E-2</v>
      </c>
      <c r="L98" s="22">
        <f t="shared" si="61"/>
        <v>2.9558929838881396E-2</v>
      </c>
      <c r="M98" s="227">
        <f t="shared" si="62"/>
        <v>2.4360583118865006E-2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Irish potato: type</v>
      </c>
      <c r="B99" s="75">
        <f t="shared" si="50"/>
        <v>9.1277975342465748E-2</v>
      </c>
      <c r="C99" s="75">
        <f t="shared" si="50"/>
        <v>-9.1277975342465748E-2</v>
      </c>
      <c r="D99" s="24">
        <f t="shared" si="56"/>
        <v>0</v>
      </c>
      <c r="H99" s="24">
        <f t="shared" si="57"/>
        <v>1</v>
      </c>
      <c r="I99" s="22">
        <f t="shared" si="58"/>
        <v>0</v>
      </c>
      <c r="J99" s="24">
        <f t="shared" si="59"/>
        <v>7.5225480671055139E-2</v>
      </c>
      <c r="K99" s="22">
        <f t="shared" si="60"/>
        <v>9.1277975342465748E-2</v>
      </c>
      <c r="L99" s="22">
        <f t="shared" si="61"/>
        <v>9.1277975342465748E-2</v>
      </c>
      <c r="M99" s="227">
        <f t="shared" si="62"/>
        <v>7.5225480671055139E-2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Yam: type</v>
      </c>
      <c r="B100" s="75">
        <f t="shared" si="50"/>
        <v>4.7294287742210235E-2</v>
      </c>
      <c r="C100" s="75">
        <f t="shared" si="50"/>
        <v>0</v>
      </c>
      <c r="D100" s="24">
        <f t="shared" si="56"/>
        <v>4.7294287742210235E-2</v>
      </c>
      <c r="H100" s="24">
        <f t="shared" si="57"/>
        <v>1</v>
      </c>
      <c r="I100" s="22">
        <f t="shared" si="58"/>
        <v>4.7294287742210235E-2</v>
      </c>
      <c r="J100" s="24">
        <f t="shared" si="59"/>
        <v>4.7294287742210235E-2</v>
      </c>
      <c r="K100" s="22">
        <f t="shared" si="60"/>
        <v>4.7294287742210235E-2</v>
      </c>
      <c r="L100" s="22">
        <f t="shared" si="61"/>
        <v>4.7294287742210235E-2</v>
      </c>
      <c r="M100" s="227">
        <f t="shared" si="62"/>
        <v>4.7294287742210235E-2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Spinach (cash): kg produced</v>
      </c>
      <c r="B101" s="75">
        <f t="shared" si="50"/>
        <v>1.1823571935552559E-2</v>
      </c>
      <c r="C101" s="75">
        <f t="shared" si="50"/>
        <v>0</v>
      </c>
      <c r="D101" s="24">
        <f t="shared" si="56"/>
        <v>1.1823571935552559E-2</v>
      </c>
      <c r="H101" s="24">
        <f t="shared" si="57"/>
        <v>1</v>
      </c>
      <c r="I101" s="22">
        <f t="shared" si="58"/>
        <v>1.1823571935552559E-2</v>
      </c>
      <c r="J101" s="24">
        <f t="shared" si="59"/>
        <v>1.1823571935552559E-2</v>
      </c>
      <c r="K101" s="22">
        <f t="shared" si="60"/>
        <v>1.1823571935552559E-2</v>
      </c>
      <c r="L101" s="22">
        <f t="shared" si="61"/>
        <v>1.1823571935552559E-2</v>
      </c>
      <c r="M101" s="227">
        <f t="shared" si="62"/>
        <v>1.1823571935552559E-2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Tomatoes (cash):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1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Cabbage (cash): kg produced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1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Agricultural cash income -- see Data2</v>
      </c>
      <c r="B104" s="75">
        <f t="shared" si="50"/>
        <v>8.8913260955355247E-2</v>
      </c>
      <c r="C104" s="75">
        <f t="shared" si="50"/>
        <v>0</v>
      </c>
      <c r="D104" s="24">
        <f t="shared" si="56"/>
        <v>8.8913260955355247E-2</v>
      </c>
      <c r="H104" s="24">
        <f t="shared" si="57"/>
        <v>1</v>
      </c>
      <c r="I104" s="22">
        <f t="shared" si="58"/>
        <v>8.8913260955355247E-2</v>
      </c>
      <c r="J104" s="24">
        <f t="shared" si="59"/>
        <v>8.8913260955355247E-2</v>
      </c>
      <c r="K104" s="22">
        <f t="shared" si="60"/>
        <v>8.8913260955355247E-2</v>
      </c>
      <c r="L104" s="22">
        <f t="shared" si="61"/>
        <v>8.8913260955355247E-2</v>
      </c>
      <c r="M104" s="227">
        <f t="shared" si="62"/>
        <v>8.8913260955355247E-2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Labour migration(formal employment): no. people per HH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Formal Employment (conservancies, etc.)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1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Self-employment -- see Data2</v>
      </c>
      <c r="B107" s="75">
        <f t="shared" si="50"/>
        <v>5.0723123603520479E-2</v>
      </c>
      <c r="C107" s="75">
        <f t="shared" si="50"/>
        <v>1.014462472070409E-2</v>
      </c>
      <c r="D107" s="24">
        <f t="shared" si="56"/>
        <v>6.086774832422457E-2</v>
      </c>
      <c r="H107" s="24">
        <f t="shared" si="57"/>
        <v>1</v>
      </c>
      <c r="I107" s="22">
        <f t="shared" si="58"/>
        <v>6.086774832422457E-2</v>
      </c>
      <c r="J107" s="24">
        <f t="shared" si="59"/>
        <v>5.2507196197830105E-2</v>
      </c>
      <c r="K107" s="22">
        <f t="shared" si="60"/>
        <v>5.0723123603520479E-2</v>
      </c>
      <c r="L107" s="22">
        <f t="shared" si="61"/>
        <v>5.0723123603520479E-2</v>
      </c>
      <c r="M107" s="227">
        <f t="shared" si="62"/>
        <v>5.2507196197830105E-2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Small business -- see Data2</v>
      </c>
      <c r="B108" s="75">
        <f t="shared" si="50"/>
        <v>0.25538915380793525</v>
      </c>
      <c r="C108" s="75">
        <f t="shared" si="50"/>
        <v>0</v>
      </c>
      <c r="D108" s="24">
        <f t="shared" si="56"/>
        <v>0.25538915380793525</v>
      </c>
      <c r="H108" s="24">
        <f t="shared" si="57"/>
        <v>1</v>
      </c>
      <c r="I108" s="22">
        <f t="shared" si="58"/>
        <v>0.25538915380793525</v>
      </c>
      <c r="J108" s="24">
        <f t="shared" si="59"/>
        <v>0.25538915380793525</v>
      </c>
      <c r="K108" s="22">
        <f t="shared" si="60"/>
        <v>0.25538915380793525</v>
      </c>
      <c r="L108" s="22">
        <f t="shared" si="61"/>
        <v>0.25538915380793525</v>
      </c>
      <c r="M108" s="227">
        <f t="shared" si="62"/>
        <v>0.25538915380793525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Social development -- see Data2</v>
      </c>
      <c r="B109" s="75">
        <f t="shared" si="50"/>
        <v>2.6035505402086736</v>
      </c>
      <c r="C109" s="75">
        <f t="shared" si="50"/>
        <v>0</v>
      </c>
      <c r="D109" s="24">
        <f t="shared" si="56"/>
        <v>2.6035505402086736</v>
      </c>
      <c r="H109" s="24">
        <f t="shared" si="57"/>
        <v>1</v>
      </c>
      <c r="I109" s="22">
        <f t="shared" si="58"/>
        <v>2.6035505402086736</v>
      </c>
      <c r="J109" s="24">
        <f t="shared" si="59"/>
        <v>2.6035505402086736</v>
      </c>
      <c r="K109" s="22">
        <f t="shared" si="60"/>
        <v>2.6035505402086736</v>
      </c>
      <c r="L109" s="22">
        <f t="shared" si="61"/>
        <v>2.6035505402086736</v>
      </c>
      <c r="M109" s="227">
        <f t="shared" si="62"/>
        <v>2.6035505402086736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Public works -- see Data2</v>
      </c>
      <c r="B110" s="75">
        <f t="shared" si="50"/>
        <v>4.3865451880899992E-2</v>
      </c>
      <c r="C110" s="75">
        <f t="shared" si="50"/>
        <v>0</v>
      </c>
      <c r="D110" s="24">
        <f t="shared" si="56"/>
        <v>4.3865451880899992E-2</v>
      </c>
      <c r="H110" s="24">
        <f t="shared" si="57"/>
        <v>1</v>
      </c>
      <c r="I110" s="22">
        <f t="shared" si="58"/>
        <v>4.3865451880899992E-2</v>
      </c>
      <c r="J110" s="24">
        <f t="shared" si="59"/>
        <v>4.3865451880899992E-2</v>
      </c>
      <c r="K110" s="22">
        <f t="shared" si="60"/>
        <v>4.3865451880899992E-2</v>
      </c>
      <c r="L110" s="22">
        <f t="shared" si="61"/>
        <v>4.3865451880899992E-2</v>
      </c>
      <c r="M110" s="227">
        <f t="shared" si="62"/>
        <v>4.3865451880899992E-2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Other income: e.g. Credit (cotton loans)</v>
      </c>
      <c r="B111" s="75">
        <f t="shared" si="50"/>
        <v>0.18917715096884094</v>
      </c>
      <c r="C111" s="75">
        <f t="shared" si="50"/>
        <v>0</v>
      </c>
      <c r="D111" s="24">
        <f t="shared" si="56"/>
        <v>0.18917715096884094</v>
      </c>
      <c r="H111" s="24">
        <f t="shared" si="57"/>
        <v>1</v>
      </c>
      <c r="I111" s="22">
        <f t="shared" si="58"/>
        <v>0.18917715096884094</v>
      </c>
      <c r="J111" s="24">
        <f t="shared" si="59"/>
        <v>0.18917715096884094</v>
      </c>
      <c r="K111" s="22">
        <f t="shared" si="60"/>
        <v>0.18917715096884094</v>
      </c>
      <c r="L111" s="22">
        <f t="shared" si="61"/>
        <v>0.18917715096884094</v>
      </c>
      <c r="M111" s="227">
        <f t="shared" si="62"/>
        <v>0.18917715096884094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1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1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1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1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1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1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1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4.0735752389559234</v>
      </c>
      <c r="C119" s="22">
        <f>SUM(C91:C118)</f>
        <v>0.12146355449393145</v>
      </c>
      <c r="D119" s="24">
        <f>SUM(D91:D118)</f>
        <v>4.1950387934498545</v>
      </c>
      <c r="E119" s="22"/>
      <c r="F119" s="2"/>
      <c r="G119" s="2"/>
      <c r="H119" s="31"/>
      <c r="I119" s="22">
        <f>SUM(I91:I118)</f>
        <v>4.1950387934498545</v>
      </c>
      <c r="J119" s="24">
        <f>SUM(J91:J118)</f>
        <v>4.0949362852978153</v>
      </c>
      <c r="K119" s="22">
        <f>SUM(K91:K118)</f>
        <v>4.0735752389559234</v>
      </c>
      <c r="L119" s="22">
        <f>SUM(L91:L118)</f>
        <v>4.0735752389559234</v>
      </c>
      <c r="M119" s="57">
        <f t="shared" si="49"/>
        <v>4.0949362852978153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1.6055380795793861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1.6055380795793861</v>
      </c>
      <c r="J124" s="237">
        <f>IF(SUMPRODUCT($B$124:$B124,$H$124:$H124)&lt;J$119,($B124*$H124),J$119)</f>
        <v>1.6055380795793861</v>
      </c>
      <c r="K124" s="22">
        <f>(B124)</f>
        <v>1.6055380795793861</v>
      </c>
      <c r="L124" s="29">
        <f>IF(SUMPRODUCT($B$124:$B124,$H$124:$H124)&lt;L$119,($B124*$H124),L$119)</f>
        <v>1.6055380795793861</v>
      </c>
      <c r="M124" s="57">
        <f t="shared" si="63"/>
        <v>1.6055380795793861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1.6527777089644404</v>
      </c>
      <c r="J125" s="237">
        <f>IF(SUMPRODUCT($B$124:$B125,$H$124:$H125)&lt;J$119,($B125*$H125),IF(SUMPRODUCT($B$124:$B124,$H$124:$H124)&lt;J$119,J$119-SUMPRODUCT($B$124:$B124,$H$124:$H124),0))</f>
        <v>1.6527777089644404</v>
      </c>
      <c r="K125" s="22">
        <f t="shared" ref="K125:K126" si="64">(B125)</f>
        <v>1.6527777089644404</v>
      </c>
      <c r="L125" s="29">
        <f>IF(SUMPRODUCT($B$124:$B125,$H$124:$H125)&lt;L$119,($B125*$H125),IF(SUMPRODUCT($B$124:$B124,$H$124:$H124)&lt;L$119,L$119-SUMPRODUCT($B$124:$B124,$H$124:$H124),0))</f>
        <v>1.6527777089644404</v>
      </c>
      <c r="M125" s="57">
        <f t="shared" ref="M125:M126" si="65">(J125)</f>
        <v>1.6527777089644404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0.80388638476873364</v>
      </c>
      <c r="K126" s="22">
        <f t="shared" si="64"/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0.2506866764394946</v>
      </c>
      <c r="M126" s="57">
        <f t="shared" si="65"/>
        <v>0.80388638476873364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0.88795025235999714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0.88795025235999714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0.56457277397260275</v>
      </c>
      <c r="C128" s="2"/>
      <c r="D128" s="31"/>
      <c r="E128" s="2"/>
      <c r="F128" s="2"/>
      <c r="G128" s="2"/>
      <c r="H128" s="24"/>
      <c r="I128" s="29">
        <f>(I30)</f>
        <v>2.5895007138704687</v>
      </c>
      <c r="J128" s="228">
        <f>(J30)</f>
        <v>3.2734111985254888E-2</v>
      </c>
      <c r="K128" s="22">
        <f>(B128)</f>
        <v>0.56457277397260275</v>
      </c>
      <c r="L128" s="22">
        <f>IF(L124=L119,0,(L119-L124)/(B119-B124)*K128)</f>
        <v>0.56457277397260275</v>
      </c>
      <c r="M128" s="57">
        <f t="shared" si="63"/>
        <v>3.2734111985254888E-2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8.8817841970012523E-16</v>
      </c>
      <c r="K129" s="29">
        <f>(B129)</f>
        <v>0</v>
      </c>
      <c r="L129" s="60">
        <f>IF(SUM(L124:L128)&gt;L130,0,L130-SUM(L124:L128))</f>
        <v>0</v>
      </c>
      <c r="M129" s="57">
        <f t="shared" si="63"/>
        <v>8.8817841970012523E-16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4.0735752389559234</v>
      </c>
      <c r="C130" s="2"/>
      <c r="D130" s="31"/>
      <c r="E130" s="2"/>
      <c r="F130" s="2"/>
      <c r="G130" s="2"/>
      <c r="H130" s="24"/>
      <c r="I130" s="29">
        <f>(I119)</f>
        <v>4.1950387934498545</v>
      </c>
      <c r="J130" s="228">
        <f>(J119)</f>
        <v>4.0949362852978153</v>
      </c>
      <c r="K130" s="22">
        <f>(B130)</f>
        <v>4.0735752389559234</v>
      </c>
      <c r="L130" s="22">
        <f>(L119)</f>
        <v>4.0735752389559234</v>
      </c>
      <c r="M130" s="57">
        <f t="shared" si="63"/>
        <v>4.0949362852978153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1.6527777089644404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1.4020910325249458</v>
      </c>
      <c r="M131" s="237">
        <f>IF(I131&lt;SUM(M126:M127),0,I131-(SUM(M126:M127)))</f>
        <v>0.84889132419570679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03" priority="116" operator="equal">
      <formula>16</formula>
    </cfRule>
    <cfRule type="cellIs" dxfId="202" priority="117" operator="equal">
      <formula>15</formula>
    </cfRule>
    <cfRule type="cellIs" dxfId="201" priority="118" operator="equal">
      <formula>14</formula>
    </cfRule>
    <cfRule type="cellIs" dxfId="200" priority="119" operator="equal">
      <formula>13</formula>
    </cfRule>
    <cfRule type="cellIs" dxfId="199" priority="120" operator="equal">
      <formula>12</formula>
    </cfRule>
    <cfRule type="cellIs" dxfId="198" priority="121" operator="equal">
      <formula>11</formula>
    </cfRule>
    <cfRule type="cellIs" dxfId="197" priority="122" operator="equal">
      <formula>10</formula>
    </cfRule>
    <cfRule type="cellIs" dxfId="196" priority="123" operator="equal">
      <formula>9</formula>
    </cfRule>
    <cfRule type="cellIs" dxfId="195" priority="124" operator="equal">
      <formula>8</formula>
    </cfRule>
    <cfRule type="cellIs" dxfId="194" priority="125" operator="equal">
      <formula>7</formula>
    </cfRule>
    <cfRule type="cellIs" dxfId="193" priority="126" operator="equal">
      <formula>6</formula>
    </cfRule>
    <cfRule type="cellIs" dxfId="192" priority="127" operator="equal">
      <formula>5</formula>
    </cfRule>
    <cfRule type="cellIs" dxfId="191" priority="128" operator="equal">
      <formula>4</formula>
    </cfRule>
    <cfRule type="cellIs" dxfId="190" priority="129" operator="equal">
      <formula>3</formula>
    </cfRule>
    <cfRule type="cellIs" dxfId="189" priority="130" operator="equal">
      <formula>2</formula>
    </cfRule>
    <cfRule type="cellIs" dxfId="188" priority="131" operator="equal">
      <formula>1</formula>
    </cfRule>
  </conditionalFormatting>
  <conditionalFormatting sqref="N29">
    <cfRule type="cellIs" dxfId="187" priority="100" operator="equal">
      <formula>16</formula>
    </cfRule>
    <cfRule type="cellIs" dxfId="186" priority="101" operator="equal">
      <formula>15</formula>
    </cfRule>
    <cfRule type="cellIs" dxfId="185" priority="102" operator="equal">
      <formula>14</formula>
    </cfRule>
    <cfRule type="cellIs" dxfId="184" priority="103" operator="equal">
      <formula>13</formula>
    </cfRule>
    <cfRule type="cellIs" dxfId="183" priority="104" operator="equal">
      <formula>12</formula>
    </cfRule>
    <cfRule type="cellIs" dxfId="182" priority="105" operator="equal">
      <formula>11</formula>
    </cfRule>
    <cfRule type="cellIs" dxfId="181" priority="106" operator="equal">
      <formula>10</formula>
    </cfRule>
    <cfRule type="cellIs" dxfId="180" priority="107" operator="equal">
      <formula>9</formula>
    </cfRule>
    <cfRule type="cellIs" dxfId="179" priority="108" operator="equal">
      <formula>8</formula>
    </cfRule>
    <cfRule type="cellIs" dxfId="178" priority="109" operator="equal">
      <formula>7</formula>
    </cfRule>
    <cfRule type="cellIs" dxfId="177" priority="110" operator="equal">
      <formula>6</formula>
    </cfRule>
    <cfRule type="cellIs" dxfId="176" priority="111" operator="equal">
      <formula>5</formula>
    </cfRule>
    <cfRule type="cellIs" dxfId="175" priority="112" operator="equal">
      <formula>4</formula>
    </cfRule>
    <cfRule type="cellIs" dxfId="174" priority="113" operator="equal">
      <formula>3</formula>
    </cfRule>
    <cfRule type="cellIs" dxfId="173" priority="114" operator="equal">
      <formula>2</formula>
    </cfRule>
    <cfRule type="cellIs" dxfId="172" priority="115" operator="equal">
      <formula>1</formula>
    </cfRule>
  </conditionalFormatting>
  <conditionalFormatting sqref="N113:N118">
    <cfRule type="cellIs" dxfId="171" priority="52" operator="equal">
      <formula>16</formula>
    </cfRule>
    <cfRule type="cellIs" dxfId="170" priority="53" operator="equal">
      <formula>15</formula>
    </cfRule>
    <cfRule type="cellIs" dxfId="169" priority="54" operator="equal">
      <formula>14</formula>
    </cfRule>
    <cfRule type="cellIs" dxfId="168" priority="55" operator="equal">
      <formula>13</formula>
    </cfRule>
    <cfRule type="cellIs" dxfId="167" priority="56" operator="equal">
      <formula>12</formula>
    </cfRule>
    <cfRule type="cellIs" dxfId="166" priority="57" operator="equal">
      <formula>11</formula>
    </cfRule>
    <cfRule type="cellIs" dxfId="165" priority="58" operator="equal">
      <formula>10</formula>
    </cfRule>
    <cfRule type="cellIs" dxfId="164" priority="59" operator="equal">
      <formula>9</formula>
    </cfRule>
    <cfRule type="cellIs" dxfId="163" priority="60" operator="equal">
      <formula>8</formula>
    </cfRule>
    <cfRule type="cellIs" dxfId="162" priority="61" operator="equal">
      <formula>7</formula>
    </cfRule>
    <cfRule type="cellIs" dxfId="161" priority="62" operator="equal">
      <formula>6</formula>
    </cfRule>
    <cfRule type="cellIs" dxfId="160" priority="63" operator="equal">
      <formula>5</formula>
    </cfRule>
    <cfRule type="cellIs" dxfId="159" priority="64" operator="equal">
      <formula>4</formula>
    </cfRule>
    <cfRule type="cellIs" dxfId="158" priority="65" operator="equal">
      <formula>3</formula>
    </cfRule>
    <cfRule type="cellIs" dxfId="157" priority="66" operator="equal">
      <formula>2</formula>
    </cfRule>
    <cfRule type="cellIs" dxfId="156" priority="67" operator="equal">
      <formula>1</formula>
    </cfRule>
  </conditionalFormatting>
  <conditionalFormatting sqref="N6:N28">
    <cfRule type="cellIs" dxfId="155" priority="36" operator="equal">
      <formula>16</formula>
    </cfRule>
    <cfRule type="cellIs" dxfId="154" priority="37" operator="equal">
      <formula>15</formula>
    </cfRule>
    <cfRule type="cellIs" dxfId="153" priority="38" operator="equal">
      <formula>14</formula>
    </cfRule>
    <cfRule type="cellIs" dxfId="152" priority="39" operator="equal">
      <formula>13</formula>
    </cfRule>
    <cfRule type="cellIs" dxfId="151" priority="40" operator="equal">
      <formula>12</formula>
    </cfRule>
    <cfRule type="cellIs" dxfId="150" priority="41" operator="equal">
      <formula>11</formula>
    </cfRule>
    <cfRule type="cellIs" dxfId="149" priority="42" operator="equal">
      <formula>10</formula>
    </cfRule>
    <cfRule type="cellIs" dxfId="148" priority="43" operator="equal">
      <formula>9</formula>
    </cfRule>
    <cfRule type="cellIs" dxfId="147" priority="44" operator="equal">
      <formula>8</formula>
    </cfRule>
    <cfRule type="cellIs" dxfId="146" priority="45" operator="equal">
      <formula>7</formula>
    </cfRule>
    <cfRule type="cellIs" dxfId="145" priority="46" operator="equal">
      <formula>6</formula>
    </cfRule>
    <cfRule type="cellIs" dxfId="144" priority="47" operator="equal">
      <formula>5</formula>
    </cfRule>
    <cfRule type="cellIs" dxfId="143" priority="48" operator="equal">
      <formula>4</formula>
    </cfRule>
    <cfRule type="cellIs" dxfId="142" priority="49" operator="equal">
      <formula>3</formula>
    </cfRule>
    <cfRule type="cellIs" dxfId="141" priority="50" operator="equal">
      <formula>2</formula>
    </cfRule>
    <cfRule type="cellIs" dxfId="140" priority="51" operator="equal">
      <formula>1</formula>
    </cfRule>
  </conditionalFormatting>
  <conditionalFormatting sqref="N91:N109">
    <cfRule type="cellIs" dxfId="139" priority="20" operator="equal">
      <formula>16</formula>
    </cfRule>
    <cfRule type="cellIs" dxfId="138" priority="21" operator="equal">
      <formula>15</formula>
    </cfRule>
    <cfRule type="cellIs" dxfId="137" priority="22" operator="equal">
      <formula>14</formula>
    </cfRule>
    <cfRule type="cellIs" dxfId="136" priority="23" operator="equal">
      <formula>13</formula>
    </cfRule>
    <cfRule type="cellIs" dxfId="135" priority="24" operator="equal">
      <formula>12</formula>
    </cfRule>
    <cfRule type="cellIs" dxfId="134" priority="25" operator="equal">
      <formula>11</formula>
    </cfRule>
    <cfRule type="cellIs" dxfId="133" priority="26" operator="equal">
      <formula>10</formula>
    </cfRule>
    <cfRule type="cellIs" dxfId="132" priority="27" operator="equal">
      <formula>9</formula>
    </cfRule>
    <cfRule type="cellIs" dxfId="131" priority="28" operator="equal">
      <formula>8</formula>
    </cfRule>
    <cfRule type="cellIs" dxfId="130" priority="29" operator="equal">
      <formula>7</formula>
    </cfRule>
    <cfRule type="cellIs" dxfId="129" priority="30" operator="equal">
      <formula>6</formula>
    </cfRule>
    <cfRule type="cellIs" dxfId="128" priority="31" operator="equal">
      <formula>5</formula>
    </cfRule>
    <cfRule type="cellIs" dxfId="127" priority="32" operator="equal">
      <formula>4</formula>
    </cfRule>
    <cfRule type="cellIs" dxfId="126" priority="33" operator="equal">
      <formula>3</formula>
    </cfRule>
    <cfRule type="cellIs" dxfId="125" priority="34" operator="equal">
      <formula>2</formula>
    </cfRule>
    <cfRule type="cellIs" dxfId="124" priority="35" operator="equal">
      <formula>1</formula>
    </cfRule>
  </conditionalFormatting>
  <conditionalFormatting sqref="N110:N112">
    <cfRule type="cellIs" dxfId="123" priority="4" operator="equal">
      <formula>16</formula>
    </cfRule>
    <cfRule type="cellIs" dxfId="122" priority="5" operator="equal">
      <formula>15</formula>
    </cfRule>
    <cfRule type="cellIs" dxfId="121" priority="6" operator="equal">
      <formula>14</formula>
    </cfRule>
    <cfRule type="cellIs" dxfId="120" priority="7" operator="equal">
      <formula>13</formula>
    </cfRule>
    <cfRule type="cellIs" dxfId="119" priority="8" operator="equal">
      <formula>12</formula>
    </cfRule>
    <cfRule type="cellIs" dxfId="118" priority="9" operator="equal">
      <formula>11</formula>
    </cfRule>
    <cfRule type="cellIs" dxfId="117" priority="10" operator="equal">
      <formula>10</formula>
    </cfRule>
    <cfRule type="cellIs" dxfId="116" priority="11" operator="equal">
      <formula>9</formula>
    </cfRule>
    <cfRule type="cellIs" dxfId="115" priority="12" operator="equal">
      <formula>8</formula>
    </cfRule>
    <cfRule type="cellIs" dxfId="114" priority="13" operator="equal">
      <formula>7</formula>
    </cfRule>
    <cfRule type="cellIs" dxfId="113" priority="14" operator="equal">
      <formula>6</formula>
    </cfRule>
    <cfRule type="cellIs" dxfId="112" priority="15" operator="equal">
      <formula>5</formula>
    </cfRule>
    <cfRule type="cellIs" dxfId="111" priority="16" operator="equal">
      <formula>4</formula>
    </cfRule>
    <cfRule type="cellIs" dxfId="110" priority="17" operator="equal">
      <formula>3</formula>
    </cfRule>
    <cfRule type="cellIs" dxfId="109" priority="18" operator="equal">
      <formula>2</formula>
    </cfRule>
    <cfRule type="cellIs" dxfId="108" priority="19" operator="equal">
      <formula>1</formula>
    </cfRule>
  </conditionalFormatting>
  <conditionalFormatting sqref="R31:T31">
    <cfRule type="cellIs" dxfId="5" priority="3" operator="greaterThan">
      <formula>0</formula>
    </cfRule>
  </conditionalFormatting>
  <conditionalFormatting sqref="R32:T32">
    <cfRule type="cellIs" dxfId="4" priority="2" operator="greaterThan">
      <formula>0</formula>
    </cfRule>
  </conditionalFormatting>
  <conditionalFormatting sqref="R30:T30">
    <cfRule type="cellIs" dxfId="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8.5476684654766849E-2</v>
      </c>
      <c r="C6" s="102">
        <f>IF([1]Summ!$K1044="",0,[1]Summ!$K1044)</f>
        <v>0</v>
      </c>
      <c r="D6" s="24">
        <f t="shared" ref="D6:D29" si="0">(B6+C6)</f>
        <v>8.5476684654766849E-2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8.5476684654766849E-2</v>
      </c>
      <c r="J6" s="24">
        <f t="shared" ref="J6:J13" si="3">IF(I$32&lt;=1+I$131,I6,B6*H6+J$33*(I6-B6*H6))</f>
        <v>8.5476684654766849E-2</v>
      </c>
      <c r="K6" s="22">
        <f t="shared" ref="K6:K31" si="4">B6</f>
        <v>8.5476684654766849E-2</v>
      </c>
      <c r="L6" s="22">
        <f t="shared" ref="L6:L29" si="5">IF(K6="","",K6*H6)</f>
        <v>8.5476684654766849E-2</v>
      </c>
      <c r="M6" s="177">
        <f t="shared" ref="M6:M31" si="6">J6</f>
        <v>8.5476684654766849E-2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0.3419067386190674</v>
      </c>
      <c r="Z6" s="156">
        <f>Poor!Z6</f>
        <v>0.17</v>
      </c>
      <c r="AA6" s="121">
        <f>$M6*Z6*4</f>
        <v>5.812414556524146E-2</v>
      </c>
      <c r="AB6" s="156">
        <f>Poor!AB6</f>
        <v>0.17</v>
      </c>
      <c r="AC6" s="121">
        <f t="shared" ref="AC6:AC29" si="7">$M6*AB6*4</f>
        <v>5.812414556524146E-2</v>
      </c>
      <c r="AD6" s="156">
        <f>Poor!AD6</f>
        <v>0.33</v>
      </c>
      <c r="AE6" s="121">
        <f t="shared" ref="AE6:AE29" si="8">$M6*AD6*4</f>
        <v>0.11282922374429225</v>
      </c>
      <c r="AF6" s="122">
        <f>1-SUM(Z6,AB6,AD6)</f>
        <v>0.32999999999999996</v>
      </c>
      <c r="AG6" s="121">
        <f>$M6*AF6*4</f>
        <v>0.11282922374429223</v>
      </c>
      <c r="AH6" s="123">
        <f>SUM(Z6,AB6,AD6,AF6)</f>
        <v>1</v>
      </c>
      <c r="AI6" s="183">
        <f>SUM(AA6,AC6,AE6,AG6)/4</f>
        <v>8.5476684654766849E-2</v>
      </c>
      <c r="AJ6" s="120">
        <f>(AA6+AC6)/2</f>
        <v>5.812414556524146E-2</v>
      </c>
      <c r="AK6" s="119">
        <f>(AE6+AG6)/2</f>
        <v>0.11282922374429225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4162.8069563668005</v>
      </c>
      <c r="S7" s="222">
        <f>IF($B$81=0,0,(SUMIF($N$6:$N$28,$U7,L$6:L$28)+SUMIF($N$91:$N$118,$U7,L$91:L$118))*$I$83*Poor!$B$81/$B$81)</f>
        <v>4162.8069563668005</v>
      </c>
      <c r="T7" s="222">
        <f>IF($B$81=0,0,(SUMIF($N$6:$N$28,$U7,M$6:M$28)+SUMIF($N$91:$N$118,$U7,M$91:M$118))*$I$83*Poor!$B$81/$B$81)</f>
        <v>4307.5510261618347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6.942878268991283E-2</v>
      </c>
      <c r="C8" s="102">
        <f>IF([1]Summ!$K1046="",0,[1]Summ!$K1046)</f>
        <v>0</v>
      </c>
      <c r="D8" s="24">
        <f t="shared" si="0"/>
        <v>6.942878268991283E-2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6.942878268991283E-2</v>
      </c>
      <c r="J8" s="24">
        <f t="shared" si="3"/>
        <v>6.942878268991283E-2</v>
      </c>
      <c r="K8" s="22">
        <f t="shared" si="4"/>
        <v>6.942878268991283E-2</v>
      </c>
      <c r="L8" s="22">
        <f t="shared" si="5"/>
        <v>6.942878268991283E-2</v>
      </c>
      <c r="M8" s="224">
        <f t="shared" si="6"/>
        <v>6.942878268991283E-2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5132.4444444444434</v>
      </c>
      <c r="S8" s="222">
        <f>IF($B$81=0,0,(SUMIF($N$6:$N$28,$U8,L$6:L$28)+SUMIF($N$91:$N$118,$U8,L$91:L$118))*$I$83*Poor!$B$81/$B$81)</f>
        <v>5132.4444444444434</v>
      </c>
      <c r="T8" s="222">
        <f>IF($B$81=0,0,(SUMIF($N$6:$N$28,$U8,M$6:M$28)+SUMIF($N$91:$N$118,$U8,M$91:M$118))*$I$83*Poor!$B$81/$B$81)</f>
        <v>4918.4286807180852</v>
      </c>
      <c r="U8" s="223">
        <v>2</v>
      </c>
      <c r="V8" s="56"/>
      <c r="W8" s="115"/>
      <c r="X8" s="118">
        <f>Poor!X8</f>
        <v>1</v>
      </c>
      <c r="Y8" s="183">
        <f t="shared" si="9"/>
        <v>0.27771513075965132</v>
      </c>
      <c r="Z8" s="125">
        <f>IF($Y8=0,0,AA8/$Y8)</f>
        <v>0.3593168567246065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9.9787727849420998E-2</v>
      </c>
      <c r="AB8" s="125">
        <f>IF($Y8=0,0,AC8/$Y8)</f>
        <v>0.39261482026313088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0.1090350761475524</v>
      </c>
      <c r="AD8" s="125">
        <f>IF($Y8=0,0,AE8/$Y8)</f>
        <v>0.20745935559925296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5.7614602067559535E-2</v>
      </c>
      <c r="AF8" s="122">
        <f t="shared" si="10"/>
        <v>4.0608967413009678E-2</v>
      </c>
      <c r="AG8" s="121">
        <f t="shared" si="11"/>
        <v>1.1277724695118401E-2</v>
      </c>
      <c r="AH8" s="123">
        <f t="shared" si="12"/>
        <v>1</v>
      </c>
      <c r="AI8" s="183">
        <f t="shared" si="13"/>
        <v>6.942878268991283E-2</v>
      </c>
      <c r="AJ8" s="120">
        <f t="shared" si="14"/>
        <v>0.1044114019984867</v>
      </c>
      <c r="AK8" s="119">
        <f t="shared" si="15"/>
        <v>3.4446163381338969E-2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0.05</v>
      </c>
      <c r="C9" s="102">
        <f>IF([1]Summ!$K1047="",0,[1]Summ!$K1047)</f>
        <v>0</v>
      </c>
      <c r="D9" s="24">
        <f t="shared" si="0"/>
        <v>0.05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0.05</v>
      </c>
      <c r="J9" s="24">
        <f t="shared" si="3"/>
        <v>0.05</v>
      </c>
      <c r="K9" s="22">
        <f t="shared" si="4"/>
        <v>0.05</v>
      </c>
      <c r="L9" s="22">
        <f t="shared" si="5"/>
        <v>0.05</v>
      </c>
      <c r="M9" s="224">
        <f t="shared" si="6"/>
        <v>0.05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1310.1410317375498</v>
      </c>
      <c r="S9" s="222">
        <f>IF($B$81=0,0,(SUMIF($N$6:$N$28,$U9,L$6:L$28)+SUMIF($N$91:$N$118,$U9,L$91:L$118))*$I$83*Poor!$B$81/$B$81)</f>
        <v>1310.1410317375498</v>
      </c>
      <c r="T9" s="222">
        <f>IF($B$81=0,0,(SUMIF($N$6:$N$28,$U9,M$6:M$28)+SUMIF($N$91:$N$118,$U9,M$91:M$118))*$I$83*Poor!$B$81/$B$81)</f>
        <v>1310.1410317375498</v>
      </c>
      <c r="U9" s="223">
        <v>3</v>
      </c>
      <c r="V9" s="56"/>
      <c r="W9" s="115"/>
      <c r="X9" s="118">
        <f>Poor!X9</f>
        <v>1</v>
      </c>
      <c r="Y9" s="183">
        <f t="shared" si="9"/>
        <v>0.2</v>
      </c>
      <c r="Z9" s="125">
        <f>IF($Y9=0,0,AA9/$Y9)</f>
        <v>0.3593168567246065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7.1863371344921309E-2</v>
      </c>
      <c r="AB9" s="125">
        <f>IF($Y9=0,0,AC9/$Y9)</f>
        <v>0.39261482026313088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7.8522964052626182E-2</v>
      </c>
      <c r="AD9" s="125">
        <f>IF($Y9=0,0,AE9/$Y9)</f>
        <v>0.20745935559925296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4.1491871119850594E-2</v>
      </c>
      <c r="AF9" s="122">
        <f t="shared" si="10"/>
        <v>4.0608967413009678E-2</v>
      </c>
      <c r="AG9" s="121">
        <f t="shared" si="11"/>
        <v>8.1217934826019363E-3</v>
      </c>
      <c r="AH9" s="123">
        <f t="shared" si="12"/>
        <v>1</v>
      </c>
      <c r="AI9" s="183">
        <f t="shared" si="13"/>
        <v>0.05</v>
      </c>
      <c r="AJ9" s="120">
        <f t="shared" si="14"/>
        <v>7.5193167698773739E-2</v>
      </c>
      <c r="AK9" s="119">
        <f t="shared" si="15"/>
        <v>2.4806832301226267E-2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0.16245357534246571</v>
      </c>
      <c r="C10" s="102">
        <f>IF([1]Summ!$K1048="",0,[1]Summ!$K1048)</f>
        <v>6.8871904109589072E-2</v>
      </c>
      <c r="D10" s="24">
        <f t="shared" si="0"/>
        <v>0.23132547945205478</v>
      </c>
      <c r="E10" s="75">
        <f>Middle!E10</f>
        <v>1</v>
      </c>
      <c r="H10" s="24">
        <f t="shared" si="1"/>
        <v>1</v>
      </c>
      <c r="I10" s="22">
        <f t="shared" si="2"/>
        <v>0.23132547945205478</v>
      </c>
      <c r="J10" s="24">
        <f t="shared" si="3"/>
        <v>0.17142173775564315</v>
      </c>
      <c r="K10" s="22">
        <f t="shared" si="4"/>
        <v>0.16245357534246571</v>
      </c>
      <c r="L10" s="22">
        <f t="shared" si="5"/>
        <v>0.16245357534246571</v>
      </c>
      <c r="M10" s="224">
        <f t="shared" si="6"/>
        <v>0.17142173775564315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0.6856869510225726</v>
      </c>
      <c r="Z10" s="125">
        <f>IF($Y10=0,0,AA10/$Y10)</f>
        <v>0.35931685672460656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0.24637887993851004</v>
      </c>
      <c r="AB10" s="125">
        <f>IF($Y10=0,0,AC10/$Y10)</f>
        <v>0.39261482026313088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0.26921085903250158</v>
      </c>
      <c r="AD10" s="125">
        <f>IF($Y10=0,0,AE10/$Y10)</f>
        <v>0.20745935559925294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0.14225217300195941</v>
      </c>
      <c r="AF10" s="122">
        <f t="shared" si="10"/>
        <v>4.0608967413009678E-2</v>
      </c>
      <c r="AG10" s="121">
        <f t="shared" si="11"/>
        <v>2.7845039049601613E-2</v>
      </c>
      <c r="AH10" s="123">
        <f t="shared" si="12"/>
        <v>1</v>
      </c>
      <c r="AI10" s="183">
        <f t="shared" si="13"/>
        <v>0.17142173775564315</v>
      </c>
      <c r="AJ10" s="120">
        <f t="shared" si="14"/>
        <v>0.25779486948550578</v>
      </c>
      <c r="AK10" s="119">
        <f t="shared" si="15"/>
        <v>8.5048606025780515E-2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Sorghum: kg produced</v>
      </c>
      <c r="B11" s="101">
        <f>IF([1]Summ!$J1049="",0,[1]Summ!$J1049)</f>
        <v>3.8561488169364881E-2</v>
      </c>
      <c r="C11" s="102">
        <f>IF([1]Summ!$K1049="",0,[1]Summ!$K1049)</f>
        <v>0</v>
      </c>
      <c r="D11" s="24">
        <f t="shared" si="0"/>
        <v>3.8561488169364881E-2</v>
      </c>
      <c r="E11" s="75">
        <f>Middle!E11</f>
        <v>1</v>
      </c>
      <c r="H11" s="24">
        <f t="shared" si="1"/>
        <v>1</v>
      </c>
      <c r="I11" s="22">
        <f t="shared" si="2"/>
        <v>3.8561488169364881E-2</v>
      </c>
      <c r="J11" s="24">
        <f t="shared" si="3"/>
        <v>3.8561488169364881E-2</v>
      </c>
      <c r="K11" s="22">
        <f t="shared" si="4"/>
        <v>3.8561488169364881E-2</v>
      </c>
      <c r="L11" s="22">
        <f t="shared" si="5"/>
        <v>3.8561488169364881E-2</v>
      </c>
      <c r="M11" s="224">
        <f t="shared" si="6"/>
        <v>3.8561488169364881E-2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9822.2222222222226</v>
      </c>
      <c r="S11" s="222">
        <f>IF($B$81=0,0,(SUMIF($N$6:$N$28,$U11,L$6:L$28)+SUMIF($N$91:$N$118,$U11,L$91:L$118))*$I$83*Poor!$B$81/$B$81)</f>
        <v>9822.2222222222226</v>
      </c>
      <c r="T11" s="222">
        <f>IF($B$81=0,0,(SUMIF($N$6:$N$28,$U11,M$6:M$28)+SUMIF($N$91:$N$118,$U11,M$91:M$118))*$I$83*Poor!$B$81/$B$81)</f>
        <v>10111.589128288149</v>
      </c>
      <c r="U11" s="223">
        <v>5</v>
      </c>
      <c r="V11" s="56"/>
      <c r="W11" s="115"/>
      <c r="X11" s="118">
        <f>Poor!X11</f>
        <v>1</v>
      </c>
      <c r="Y11" s="183">
        <f t="shared" si="9"/>
        <v>0.15424595267745952</v>
      </c>
      <c r="Z11" s="125">
        <f>IF($Y11=0,0,AA11/$Y11)</f>
        <v>0.35931685672460661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5.5423170878557172E-2</v>
      </c>
      <c r="AB11" s="125">
        <f>IF($Y11=0,0,AC11/$Y11)</f>
        <v>0.39261482026313088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6.0559246986776165E-2</v>
      </c>
      <c r="AD11" s="125">
        <f>IF($Y11=0,0,AE11/$Y11)</f>
        <v>0.20745935559925296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3.199976594625862E-2</v>
      </c>
      <c r="AF11" s="122">
        <f t="shared" si="10"/>
        <v>4.0608967413009456E-2</v>
      </c>
      <c r="AG11" s="121">
        <f t="shared" si="11"/>
        <v>6.2637688658675524E-3</v>
      </c>
      <c r="AH11" s="123">
        <f t="shared" si="12"/>
        <v>1</v>
      </c>
      <c r="AI11" s="183">
        <f t="shared" si="13"/>
        <v>3.8561488169364874E-2</v>
      </c>
      <c r="AJ11" s="120">
        <f t="shared" si="14"/>
        <v>5.7991208932666669E-2</v>
      </c>
      <c r="AK11" s="119">
        <f t="shared" si="15"/>
        <v>1.9131767406063087E-2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Beans: kg produced</v>
      </c>
      <c r="B12" s="101">
        <f>IF([1]Summ!$J1050="",0,[1]Summ!$J1050)</f>
        <v>6.6773290161892901E-2</v>
      </c>
      <c r="C12" s="102">
        <f>IF([1]Summ!$K1050="",0,[1]Summ!$K1050)</f>
        <v>-2.1112143212951434E-2</v>
      </c>
      <c r="D12" s="24">
        <f t="shared" si="0"/>
        <v>4.5661146948941467E-2</v>
      </c>
      <c r="E12" s="75">
        <f>Middle!E12</f>
        <v>1</v>
      </c>
      <c r="H12" s="24">
        <f t="shared" si="1"/>
        <v>1</v>
      </c>
      <c r="I12" s="22">
        <f t="shared" si="2"/>
        <v>4.5661146948941467E-2</v>
      </c>
      <c r="J12" s="24">
        <f t="shared" si="3"/>
        <v>6.4024170159014265E-2</v>
      </c>
      <c r="K12" s="22">
        <f t="shared" si="4"/>
        <v>6.6773290161892901E-2</v>
      </c>
      <c r="L12" s="22">
        <f t="shared" si="5"/>
        <v>6.6773290161892901E-2</v>
      </c>
      <c r="M12" s="224">
        <f t="shared" si="6"/>
        <v>6.4024170159014265E-2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99.006477745203938</v>
      </c>
      <c r="S12" s="222">
        <f>IF($B$81=0,0,(SUMIF($N$6:$N$28,$U12,L$6:L$28)+SUMIF($N$91:$N$118,$U12,L$91:L$118))*$I$83*Poor!$B$81/$B$81)</f>
        <v>99.006477745203938</v>
      </c>
      <c r="T12" s="222">
        <f>IF($B$81=0,0,(SUMIF($N$6:$N$28,$U12,M$6:M$28)+SUMIF($N$91:$N$118,$U12,M$91:M$118))*$I$83*Poor!$B$81/$B$81)</f>
        <v>102.22951253658557</v>
      </c>
      <c r="U12" s="223">
        <v>6</v>
      </c>
      <c r="V12" s="56"/>
      <c r="W12" s="117"/>
      <c r="X12" s="118"/>
      <c r="Y12" s="183">
        <f t="shared" si="9"/>
        <v>0.25609668063605706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0.17158477602615824</v>
      </c>
      <c r="AF12" s="122">
        <f>1-SUM(Z12,AB12,AD12)</f>
        <v>0.32999999999999996</v>
      </c>
      <c r="AG12" s="121">
        <f>$M12*AF12*4</f>
        <v>8.4511904609898825E-2</v>
      </c>
      <c r="AH12" s="123">
        <f t="shared" si="12"/>
        <v>1</v>
      </c>
      <c r="AI12" s="183">
        <f t="shared" si="13"/>
        <v>6.4024170159014265E-2</v>
      </c>
      <c r="AJ12" s="120">
        <f t="shared" si="14"/>
        <v>0</v>
      </c>
      <c r="AK12" s="119">
        <f t="shared" si="15"/>
        <v>0.12804834031802853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Cassava: no. local meas.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Water melon: no. local meas (Bhece)</v>
      </c>
      <c r="B14" s="101">
        <f>IF([1]Summ!$J1052="",0,[1]Summ!$J1052)</f>
        <v>1.9986799501867992E-3</v>
      </c>
      <c r="C14" s="102">
        <f>IF([1]Summ!$K1052="",0,[1]Summ!$K1052)</f>
        <v>9.9933997509339982E-4</v>
      </c>
      <c r="D14" s="24">
        <f t="shared" si="0"/>
        <v>2.998019925280199E-3</v>
      </c>
      <c r="E14" s="75">
        <f>Middle!E14</f>
        <v>1</v>
      </c>
      <c r="F14" s="22"/>
      <c r="H14" s="24">
        <f t="shared" si="1"/>
        <v>1</v>
      </c>
      <c r="I14" s="22">
        <f t="shared" si="2"/>
        <v>2.998019925280199E-3</v>
      </c>
      <c r="J14" s="24">
        <f>IF(I$32&lt;=1+I131,I14,B14*H14+J$33*(I14-B14*H14))</f>
        <v>2.128809112702149E-3</v>
      </c>
      <c r="K14" s="22">
        <f t="shared" si="4"/>
        <v>1.9986799501867992E-3</v>
      </c>
      <c r="L14" s="22">
        <f t="shared" si="5"/>
        <v>1.9986799501867992E-3</v>
      </c>
      <c r="M14" s="225">
        <f t="shared" si="6"/>
        <v>2.128809112702149E-3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30897.777777777777</v>
      </c>
      <c r="S14" s="222">
        <f>IF($B$81=0,0,(SUMIF($N$6:$N$28,$U14,L$6:L$28)+SUMIF($N$91:$N$118,$U14,L$91:L$118))*$I$83*Poor!$B$81/$B$81)</f>
        <v>30897.777777777777</v>
      </c>
      <c r="T14" s="222">
        <f>IF($B$81=0,0,(SUMIF($N$6:$N$28,$U14,M$6:M$28)+SUMIF($N$91:$N$118,$U14,M$91:M$118))*$I$83*Poor!$B$81/$B$81)</f>
        <v>30897.777777777777</v>
      </c>
      <c r="U14" s="223">
        <v>8</v>
      </c>
      <c r="V14" s="56"/>
      <c r="W14" s="110"/>
      <c r="X14" s="118"/>
      <c r="Y14" s="183">
        <f>M14*4</f>
        <v>8.515236450808596E-3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8.515236450808596E-3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2.128809112702149E-3</v>
      </c>
      <c r="AJ14" s="120">
        <f t="shared" si="14"/>
        <v>4.257618225404298E-3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Pumpkin: no. local meas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Sweet poatato: no. local meas</v>
      </c>
      <c r="B16" s="101">
        <f>IF([1]Summ!$J1054="",0,[1]Summ!$J1054)</f>
        <v>3.7951432129514323E-2</v>
      </c>
      <c r="C16" s="102">
        <f>IF([1]Summ!$K1054="",0,[1]Summ!$K1054)</f>
        <v>2.4750933997509342E-2</v>
      </c>
      <c r="D16" s="24">
        <f t="shared" si="0"/>
        <v>6.2702366127023665E-2</v>
      </c>
      <c r="E16" s="75">
        <f>Middle!E16</f>
        <v>1</v>
      </c>
      <c r="F16" s="22"/>
      <c r="H16" s="24">
        <f t="shared" si="1"/>
        <v>1</v>
      </c>
      <c r="I16" s="22">
        <f t="shared" si="2"/>
        <v>6.2702366127023665E-2</v>
      </c>
      <c r="J16" s="24">
        <f>IF(I$32&lt;=1+I131,I16,B16*H16+J$33*(I16-B16*H16))</f>
        <v>4.1174377666409877E-2</v>
      </c>
      <c r="K16" s="22">
        <f t="shared" si="4"/>
        <v>3.7951432129514323E-2</v>
      </c>
      <c r="L16" s="22">
        <f t="shared" si="5"/>
        <v>3.7951432129514323E-2</v>
      </c>
      <c r="M16" s="224">
        <f t="shared" si="6"/>
        <v>4.1174377666409877E-2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0.16469751066563951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0.16469751066563951</v>
      </c>
      <c r="AH16" s="123">
        <f t="shared" si="12"/>
        <v>1</v>
      </c>
      <c r="AI16" s="183">
        <f t="shared" si="13"/>
        <v>4.1174377666409877E-2</v>
      </c>
      <c r="AJ16" s="120">
        <f t="shared" si="14"/>
        <v>0</v>
      </c>
      <c r="AK16" s="119">
        <f t="shared" si="15"/>
        <v>8.2348755332819754E-2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Groundnuts (dry): no. local meas</v>
      </c>
      <c r="B17" s="101">
        <f>IF([1]Summ!$J1055="",0,[1]Summ!$J1055)</f>
        <v>0.10482207347447074</v>
      </c>
      <c r="C17" s="102">
        <f>IF([1]Summ!$K1055="",0,[1]Summ!$K1055)</f>
        <v>5.0314595267745968E-2</v>
      </c>
      <c r="D17" s="24">
        <f t="shared" si="0"/>
        <v>0.15513666874221671</v>
      </c>
      <c r="E17" s="75">
        <f>Middle!E17</f>
        <v>1</v>
      </c>
      <c r="F17" s="22"/>
      <c r="H17" s="24">
        <f t="shared" si="1"/>
        <v>1</v>
      </c>
      <c r="I17" s="22">
        <f t="shared" si="2"/>
        <v>0.15513666874221671</v>
      </c>
      <c r="J17" s="24">
        <f t="shared" ref="J17:J25" si="17">IF(I$32&lt;=1+I131,I17,B17*H17+J$33*(I17-B17*H17))</f>
        <v>0.11137379391763488</v>
      </c>
      <c r="K17" s="22">
        <f t="shared" si="4"/>
        <v>0.10482207347447074</v>
      </c>
      <c r="L17" s="22">
        <f t="shared" si="5"/>
        <v>0.10482207347447074</v>
      </c>
      <c r="M17" s="225">
        <f t="shared" si="6"/>
        <v>0.11137379391763488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0.44549517567053953</v>
      </c>
      <c r="Z17" s="156">
        <f>Poor!Z17</f>
        <v>0.29409999999999997</v>
      </c>
      <c r="AA17" s="121">
        <f t="shared" si="16"/>
        <v>0.13102013116470568</v>
      </c>
      <c r="AB17" s="156">
        <f>Poor!AB17</f>
        <v>0.17649999999999999</v>
      </c>
      <c r="AC17" s="121">
        <f t="shared" si="7"/>
        <v>7.8629898505850226E-2</v>
      </c>
      <c r="AD17" s="156">
        <f>Poor!AD17</f>
        <v>0.23530000000000001</v>
      </c>
      <c r="AE17" s="121">
        <f t="shared" si="8"/>
        <v>0.10482501483527795</v>
      </c>
      <c r="AF17" s="122">
        <f t="shared" si="10"/>
        <v>0.29410000000000003</v>
      </c>
      <c r="AG17" s="121">
        <f t="shared" si="11"/>
        <v>0.13102013116470568</v>
      </c>
      <c r="AH17" s="123">
        <f t="shared" si="12"/>
        <v>1</v>
      </c>
      <c r="AI17" s="183">
        <f t="shared" si="13"/>
        <v>0.11137379391763488</v>
      </c>
      <c r="AJ17" s="120">
        <f t="shared" si="14"/>
        <v>0.10482501483527795</v>
      </c>
      <c r="AK17" s="119">
        <f t="shared" si="15"/>
        <v>0.11792257299999181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Irish potato: type</v>
      </c>
      <c r="B18" s="101">
        <f>IF([1]Summ!$J1056="",0,[1]Summ!$J1056)</f>
        <v>7.0603293206032928E-3</v>
      </c>
      <c r="C18" s="102">
        <f>IF([1]Summ!$K1056="",0,[1]Summ!$K1056)</f>
        <v>7.6034315760343165E-3</v>
      </c>
      <c r="D18" s="24">
        <f t="shared" ref="D18:D25" si="18">(B18+C18)</f>
        <v>1.4663760896637609E-2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1.4663760896637609E-2</v>
      </c>
      <c r="J18" s="24">
        <f t="shared" si="17"/>
        <v>8.0504109823917522E-3</v>
      </c>
      <c r="K18" s="22">
        <f t="shared" ref="K18:K25" si="21">B18</f>
        <v>7.0603293206032928E-3</v>
      </c>
      <c r="L18" s="22">
        <f t="shared" ref="L18:L25" si="22">IF(K18="","",K18*H18)</f>
        <v>7.0603293206032928E-3</v>
      </c>
      <c r="M18" s="225">
        <f t="shared" ref="M18:M25" si="23">J18</f>
        <v>8.0504109823917522E-3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894.99270099514524</v>
      </c>
      <c r="S18" s="222">
        <f>IF($B$81=0,0,(SUMIF($N$6:$N$28,$U18,L$6:L$28)+SUMIF($N$91:$N$118,$U18,L$91:L$118))*$I$83*Poor!$B$81/$B$81)</f>
        <v>894.99270099514524</v>
      </c>
      <c r="T18" s="222">
        <f>IF($B$81=0,0,(SUMIF($N$6:$N$28,$U18,M$6:M$28)+SUMIF($N$91:$N$118,$U18,M$91:M$118))*$I$83*Poor!$B$81/$B$81)</f>
        <v>894.99270099514524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Yam: type</v>
      </c>
      <c r="B19" s="101">
        <f>IF([1]Summ!$J1057="",0,[1]Summ!$J1057)</f>
        <v>2.2571606475716065E-2</v>
      </c>
      <c r="C19" s="102">
        <f>IF([1]Summ!$K1057="",0,[1]Summ!$K1057)</f>
        <v>0</v>
      </c>
      <c r="D19" s="24">
        <f t="shared" si="18"/>
        <v>2.2571606475716065E-2</v>
      </c>
      <c r="E19" s="75">
        <f>Middle!E19</f>
        <v>1</v>
      </c>
      <c r="F19" s="22"/>
      <c r="H19" s="24">
        <f t="shared" si="19"/>
        <v>1</v>
      </c>
      <c r="I19" s="22">
        <f t="shared" si="20"/>
        <v>2.2571606475716065E-2</v>
      </c>
      <c r="J19" s="24">
        <f t="shared" si="17"/>
        <v>2.2571606475716065E-2</v>
      </c>
      <c r="K19" s="22">
        <f t="shared" si="21"/>
        <v>2.2571606475716065E-2</v>
      </c>
      <c r="L19" s="22">
        <f t="shared" si="22"/>
        <v>2.2571606475716065E-2</v>
      </c>
      <c r="M19" s="225">
        <f t="shared" si="23"/>
        <v>2.2571606475716065E-2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669.09362690294768</v>
      </c>
      <c r="S19" s="222">
        <f>IF($B$81=0,0,(SUMIF($N$6:$N$28,$U19,L$6:L$28)+SUMIF($N$91:$N$118,$U19,L$91:L$118))*$I$83*Poor!$B$81/$B$81)</f>
        <v>669.09362690294768</v>
      </c>
      <c r="T19" s="222">
        <f>IF($B$81=0,0,(SUMIF($N$6:$N$28,$U19,M$6:M$28)+SUMIF($N$91:$N$118,$U19,M$91:M$118))*$I$83*Poor!$B$81/$B$81)</f>
        <v>669.09362690294768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FISHING -- see worksheet Data 3</v>
      </c>
      <c r="B20" s="101">
        <f>IF([1]Summ!$J1058="",0,[1]Summ!$J1058)</f>
        <v>1.1706102117061022E-2</v>
      </c>
      <c r="C20" s="102">
        <f>IF([1]Summ!$K1058="",0,[1]Summ!$K1058)</f>
        <v>2.9265255292652559E-3</v>
      </c>
      <c r="D20" s="24">
        <f t="shared" si="18"/>
        <v>1.4632627646326278E-2</v>
      </c>
      <c r="E20" s="75">
        <f>Middle!E20</f>
        <v>1</v>
      </c>
      <c r="F20" s="22"/>
      <c r="H20" s="24">
        <f t="shared" si="19"/>
        <v>1</v>
      </c>
      <c r="I20" s="22">
        <f t="shared" si="20"/>
        <v>1.4632627646326278E-2</v>
      </c>
      <c r="J20" s="24">
        <f t="shared" si="17"/>
        <v>1.2087179954127917E-2</v>
      </c>
      <c r="K20" s="22">
        <f t="shared" si="21"/>
        <v>1.1706102117061022E-2</v>
      </c>
      <c r="L20" s="22">
        <f t="shared" si="22"/>
        <v>1.1706102117061022E-2</v>
      </c>
      <c r="M20" s="225">
        <f t="shared" si="23"/>
        <v>1.2087179954127917E-2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5477.333333333333</v>
      </c>
      <c r="S20" s="222">
        <f>IF($B$81=0,0,(SUMIF($N$6:$N$28,$U20,L$6:L$28)+SUMIF($N$91:$N$118,$U20,L$91:L$118))*$I$83*Poor!$B$81/$B$81)</f>
        <v>5477.333333333333</v>
      </c>
      <c r="T20" s="222">
        <f>IF($B$81=0,0,(SUMIF($N$6:$N$28,$U20,M$6:M$28)+SUMIF($N$91:$N$118,$U20,M$91:M$118))*$I$83*Poor!$B$81/$B$81)</f>
        <v>5477.333333333333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Labour: Land clearing, construction, herding, slaughtering</v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Weeding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>Gifts/remittances: cereal</v>
      </c>
      <c r="B23" s="101">
        <f>IF([1]Summ!$J1061="",0,[1]Summ!$J1061)</f>
        <v>5.3477723536737236E-2</v>
      </c>
      <c r="C23" s="102">
        <f>IF([1]Summ!$K1061="",0,[1]Summ!$K1061)</f>
        <v>0</v>
      </c>
      <c r="D23" s="24">
        <f t="shared" si="18"/>
        <v>5.3477723536737236E-2</v>
      </c>
      <c r="E23" s="75">
        <f>Middle!E23</f>
        <v>1</v>
      </c>
      <c r="F23" s="22"/>
      <c r="H23" s="24">
        <f t="shared" si="19"/>
        <v>1</v>
      </c>
      <c r="I23" s="22">
        <f t="shared" si="20"/>
        <v>5.3477723536737236E-2</v>
      </c>
      <c r="J23" s="24">
        <f t="shared" si="17"/>
        <v>5.3477723536737236E-2</v>
      </c>
      <c r="K23" s="22">
        <f t="shared" si="21"/>
        <v>5.3477723536737236E-2</v>
      </c>
      <c r="L23" s="22">
        <f t="shared" si="22"/>
        <v>5.3477723536737236E-2</v>
      </c>
      <c r="M23" s="225">
        <f t="shared" si="23"/>
        <v>5.3477723536737236E-2</v>
      </c>
      <c r="N23" s="229">
        <v>13</v>
      </c>
      <c r="O23" s="2"/>
      <c r="P23" s="22"/>
      <c r="Q23" s="171" t="s">
        <v>100</v>
      </c>
      <c r="R23" s="179">
        <f>SUM(R7:R22)</f>
        <v>58465.818571525422</v>
      </c>
      <c r="S23" s="179">
        <f>SUM(S7:S22)</f>
        <v>58465.818571525422</v>
      </c>
      <c r="T23" s="179">
        <f>SUM(T7:T22)</f>
        <v>58689.136818451414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>Gifts/remittances: Other</v>
      </c>
      <c r="B24" s="101">
        <f>IF([1]Summ!$J1062="",0,[1]Summ!$J1062)</f>
        <v>2.5633042756330427E-2</v>
      </c>
      <c r="C24" s="102">
        <f>IF([1]Summ!$K1062="",0,[1]Summ!$K1062)</f>
        <v>0</v>
      </c>
      <c r="D24" s="24">
        <f t="shared" si="18"/>
        <v>2.5633042756330427E-2</v>
      </c>
      <c r="E24" s="75">
        <f>Middle!E24</f>
        <v>1</v>
      </c>
      <c r="F24" s="22"/>
      <c r="H24" s="24">
        <f t="shared" si="19"/>
        <v>1</v>
      </c>
      <c r="I24" s="22">
        <f t="shared" si="20"/>
        <v>2.5633042756330427E-2</v>
      </c>
      <c r="J24" s="24">
        <f t="shared" si="17"/>
        <v>2.5633042756330427E-2</v>
      </c>
      <c r="K24" s="22">
        <f t="shared" si="21"/>
        <v>2.5633042756330427E-2</v>
      </c>
      <c r="L24" s="22">
        <f t="shared" si="22"/>
        <v>2.5633042756330427E-2</v>
      </c>
      <c r="M24" s="225">
        <f t="shared" si="23"/>
        <v>2.5633042756330427E-2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20136.903793668345</v>
      </c>
      <c r="S24" s="41">
        <f>IF($B$81=0,0,(SUM(($B$70*$H$70))+((1-$D$29)*$I$83))*Poor!$B$81/$B$81)</f>
        <v>20136.903793668345</v>
      </c>
      <c r="T24" s="41">
        <f>IF($B$81=0,0,(SUM(($B$70*$H$70))+((1-$D$29)*$I$83))*Poor!$B$81/$B$81)</f>
        <v>20136.903793668345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34115.570460335017</v>
      </c>
      <c r="S25" s="41">
        <f>IF($B$81=0,0,(SUM(($B$70*$H$70),($B$71*$H$71))+((1-$D$29)*$I$83))*Poor!$B$81/$B$81)</f>
        <v>34115.570460335017</v>
      </c>
      <c r="T25" s="41">
        <f>IF($B$81=0,0,(SUM(($B$70*$H$70),($B$71*$H$71))+((1-$D$29)*$I$83))*Poor!$B$81/$B$81)</f>
        <v>34115.570460335017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0.10582010582010581</v>
      </c>
      <c r="C26" s="102">
        <f>IF([1]Summ!$K1064="",0,[1]Summ!$K1064)</f>
        <v>0</v>
      </c>
      <c r="D26" s="24">
        <f t="shared" si="0"/>
        <v>0.10582010582010581</v>
      </c>
      <c r="E26" s="75">
        <f>Middle!E26</f>
        <v>1</v>
      </c>
      <c r="F26" s="22"/>
      <c r="H26" s="24">
        <f t="shared" si="1"/>
        <v>1</v>
      </c>
      <c r="I26" s="22">
        <f t="shared" si="2"/>
        <v>0.10582010582010581</v>
      </c>
      <c r="J26" s="24">
        <f>IF(I$32&lt;=1+I131,I26,B26*H26+J$33*(I26-B26*H26))</f>
        <v>0.10582010582010581</v>
      </c>
      <c r="K26" s="22">
        <f t="shared" si="4"/>
        <v>0.10582010582010581</v>
      </c>
      <c r="L26" s="22">
        <f t="shared" si="5"/>
        <v>0.10582010582010581</v>
      </c>
      <c r="M26" s="224">
        <f t="shared" si="6"/>
        <v>0.10582010582010581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61859.570460335017</v>
      </c>
      <c r="S26" s="41">
        <f>IF($B$81=0,0,(SUM(($B$70*$H$70),($B$71*$H$71),($B$72*$H$72))+((1-$D$29)*$I$83))*Poor!$B$81/$B$81)</f>
        <v>61859.570460335017</v>
      </c>
      <c r="T26" s="41">
        <f>IF($B$81=0,0,(SUM(($B$70*$H$70),($B$71*$H$71),($B$72*$H$72))+((1-$D$29)*$I$83))*Poor!$B$81/$B$81)</f>
        <v>61859.570460335017</v>
      </c>
      <c r="U26" s="56"/>
      <c r="V26" s="56"/>
      <c r="W26" s="110"/>
      <c r="X26" s="118"/>
      <c r="Y26" s="183">
        <f t="shared" si="9"/>
        <v>0.42328042328042326</v>
      </c>
      <c r="Z26" s="156">
        <f>Poor!Z26</f>
        <v>0.25</v>
      </c>
      <c r="AA26" s="121">
        <f t="shared" si="16"/>
        <v>0.10582010582010581</v>
      </c>
      <c r="AB26" s="156">
        <f>Poor!AB26</f>
        <v>0.25</v>
      </c>
      <c r="AC26" s="121">
        <f t="shared" si="7"/>
        <v>0.10582010582010581</v>
      </c>
      <c r="AD26" s="156">
        <f>Poor!AD26</f>
        <v>0.25</v>
      </c>
      <c r="AE26" s="121">
        <f t="shared" si="8"/>
        <v>0.10582010582010581</v>
      </c>
      <c r="AF26" s="122">
        <f t="shared" si="10"/>
        <v>0.25</v>
      </c>
      <c r="AG26" s="121">
        <f t="shared" si="11"/>
        <v>0.10582010582010581</v>
      </c>
      <c r="AH26" s="123">
        <f t="shared" si="12"/>
        <v>1</v>
      </c>
      <c r="AI26" s="183">
        <f t="shared" si="13"/>
        <v>0.10582010582010581</v>
      </c>
      <c r="AJ26" s="120">
        <f t="shared" si="14"/>
        <v>0.10582010582010581</v>
      </c>
      <c r="AK26" s="119">
        <f t="shared" si="15"/>
        <v>0.10582010582010581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2.7003904109589038E-2</v>
      </c>
      <c r="C27" s="102">
        <f>IF([1]Summ!$K1065="",0,[1]Summ!$K1065)</f>
        <v>-2.7003904109589038E-2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2.3487587826837304E-2</v>
      </c>
      <c r="K27" s="22">
        <f t="shared" si="4"/>
        <v>2.7003904109589038E-2</v>
      </c>
      <c r="L27" s="22">
        <f t="shared" si="5"/>
        <v>2.7003904109589038E-2</v>
      </c>
      <c r="M27" s="226">
        <f t="shared" si="6"/>
        <v>2.3487587826837304E-2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9.3950351307349217E-2</v>
      </c>
      <c r="Z27" s="156">
        <f>Poor!Z27</f>
        <v>0.25</v>
      </c>
      <c r="AA27" s="121">
        <f t="shared" si="16"/>
        <v>2.3487587826837304E-2</v>
      </c>
      <c r="AB27" s="156">
        <f>Poor!AB27</f>
        <v>0.25</v>
      </c>
      <c r="AC27" s="121">
        <f t="shared" si="7"/>
        <v>2.3487587826837304E-2</v>
      </c>
      <c r="AD27" s="156">
        <f>Poor!AD27</f>
        <v>0.25</v>
      </c>
      <c r="AE27" s="121">
        <f t="shared" si="8"/>
        <v>2.3487587826837304E-2</v>
      </c>
      <c r="AF27" s="122">
        <f t="shared" si="10"/>
        <v>0.25</v>
      </c>
      <c r="AG27" s="121">
        <f t="shared" si="11"/>
        <v>2.3487587826837304E-2</v>
      </c>
      <c r="AH27" s="123">
        <f t="shared" si="12"/>
        <v>1</v>
      </c>
      <c r="AI27" s="183">
        <f t="shared" si="13"/>
        <v>2.3487587826837304E-2</v>
      </c>
      <c r="AJ27" s="120">
        <f t="shared" si="14"/>
        <v>2.3487587826837304E-2</v>
      </c>
      <c r="AK27" s="119">
        <f t="shared" si="15"/>
        <v>2.3487587826837304E-2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0.20561839999999998</v>
      </c>
      <c r="C29" s="102">
        <f>IF([1]Summ!$K1067="",0,[1]Summ!$K1067)</f>
        <v>1.9018373941997086E-2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0.20809487961170023</v>
      </c>
      <c r="K29" s="22">
        <f t="shared" si="4"/>
        <v>0.20561839999999998</v>
      </c>
      <c r="L29" s="22">
        <f t="shared" si="5"/>
        <v>0.20561839999999998</v>
      </c>
      <c r="M29" s="175">
        <f t="shared" si="6"/>
        <v>0.20809487961170023</v>
      </c>
      <c r="N29" s="229"/>
      <c r="P29" s="22"/>
      <c r="V29" s="56"/>
      <c r="W29" s="110"/>
      <c r="X29" s="118"/>
      <c r="Y29" s="183">
        <f t="shared" si="9"/>
        <v>0.83237951844680091</v>
      </c>
      <c r="Z29" s="156">
        <f>Poor!Z29</f>
        <v>0.25</v>
      </c>
      <c r="AA29" s="121">
        <f t="shared" si="16"/>
        <v>0.20809487961170023</v>
      </c>
      <c r="AB29" s="156">
        <f>Poor!AB29</f>
        <v>0.25</v>
      </c>
      <c r="AC29" s="121">
        <f t="shared" si="7"/>
        <v>0.20809487961170023</v>
      </c>
      <c r="AD29" s="156">
        <f>Poor!AD29</f>
        <v>0.25</v>
      </c>
      <c r="AE29" s="121">
        <f t="shared" si="8"/>
        <v>0.20809487961170023</v>
      </c>
      <c r="AF29" s="122">
        <f t="shared" si="10"/>
        <v>0.25</v>
      </c>
      <c r="AG29" s="121">
        <f t="shared" si="11"/>
        <v>0.20809487961170023</v>
      </c>
      <c r="AH29" s="123">
        <f t="shared" si="12"/>
        <v>1</v>
      </c>
      <c r="AI29" s="183">
        <f t="shared" si="13"/>
        <v>0.20809487961170023</v>
      </c>
      <c r="AJ29" s="120">
        <f t="shared" si="14"/>
        <v>0.20809487961170023</v>
      </c>
      <c r="AK29" s="119">
        <f t="shared" si="15"/>
        <v>0.20809487961170023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0.60560871481942702</v>
      </c>
      <c r="C30" s="65"/>
      <c r="D30" s="24">
        <f>(D119-B124)</f>
        <v>4.531894189935838</v>
      </c>
      <c r="E30" s="75">
        <f>Middle!E30</f>
        <v>1</v>
      </c>
      <c r="H30" s="96">
        <f>(E30*F$7/F$9)</f>
        <v>1</v>
      </c>
      <c r="I30" s="29">
        <f>IF(E30&gt;=1,I119-I124,MIN(I119-I124,B30*H30))</f>
        <v>4.531894189935838</v>
      </c>
      <c r="J30" s="231">
        <f>IF(I$32&lt;=1,I30,1-SUM(J6:J29))</f>
        <v>-9.2812381089395712E-2</v>
      </c>
      <c r="K30" s="22">
        <f t="shared" si="4"/>
        <v>0.60560871481942702</v>
      </c>
      <c r="L30" s="22">
        <f>IF(L124=L119,0,IF(K30="",0,(L119-L124)/(B119-B124)*K30))</f>
        <v>0.60560871481942702</v>
      </c>
      <c r="M30" s="175">
        <f t="shared" si="6"/>
        <v>-9.2812381089395712E-2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-0.37124952435758285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</v>
      </c>
      <c r="AE30" s="187">
        <f>IF(AE79*4/$I$83+SUM(AE6:AE29)&lt;1,AE79*4/$I$83,1-SUM(AE6:AE29))</f>
        <v>0</v>
      </c>
      <c r="AF30" s="122">
        <f>IF($Y30=0,0,AG30/($Y$30))</f>
        <v>-0.3125400111001137</v>
      </c>
      <c r="AG30" s="187">
        <f>IF(AG79*4/$I$83+SUM(AG6:AG29)&lt;1,AG79*4/$I$83,1-SUM(AG6:AG29))</f>
        <v>0.11603033046363087</v>
      </c>
      <c r="AH30" s="123">
        <f t="shared" si="12"/>
        <v>-0.3125400111001137</v>
      </c>
      <c r="AI30" s="183">
        <f t="shared" si="13"/>
        <v>2.9007582615907718E-2</v>
      </c>
      <c r="AJ30" s="120">
        <f t="shared" si="14"/>
        <v>0</v>
      </c>
      <c r="AK30" s="119">
        <f t="shared" si="15"/>
        <v>5.8015165231815435E-2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-0.68196593552814466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1.6819659355281447</v>
      </c>
      <c r="C32" s="29">
        <f>SUM(C6:C31)</f>
        <v>0.12636905707469395</v>
      </c>
      <c r="D32" s="24">
        <f>SUM(D6:D30)</f>
        <v>5.7346204677192496</v>
      </c>
      <c r="E32" s="2"/>
      <c r="F32" s="2"/>
      <c r="H32" s="17"/>
      <c r="I32" s="22">
        <f>SUM(I6:I30)</f>
        <v>5.7346204677192496</v>
      </c>
      <c r="J32" s="17"/>
      <c r="L32" s="22">
        <f>SUM(L6:L30)</f>
        <v>1.6819659355281447</v>
      </c>
      <c r="M32" s="23"/>
      <c r="N32" s="56"/>
      <c r="O32" s="2"/>
      <c r="P32" s="22"/>
      <c r="Q32" s="234" t="s">
        <v>143</v>
      </c>
      <c r="R32" s="234">
        <f t="shared" si="24"/>
        <v>3393.7518888095947</v>
      </c>
      <c r="S32" s="234">
        <f t="shared" si="24"/>
        <v>3393.7518888095947</v>
      </c>
      <c r="T32" s="234">
        <f t="shared" si="24"/>
        <v>3170.4336418836028</v>
      </c>
      <c r="V32" s="56"/>
      <c r="W32" s="110"/>
      <c r="X32" s="118"/>
      <c r="Y32" s="115">
        <f>SUM(Y6:Y31)</f>
        <v>3.5127201451787866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0.13021510772966699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66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8000</v>
      </c>
      <c r="C37" s="104">
        <f>IF([1]Summ!$K1072="",0,[1]Summ!$K1072)</f>
        <v>2000</v>
      </c>
      <c r="D37" s="38">
        <f t="shared" ref="D37:D64" si="25">B37+C37</f>
        <v>10000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10000</v>
      </c>
      <c r="J37" s="38">
        <f>J91*I$83</f>
        <v>8260.4302154593333</v>
      </c>
      <c r="K37" s="40">
        <f t="shared" ref="K37:K52" si="28">(B37/B$65)</f>
        <v>0.13853773421535689</v>
      </c>
      <c r="L37" s="22">
        <f t="shared" ref="L37:L52" si="29">(K37*H37)</f>
        <v>0.13853773421535689</v>
      </c>
      <c r="M37" s="24">
        <f t="shared" ref="M37:M52" si="30">J37/B$65</f>
        <v>0.14304766071172606</v>
      </c>
      <c r="N37" s="2"/>
      <c r="O37" s="2"/>
      <c r="P37" s="2"/>
      <c r="Q37" s="59"/>
      <c r="R37" s="266"/>
      <c r="S37" s="266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8260.4302154593333</v>
      </c>
      <c r="AH37" s="123">
        <f>SUM(Z37,AB37,AD37,AF37)</f>
        <v>1</v>
      </c>
      <c r="AI37" s="112">
        <f>SUM(AA37,AC37,AE37,AG37)</f>
        <v>8260.4302154593333</v>
      </c>
      <c r="AJ37" s="148">
        <f>(AA37+AC37)</f>
        <v>0</v>
      </c>
      <c r="AK37" s="147">
        <f>(AE37+AG37)</f>
        <v>8260.4302154593333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2500</v>
      </c>
      <c r="C38" s="104">
        <f>IF([1]Summ!$K1073="",0,[1]Summ!$K1073)</f>
        <v>500</v>
      </c>
      <c r="D38" s="38">
        <f t="shared" si="25"/>
        <v>3000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3000</v>
      </c>
      <c r="J38" s="38">
        <f t="shared" ref="J38:J64" si="33">J92*I$83</f>
        <v>2565.1075538648333</v>
      </c>
      <c r="K38" s="40">
        <f t="shared" si="28"/>
        <v>4.3293041942299035E-2</v>
      </c>
      <c r="L38" s="22">
        <f t="shared" si="29"/>
        <v>4.3293041942299035E-2</v>
      </c>
      <c r="M38" s="24">
        <f t="shared" si="30"/>
        <v>4.4420523566391326E-2</v>
      </c>
      <c r="N38" s="2"/>
      <c r="O38" s="2"/>
      <c r="P38" s="2"/>
      <c r="Q38" s="59"/>
      <c r="R38" s="266"/>
      <c r="S38" s="266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2565.1075538648333</v>
      </c>
      <c r="AH38" s="123">
        <f t="shared" ref="AH38:AI58" si="35">SUM(Z38,AB38,AD38,AF38)</f>
        <v>1</v>
      </c>
      <c r="AI38" s="112">
        <f t="shared" si="35"/>
        <v>2565.1075538648333</v>
      </c>
      <c r="AJ38" s="148">
        <f t="shared" ref="AJ38:AJ64" si="36">(AA38+AC38)</f>
        <v>0</v>
      </c>
      <c r="AK38" s="147">
        <f t="shared" ref="AK38:AK64" si="37">(AE38+AG38)</f>
        <v>2565.1075538648333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550</v>
      </c>
      <c r="C39" s="104">
        <f>IF([1]Summ!$K1074="",0,[1]Summ!$K1074)</f>
        <v>0</v>
      </c>
      <c r="D39" s="38">
        <f t="shared" si="25"/>
        <v>550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550</v>
      </c>
      <c r="J39" s="38">
        <f t="shared" si="33"/>
        <v>550</v>
      </c>
      <c r="K39" s="40">
        <f t="shared" si="28"/>
        <v>9.5244692273057877E-3</v>
      </c>
      <c r="L39" s="22">
        <f t="shared" si="29"/>
        <v>9.5244692273057877E-3</v>
      </c>
      <c r="M39" s="24">
        <f t="shared" si="30"/>
        <v>9.5244692273057877E-3</v>
      </c>
      <c r="N39" s="2"/>
      <c r="O39" s="2"/>
      <c r="P39" s="2"/>
      <c r="Q39" s="59"/>
      <c r="R39" s="266"/>
      <c r="S39" s="266"/>
      <c r="T39" s="29"/>
      <c r="U39" s="56"/>
      <c r="V39" s="56"/>
      <c r="W39" s="115"/>
      <c r="X39" s="118">
        <f>X8</f>
        <v>1</v>
      </c>
      <c r="Y39" s="110"/>
      <c r="Z39" s="122">
        <f>Z8</f>
        <v>0.3593168567246065</v>
      </c>
      <c r="AA39" s="147">
        <f>$J39*Z39</f>
        <v>197.62427119853356</v>
      </c>
      <c r="AB39" s="122">
        <f>AB8</f>
        <v>0.39261482026313088</v>
      </c>
      <c r="AC39" s="147">
        <f>$J39*AB39</f>
        <v>215.93815114472199</v>
      </c>
      <c r="AD39" s="122">
        <f>AD8</f>
        <v>0.20745935559925296</v>
      </c>
      <c r="AE39" s="147">
        <f>$J39*AD39</f>
        <v>114.10264557958914</v>
      </c>
      <c r="AF39" s="122">
        <f t="shared" si="31"/>
        <v>4.0608967413009678E-2</v>
      </c>
      <c r="AG39" s="147">
        <f t="shared" si="34"/>
        <v>22.334932077155322</v>
      </c>
      <c r="AH39" s="123">
        <f t="shared" si="35"/>
        <v>1</v>
      </c>
      <c r="AI39" s="112">
        <f t="shared" si="35"/>
        <v>550</v>
      </c>
      <c r="AJ39" s="148">
        <f t="shared" si="36"/>
        <v>413.56242234325555</v>
      </c>
      <c r="AK39" s="147">
        <f t="shared" si="37"/>
        <v>136.43757765674445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655</v>
      </c>
      <c r="C40" s="104">
        <f>IF([1]Summ!$K1075="",0,[1]Summ!$K1075)</f>
        <v>-655</v>
      </c>
      <c r="D40" s="38">
        <f t="shared" si="25"/>
        <v>0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0</v>
      </c>
      <c r="J40" s="38">
        <f t="shared" si="33"/>
        <v>569.70910443706805</v>
      </c>
      <c r="K40" s="40">
        <f t="shared" si="28"/>
        <v>1.1342776988882346E-2</v>
      </c>
      <c r="L40" s="22">
        <f t="shared" si="29"/>
        <v>1.1342776988882346E-2</v>
      </c>
      <c r="M40" s="24">
        <f t="shared" si="30"/>
        <v>9.8657760613214424E-3</v>
      </c>
      <c r="N40" s="2"/>
      <c r="O40" s="2"/>
      <c r="P40" s="2"/>
      <c r="Q40" s="59"/>
      <c r="R40" s="266"/>
      <c r="S40" s="266"/>
      <c r="T40" s="29"/>
      <c r="U40" s="56"/>
      <c r="V40" s="56"/>
      <c r="W40" s="115"/>
      <c r="X40" s="118">
        <f>X9</f>
        <v>1</v>
      </c>
      <c r="Y40" s="110"/>
      <c r="Z40" s="122">
        <f>Z9</f>
        <v>0.3593168567246065</v>
      </c>
      <c r="AA40" s="147">
        <f>$J40*Z40</f>
        <v>204.70608465371785</v>
      </c>
      <c r="AB40" s="122">
        <f>AB9</f>
        <v>0.39261482026313088</v>
      </c>
      <c r="AC40" s="147">
        <f>$J40*AB40</f>
        <v>223.67623764082873</v>
      </c>
      <c r="AD40" s="122">
        <f>AD9</f>
        <v>0.20745935559925296</v>
      </c>
      <c r="AE40" s="147">
        <f>$J40*AD40</f>
        <v>118.19148368554164</v>
      </c>
      <c r="AF40" s="122">
        <f t="shared" si="31"/>
        <v>4.0608967413009678E-2</v>
      </c>
      <c r="AG40" s="147">
        <f t="shared" si="34"/>
        <v>23.135298456979825</v>
      </c>
      <c r="AH40" s="123">
        <f t="shared" si="35"/>
        <v>1</v>
      </c>
      <c r="AI40" s="112">
        <f t="shared" si="35"/>
        <v>569.70910443706816</v>
      </c>
      <c r="AJ40" s="148">
        <f t="shared" si="36"/>
        <v>428.38232229454661</v>
      </c>
      <c r="AK40" s="147">
        <f t="shared" si="37"/>
        <v>141.32678214252147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1250</v>
      </c>
      <c r="C41" s="104">
        <f>IF([1]Summ!$K1076="",0,[1]Summ!$K1076)</f>
        <v>1075</v>
      </c>
      <c r="D41" s="38">
        <f t="shared" si="25"/>
        <v>2325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2325</v>
      </c>
      <c r="J41" s="38">
        <f t="shared" si="33"/>
        <v>1389.9812408093919</v>
      </c>
      <c r="K41" s="40">
        <f t="shared" si="28"/>
        <v>2.1646520971149517E-2</v>
      </c>
      <c r="L41" s="22">
        <f t="shared" si="29"/>
        <v>2.1646520971149517E-2</v>
      </c>
      <c r="M41" s="24">
        <f t="shared" si="30"/>
        <v>2.4070606462947942E-2</v>
      </c>
      <c r="N41" s="2"/>
      <c r="O41" s="2"/>
      <c r="P41" s="2"/>
      <c r="Q41" s="59"/>
      <c r="R41" s="266"/>
      <c r="S41" s="266"/>
      <c r="T41" s="267"/>
      <c r="U41" s="56"/>
      <c r="V41" s="56"/>
      <c r="W41" s="115"/>
      <c r="X41" s="118">
        <f>X11</f>
        <v>1</v>
      </c>
      <c r="Y41" s="110"/>
      <c r="Z41" s="122">
        <f>Z11</f>
        <v>0.35931685672460661</v>
      </c>
      <c r="AA41" s="147">
        <f>$J41*Z41</f>
        <v>499.44369035379918</v>
      </c>
      <c r="AB41" s="122">
        <f>AB11</f>
        <v>0.39261482026313088</v>
      </c>
      <c r="AC41" s="147">
        <f>$J41*AB41</f>
        <v>545.72723502950305</v>
      </c>
      <c r="AD41" s="122">
        <f>AD11</f>
        <v>0.20745935559925296</v>
      </c>
      <c r="AE41" s="147">
        <f>$J41*AD41</f>
        <v>288.36461251336652</v>
      </c>
      <c r="AF41" s="122">
        <f t="shared" si="31"/>
        <v>4.0608967413009456E-2</v>
      </c>
      <c r="AG41" s="147">
        <f t="shared" si="34"/>
        <v>56.445702912723043</v>
      </c>
      <c r="AH41" s="123">
        <f t="shared" si="35"/>
        <v>1</v>
      </c>
      <c r="AI41" s="112">
        <f t="shared" si="35"/>
        <v>1389.9812408093917</v>
      </c>
      <c r="AJ41" s="148">
        <f t="shared" si="36"/>
        <v>1045.1709253833023</v>
      </c>
      <c r="AK41" s="147">
        <f t="shared" si="37"/>
        <v>344.81031542608957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Water melon: no. local meas (Bhece)</v>
      </c>
      <c r="B42" s="104">
        <f>IF([1]Summ!$J1077="",0,[1]Summ!$J1077)</f>
        <v>99</v>
      </c>
      <c r="C42" s="104">
        <f>IF([1]Summ!$K1077="",0,[1]Summ!$K1077)</f>
        <v>-99</v>
      </c>
      <c r="D42" s="38">
        <f t="shared" si="25"/>
        <v>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0</v>
      </c>
      <c r="J42" s="38">
        <f t="shared" si="33"/>
        <v>86.108704334762976</v>
      </c>
      <c r="K42" s="40">
        <f t="shared" si="28"/>
        <v>1.7144044609150417E-3</v>
      </c>
      <c r="L42" s="22">
        <f t="shared" si="29"/>
        <v>1.7144044609150417E-3</v>
      </c>
      <c r="M42" s="24">
        <f t="shared" si="30"/>
        <v>1.4911630993447681E-3</v>
      </c>
      <c r="N42" s="2"/>
      <c r="O42" s="2"/>
      <c r="P42" s="2"/>
      <c r="Q42" s="41"/>
      <c r="R42" s="41"/>
      <c r="S42" s="268"/>
      <c r="T42" s="268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21.527176083690744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43.054352167381488</v>
      </c>
      <c r="AF42" s="122">
        <f t="shared" si="31"/>
        <v>0.25</v>
      </c>
      <c r="AG42" s="147">
        <f t="shared" si="34"/>
        <v>21.527176083690744</v>
      </c>
      <c r="AH42" s="123">
        <f t="shared" si="35"/>
        <v>1</v>
      </c>
      <c r="AI42" s="112">
        <f t="shared" si="35"/>
        <v>86.108704334762976</v>
      </c>
      <c r="AJ42" s="148">
        <f t="shared" si="36"/>
        <v>21.527176083690744</v>
      </c>
      <c r="AK42" s="147">
        <f t="shared" si="37"/>
        <v>64.581528251072228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Sweet poatato: no. local meas</v>
      </c>
      <c r="B43" s="104">
        <f>IF([1]Summ!$J1078="",0,[1]Summ!$J1078)</f>
        <v>750</v>
      </c>
      <c r="C43" s="104">
        <f>IF([1]Summ!$K1078="",0,[1]Summ!$K1078)</f>
        <v>-750</v>
      </c>
      <c r="D43" s="38">
        <f t="shared" si="25"/>
        <v>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0</v>
      </c>
      <c r="J43" s="38">
        <f t="shared" si="33"/>
        <v>652.33866920274977</v>
      </c>
      <c r="K43" s="40">
        <f t="shared" si="28"/>
        <v>1.298791258268971E-2</v>
      </c>
      <c r="L43" s="22">
        <f t="shared" si="29"/>
        <v>1.298791258268971E-2</v>
      </c>
      <c r="M43" s="24">
        <f t="shared" si="30"/>
        <v>1.1296690146551273E-2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163.08466730068744</v>
      </c>
      <c r="AB43" s="156">
        <f>Poor!AB43</f>
        <v>0.25</v>
      </c>
      <c r="AC43" s="147">
        <f t="shared" si="39"/>
        <v>163.08466730068744</v>
      </c>
      <c r="AD43" s="156">
        <f>Poor!AD43</f>
        <v>0.25</v>
      </c>
      <c r="AE43" s="147">
        <f t="shared" si="40"/>
        <v>163.08466730068744</v>
      </c>
      <c r="AF43" s="122">
        <f t="shared" si="31"/>
        <v>0.25</v>
      </c>
      <c r="AG43" s="147">
        <f t="shared" si="34"/>
        <v>163.08466730068744</v>
      </c>
      <c r="AH43" s="123">
        <f t="shared" si="35"/>
        <v>1</v>
      </c>
      <c r="AI43" s="112">
        <f t="shared" si="35"/>
        <v>652.33866920274977</v>
      </c>
      <c r="AJ43" s="148">
        <f t="shared" si="36"/>
        <v>326.16933460137489</v>
      </c>
      <c r="AK43" s="147">
        <f t="shared" si="37"/>
        <v>326.16933460137489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Groundnuts (dry): no. local meas</v>
      </c>
      <c r="B44" s="104">
        <f>IF([1]Summ!$J1079="",0,[1]Summ!$J1079)</f>
        <v>1140</v>
      </c>
      <c r="C44" s="104">
        <f>IF([1]Summ!$K1079="",0,[1]Summ!$K1079)</f>
        <v>-1140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0</v>
      </c>
      <c r="J44" s="38">
        <f t="shared" si="33"/>
        <v>991.55477718817951</v>
      </c>
      <c r="K44" s="40">
        <f t="shared" si="28"/>
        <v>1.974162712568836E-2</v>
      </c>
      <c r="L44" s="22">
        <f t="shared" si="29"/>
        <v>1.974162712568836E-2</v>
      </c>
      <c r="M44" s="24">
        <f t="shared" si="30"/>
        <v>1.7170969022757932E-2</v>
      </c>
      <c r="N44" s="2"/>
      <c r="O44" s="2"/>
      <c r="P44" s="2"/>
      <c r="Q44" s="269"/>
      <c r="R44" s="41"/>
      <c r="S44" s="41"/>
      <c r="T44" s="267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247.88869429704488</v>
      </c>
      <c r="AB44" s="156">
        <f>Poor!AB44</f>
        <v>0.25</v>
      </c>
      <c r="AC44" s="147">
        <f t="shared" si="39"/>
        <v>247.88869429704488</v>
      </c>
      <c r="AD44" s="156">
        <f>Poor!AD44</f>
        <v>0.25</v>
      </c>
      <c r="AE44" s="147">
        <f t="shared" si="40"/>
        <v>247.88869429704488</v>
      </c>
      <c r="AF44" s="122">
        <f t="shared" si="31"/>
        <v>0.25</v>
      </c>
      <c r="AG44" s="147">
        <f t="shared" si="34"/>
        <v>247.88869429704488</v>
      </c>
      <c r="AH44" s="123">
        <f t="shared" si="35"/>
        <v>1</v>
      </c>
      <c r="AI44" s="112">
        <f t="shared" si="35"/>
        <v>991.55477718817951</v>
      </c>
      <c r="AJ44" s="148">
        <f t="shared" si="36"/>
        <v>495.77738859408976</v>
      </c>
      <c r="AK44" s="147">
        <f t="shared" si="37"/>
        <v>495.77738859408976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Irish potato: type</v>
      </c>
      <c r="B45" s="104">
        <f>IF([1]Summ!$J1080="",0,[1]Summ!$J1080)</f>
        <v>280</v>
      </c>
      <c r="C45" s="104">
        <f>IF([1]Summ!$K1080="",0,[1]Summ!$K1080)</f>
        <v>-280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0</v>
      </c>
      <c r="J45" s="38">
        <f t="shared" si="33"/>
        <v>243.53976983569325</v>
      </c>
      <c r="K45" s="40">
        <f t="shared" si="28"/>
        <v>4.8488206975374915E-3</v>
      </c>
      <c r="L45" s="22">
        <f t="shared" si="29"/>
        <v>4.8488206975374915E-3</v>
      </c>
      <c r="M45" s="24">
        <f t="shared" si="30"/>
        <v>4.2174309880458087E-3</v>
      </c>
      <c r="N45" s="2"/>
      <c r="O45" s="2"/>
      <c r="P45" s="2"/>
      <c r="Q45" s="269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60.884942458923312</v>
      </c>
      <c r="AB45" s="156">
        <f>Poor!AB45</f>
        <v>0.25</v>
      </c>
      <c r="AC45" s="147">
        <f t="shared" si="39"/>
        <v>60.884942458923312</v>
      </c>
      <c r="AD45" s="156">
        <f>Poor!AD45</f>
        <v>0.25</v>
      </c>
      <c r="AE45" s="147">
        <f t="shared" si="40"/>
        <v>60.884942458923312</v>
      </c>
      <c r="AF45" s="122">
        <f t="shared" si="31"/>
        <v>0.25</v>
      </c>
      <c r="AG45" s="147">
        <f t="shared" si="34"/>
        <v>60.884942458923312</v>
      </c>
      <c r="AH45" s="123">
        <f t="shared" si="35"/>
        <v>1</v>
      </c>
      <c r="AI45" s="112">
        <f t="shared" si="35"/>
        <v>243.53976983569325</v>
      </c>
      <c r="AJ45" s="148">
        <f t="shared" si="36"/>
        <v>121.76988491784662</v>
      </c>
      <c r="AK45" s="147">
        <f t="shared" si="37"/>
        <v>121.76988491784662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Yam: type</v>
      </c>
      <c r="B46" s="104">
        <f>IF([1]Summ!$J1081="",0,[1]Summ!$J1081)</f>
        <v>500</v>
      </c>
      <c r="C46" s="104">
        <f>IF([1]Summ!$K1081="",0,[1]Summ!$K1081)</f>
        <v>0</v>
      </c>
      <c r="D46" s="38">
        <f t="shared" si="25"/>
        <v>500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500</v>
      </c>
      <c r="J46" s="38">
        <f t="shared" si="33"/>
        <v>500</v>
      </c>
      <c r="K46" s="40">
        <f t="shared" si="28"/>
        <v>8.6586083884598059E-3</v>
      </c>
      <c r="L46" s="22">
        <f t="shared" si="29"/>
        <v>8.6586083884598059E-3</v>
      </c>
      <c r="M46" s="24">
        <f t="shared" si="30"/>
        <v>8.6586083884598059E-3</v>
      </c>
      <c r="N46" s="2"/>
      <c r="O46" s="2"/>
      <c r="P46" s="2"/>
      <c r="Q46" s="269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125</v>
      </c>
      <c r="AB46" s="156">
        <f>Poor!AB46</f>
        <v>0.25</v>
      </c>
      <c r="AC46" s="147">
        <f t="shared" si="39"/>
        <v>125</v>
      </c>
      <c r="AD46" s="156">
        <f>Poor!AD46</f>
        <v>0.25</v>
      </c>
      <c r="AE46" s="147">
        <f t="shared" si="40"/>
        <v>125</v>
      </c>
      <c r="AF46" s="122">
        <f t="shared" si="31"/>
        <v>0.25</v>
      </c>
      <c r="AG46" s="147">
        <f t="shared" si="34"/>
        <v>125</v>
      </c>
      <c r="AH46" s="123">
        <f t="shared" si="35"/>
        <v>1</v>
      </c>
      <c r="AI46" s="112">
        <f t="shared" si="35"/>
        <v>500</v>
      </c>
      <c r="AJ46" s="148">
        <f t="shared" si="36"/>
        <v>250</v>
      </c>
      <c r="AK46" s="147">
        <f t="shared" si="37"/>
        <v>250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Spinach (cash): kg produced</v>
      </c>
      <c r="B47" s="104">
        <f>IF([1]Summ!$J1082="",0,[1]Summ!$J1082)</f>
        <v>300</v>
      </c>
      <c r="C47" s="104">
        <f>IF([1]Summ!$K1082="",0,[1]Summ!$K1082)</f>
        <v>0</v>
      </c>
      <c r="D47" s="38">
        <f t="shared" si="25"/>
        <v>300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300</v>
      </c>
      <c r="J47" s="38">
        <f t="shared" si="33"/>
        <v>300</v>
      </c>
      <c r="K47" s="40">
        <f t="shared" si="28"/>
        <v>5.1951650330758839E-3</v>
      </c>
      <c r="L47" s="22">
        <f t="shared" si="29"/>
        <v>5.1951650330758839E-3</v>
      </c>
      <c r="M47" s="24">
        <f t="shared" si="30"/>
        <v>5.1951650330758839E-3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75</v>
      </c>
      <c r="AB47" s="156">
        <f>Poor!AB47</f>
        <v>0.25</v>
      </c>
      <c r="AC47" s="147">
        <f t="shared" si="39"/>
        <v>75</v>
      </c>
      <c r="AD47" s="156">
        <f>Poor!AD47</f>
        <v>0.25</v>
      </c>
      <c r="AE47" s="147">
        <f t="shared" si="40"/>
        <v>75</v>
      </c>
      <c r="AF47" s="122">
        <f t="shared" si="31"/>
        <v>0.25</v>
      </c>
      <c r="AG47" s="147">
        <f t="shared" si="34"/>
        <v>75</v>
      </c>
      <c r="AH47" s="123">
        <f t="shared" si="35"/>
        <v>1</v>
      </c>
      <c r="AI47" s="112">
        <f t="shared" si="35"/>
        <v>300</v>
      </c>
      <c r="AJ47" s="148">
        <f t="shared" si="36"/>
        <v>150</v>
      </c>
      <c r="AK47" s="147">
        <f t="shared" si="37"/>
        <v>150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Tomatoes (cash): kg produced</v>
      </c>
      <c r="B48" s="104">
        <f>IF([1]Summ!$J1083="",0,[1]Summ!$J1083)</f>
        <v>500</v>
      </c>
      <c r="C48" s="104">
        <f>IF([1]Summ!$K1083="",0,[1]Summ!$K1083)</f>
        <v>0</v>
      </c>
      <c r="D48" s="38">
        <f t="shared" si="25"/>
        <v>500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500</v>
      </c>
      <c r="J48" s="38">
        <f t="shared" si="33"/>
        <v>500</v>
      </c>
      <c r="K48" s="40">
        <f t="shared" si="28"/>
        <v>8.6586083884598059E-3</v>
      </c>
      <c r="L48" s="22">
        <f t="shared" si="29"/>
        <v>8.6586083884598059E-3</v>
      </c>
      <c r="M48" s="24">
        <f t="shared" si="30"/>
        <v>8.6586083884598059E-3</v>
      </c>
      <c r="N48" s="2"/>
      <c r="O48" s="2"/>
      <c r="P48" s="2"/>
      <c r="Q48" s="269"/>
      <c r="R48" s="266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125</v>
      </c>
      <c r="AB48" s="156">
        <f>Poor!AB48</f>
        <v>0.25</v>
      </c>
      <c r="AC48" s="147">
        <f t="shared" si="39"/>
        <v>125</v>
      </c>
      <c r="AD48" s="156">
        <f>Poor!AD48</f>
        <v>0.25</v>
      </c>
      <c r="AE48" s="147">
        <f t="shared" si="40"/>
        <v>125</v>
      </c>
      <c r="AF48" s="122">
        <f t="shared" si="31"/>
        <v>0.25</v>
      </c>
      <c r="AG48" s="147">
        <f t="shared" si="34"/>
        <v>125</v>
      </c>
      <c r="AH48" s="123">
        <f t="shared" si="35"/>
        <v>1</v>
      </c>
      <c r="AI48" s="112">
        <f t="shared" si="35"/>
        <v>500</v>
      </c>
      <c r="AJ48" s="148">
        <f t="shared" si="36"/>
        <v>250</v>
      </c>
      <c r="AK48" s="147">
        <f t="shared" si="37"/>
        <v>250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Cabbage (cash): kg produced</v>
      </c>
      <c r="B49" s="104">
        <f>IF([1]Summ!$J1084="",0,[1]Summ!$J1084)</f>
        <v>300</v>
      </c>
      <c r="C49" s="104">
        <f>IF([1]Summ!$K1084="",0,[1]Summ!$K1084)</f>
        <v>0</v>
      </c>
      <c r="D49" s="38">
        <f t="shared" si="25"/>
        <v>300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300</v>
      </c>
      <c r="J49" s="38">
        <f t="shared" si="33"/>
        <v>300</v>
      </c>
      <c r="K49" s="40">
        <f t="shared" si="28"/>
        <v>5.1951650330758839E-3</v>
      </c>
      <c r="L49" s="22">
        <f t="shared" si="29"/>
        <v>5.1951650330758839E-3</v>
      </c>
      <c r="M49" s="24">
        <f t="shared" si="30"/>
        <v>5.1951650330758839E-3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75</v>
      </c>
      <c r="AB49" s="156">
        <f>Poor!AB49</f>
        <v>0.25</v>
      </c>
      <c r="AC49" s="147">
        <f t="shared" si="39"/>
        <v>75</v>
      </c>
      <c r="AD49" s="156">
        <f>Poor!AD49</f>
        <v>0.25</v>
      </c>
      <c r="AE49" s="147">
        <f t="shared" si="40"/>
        <v>75</v>
      </c>
      <c r="AF49" s="122">
        <f t="shared" si="31"/>
        <v>0.25</v>
      </c>
      <c r="AG49" s="147">
        <f t="shared" si="34"/>
        <v>75</v>
      </c>
      <c r="AH49" s="123">
        <f t="shared" si="35"/>
        <v>1</v>
      </c>
      <c r="AI49" s="112">
        <f t="shared" si="35"/>
        <v>300</v>
      </c>
      <c r="AJ49" s="148">
        <f t="shared" si="36"/>
        <v>150</v>
      </c>
      <c r="AK49" s="147">
        <f t="shared" si="37"/>
        <v>150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Agricultural cash income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Labour migration(formal employment): no. people per HH</v>
      </c>
      <c r="B51" s="104">
        <f>IF([1]Summ!$J1086="",0,[1]Summ!$J1086)</f>
        <v>11000</v>
      </c>
      <c r="C51" s="104">
        <f>IF([1]Summ!$K1086="",0,[1]Summ!$K1086)</f>
        <v>0</v>
      </c>
      <c r="D51" s="38">
        <f t="shared" si="25"/>
        <v>11000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11000</v>
      </c>
      <c r="J51" s="38">
        <f t="shared" si="33"/>
        <v>11000</v>
      </c>
      <c r="K51" s="40">
        <f t="shared" si="28"/>
        <v>0.19048938454611575</v>
      </c>
      <c r="L51" s="22">
        <f t="shared" si="29"/>
        <v>0.19048938454611575</v>
      </c>
      <c r="M51" s="24">
        <f t="shared" si="30"/>
        <v>0.19048938454611575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2750</v>
      </c>
      <c r="AB51" s="156">
        <f>Poor!AB56</f>
        <v>0.25</v>
      </c>
      <c r="AC51" s="147">
        <f t="shared" si="39"/>
        <v>2750</v>
      </c>
      <c r="AD51" s="156">
        <f>Poor!AD56</f>
        <v>0.25</v>
      </c>
      <c r="AE51" s="147">
        <f t="shared" si="40"/>
        <v>2750</v>
      </c>
      <c r="AF51" s="122">
        <f t="shared" si="31"/>
        <v>0.25</v>
      </c>
      <c r="AG51" s="147">
        <f t="shared" si="34"/>
        <v>2750</v>
      </c>
      <c r="AH51" s="123">
        <f t="shared" si="35"/>
        <v>1</v>
      </c>
      <c r="AI51" s="112">
        <f t="shared" si="35"/>
        <v>11000</v>
      </c>
      <c r="AJ51" s="148">
        <f t="shared" si="36"/>
        <v>5500</v>
      </c>
      <c r="AK51" s="147">
        <f t="shared" si="37"/>
        <v>5500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Formal Employment (conservancies, etc.)</v>
      </c>
      <c r="B52" s="104">
        <f>IF([1]Summ!$J1087="",0,[1]Summ!$J1087)</f>
        <v>23760</v>
      </c>
      <c r="C52" s="104">
        <f>IF([1]Summ!$K1087="",0,[1]Summ!$K1087)</f>
        <v>0</v>
      </c>
      <c r="D52" s="38">
        <f t="shared" si="25"/>
        <v>23760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23760</v>
      </c>
      <c r="J52" s="38">
        <f t="shared" si="33"/>
        <v>23760</v>
      </c>
      <c r="K52" s="40">
        <f t="shared" si="28"/>
        <v>0.41145707061961001</v>
      </c>
      <c r="L52" s="22">
        <f t="shared" si="29"/>
        <v>0.41145707061961001</v>
      </c>
      <c r="M52" s="24">
        <f t="shared" si="30"/>
        <v>0.41145707061961001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5940</v>
      </c>
      <c r="AB52" s="156">
        <f>Poor!AB57</f>
        <v>0.25</v>
      </c>
      <c r="AC52" s="147">
        <f t="shared" si="39"/>
        <v>5940</v>
      </c>
      <c r="AD52" s="156">
        <f>Poor!AD57</f>
        <v>0.25</v>
      </c>
      <c r="AE52" s="147">
        <f t="shared" si="40"/>
        <v>5940</v>
      </c>
      <c r="AF52" s="122">
        <f t="shared" si="31"/>
        <v>0.25</v>
      </c>
      <c r="AG52" s="147">
        <f t="shared" si="34"/>
        <v>5940</v>
      </c>
      <c r="AH52" s="123">
        <f t="shared" si="35"/>
        <v>1</v>
      </c>
      <c r="AI52" s="112">
        <f t="shared" si="35"/>
        <v>23760</v>
      </c>
      <c r="AJ52" s="148">
        <f t="shared" si="36"/>
        <v>11880</v>
      </c>
      <c r="AK52" s="147">
        <f t="shared" si="37"/>
        <v>11880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Self-employment -- see Data2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Small business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Social development -- see Data2</v>
      </c>
      <c r="B55" s="104">
        <f>IF([1]Summ!$J1090="",0,[1]Summ!$J1090)</f>
        <v>6162</v>
      </c>
      <c r="C55" s="104">
        <f>IF([1]Summ!$K1090="",0,[1]Summ!$K1090)</f>
        <v>0</v>
      </c>
      <c r="D55" s="38">
        <f t="shared" si="25"/>
        <v>6162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6162</v>
      </c>
      <c r="J55" s="38">
        <f t="shared" si="33"/>
        <v>6162</v>
      </c>
      <c r="K55" s="40">
        <f t="shared" si="43"/>
        <v>0.10670868977937865</v>
      </c>
      <c r="L55" s="22">
        <f t="shared" si="44"/>
        <v>0.10670868977937865</v>
      </c>
      <c r="M55" s="24">
        <f t="shared" si="45"/>
        <v>0.10670868977937865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Public works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Other income: e.g. Credit (cotton loans)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57746</v>
      </c>
      <c r="C65" s="39">
        <f>SUM(C37:C64)</f>
        <v>651</v>
      </c>
      <c r="D65" s="42">
        <f>SUM(D37:D64)</f>
        <v>58397</v>
      </c>
      <c r="E65" s="32"/>
      <c r="F65" s="32"/>
      <c r="G65" s="32"/>
      <c r="H65" s="31"/>
      <c r="I65" s="39">
        <f>SUM(I37:I64)</f>
        <v>58397</v>
      </c>
      <c r="J65" s="39">
        <f>SUM(J37:J64)</f>
        <v>57830.770035132009</v>
      </c>
      <c r="K65" s="40">
        <f>SUM(K37:K64)</f>
        <v>1</v>
      </c>
      <c r="L65" s="22">
        <f>SUM(L37:L64)</f>
        <v>1</v>
      </c>
      <c r="M65" s="24">
        <f>SUM(M37:M64)</f>
        <v>1.0014679810745684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10485.159526346397</v>
      </c>
      <c r="AB65" s="137"/>
      <c r="AC65" s="153">
        <f>SUM(AC37:AC64)</f>
        <v>10547.199927871708</v>
      </c>
      <c r="AD65" s="137"/>
      <c r="AE65" s="153">
        <f>SUM(AE37:AE64)</f>
        <v>10125.571398002534</v>
      </c>
      <c r="AF65" s="137"/>
      <c r="AG65" s="153">
        <f>SUM(AG37:AG64)</f>
        <v>20510.839182911372</v>
      </c>
      <c r="AH65" s="137"/>
      <c r="AI65" s="153">
        <f>SUM(AI37:AI64)</f>
        <v>51668.770035132009</v>
      </c>
      <c r="AJ65" s="153">
        <f>SUM(AJ37:AJ64)</f>
        <v>21032.359454218105</v>
      </c>
      <c r="AK65" s="153">
        <f>SUM(AK37:AK64)</f>
        <v>30636.410580913907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15276.520068318912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>
        <f>I124*I$83</f>
        <v>15276.520068318912</v>
      </c>
      <c r="J70" s="51">
        <f>J124*I$83</f>
        <v>15276.520068318912</v>
      </c>
      <c r="K70" s="40">
        <f>B70/B$76</f>
        <v>0.2645468096200414</v>
      </c>
      <c r="L70" s="22">
        <f>(L124*G$37*F$9/F$7)/B$130</f>
        <v>0.2645468096200414</v>
      </c>
      <c r="M70" s="24">
        <f>J70/B$76</f>
        <v>0.2645468096200414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3819.1300170797281</v>
      </c>
      <c r="AB70" s="156">
        <f>Poor!AB70</f>
        <v>0.25</v>
      </c>
      <c r="AC70" s="147">
        <f>$J70*AB70</f>
        <v>3819.1300170797281</v>
      </c>
      <c r="AD70" s="156">
        <f>Poor!AD70</f>
        <v>0.25</v>
      </c>
      <c r="AE70" s="147">
        <f>$J70*AD70</f>
        <v>3819.1300170797281</v>
      </c>
      <c r="AF70" s="156">
        <f>Poor!AF70</f>
        <v>0.25</v>
      </c>
      <c r="AG70" s="147">
        <f>$J70*AF70</f>
        <v>3819.1300170797281</v>
      </c>
      <c r="AH70" s="155">
        <f>SUM(Z70,AB70,AD70,AF70)</f>
        <v>1</v>
      </c>
      <c r="AI70" s="147">
        <f>SUM(AA70,AC70,AE70,AG70)</f>
        <v>15276.520068318912</v>
      </c>
      <c r="AJ70" s="148">
        <f>(AA70+AC70)</f>
        <v>7638.2600341594562</v>
      </c>
      <c r="AK70" s="147">
        <f>(AE70+AG70)</f>
        <v>7638.2600341594562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15726.000000000002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>
        <f t="shared" ref="I71:I72" si="48">I125*I$83</f>
        <v>15726.000000000002</v>
      </c>
      <c r="J71" s="51">
        <f t="shared" ref="J71:J72" si="49">J125*I$83</f>
        <v>15726.000000000002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>
        <f t="shared" si="48"/>
        <v>0</v>
      </c>
      <c r="J72" s="51">
        <f t="shared" si="49"/>
        <v>27711.349670478841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11510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>
        <f>I127*I$83</f>
        <v>0</v>
      </c>
      <c r="J73" s="51">
        <f>J127*I$83</f>
        <v>0</v>
      </c>
      <c r="K73" s="40">
        <f>B73/B$76</f>
        <v>0.19932116510234474</v>
      </c>
      <c r="L73" s="22">
        <f>(L127*G$37*F$9/F$7)/B$130</f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1035.8999999999999</v>
      </c>
      <c r="AB73" s="156">
        <f>Poor!AB73</f>
        <v>0.09</v>
      </c>
      <c r="AC73" s="147">
        <f>$H$73*$B$73*AB73</f>
        <v>1035.8999999999999</v>
      </c>
      <c r="AD73" s="156">
        <f>Poor!AD73</f>
        <v>0.23</v>
      </c>
      <c r="AE73" s="147">
        <f>$H$73*$B$73*AD73</f>
        <v>2647.3</v>
      </c>
      <c r="AF73" s="156">
        <f>Poor!AF73</f>
        <v>0.59</v>
      </c>
      <c r="AG73" s="147">
        <f>$H$73*$B$73*AF73</f>
        <v>6790.9</v>
      </c>
      <c r="AH73" s="155">
        <f>SUM(Z73,AB73,AD73,AF73)</f>
        <v>1</v>
      </c>
      <c r="AI73" s="147">
        <f>SUM(AA73,AC73,AE73,AG73)</f>
        <v>11510</v>
      </c>
      <c r="AJ73" s="148">
        <f>(AA73+AC73)</f>
        <v>2071.7999999999997</v>
      </c>
      <c r="AK73" s="147">
        <f>(AE73+AG73)</f>
        <v>9438.2000000000007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5762.3010024847899</v>
      </c>
      <c r="C74" s="39"/>
      <c r="D74" s="38"/>
      <c r="E74" s="32"/>
      <c r="F74" s="32"/>
      <c r="G74" s="32"/>
      <c r="H74" s="31"/>
      <c r="I74" s="39">
        <f>I128*I$83</f>
        <v>43120.479931681082</v>
      </c>
      <c r="J74" s="51">
        <f>J128*I$83</f>
        <v>-883.09970366573941</v>
      </c>
      <c r="K74" s="40">
        <f>B74/B$76</f>
        <v>9.9787015593890305E-2</v>
      </c>
      <c r="L74" s="22">
        <f>(L128*G$37*F$9/F$7)/B$130</f>
        <v>9.9787015593890319E-2</v>
      </c>
      <c r="M74" s="24">
        <f>J74/B$76</f>
        <v>-1.5292829004013082E-2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0</v>
      </c>
      <c r="AF74" s="156"/>
      <c r="AG74" s="147">
        <f>AG30*$I$83/4</f>
        <v>276.00399118619731</v>
      </c>
      <c r="AH74" s="155"/>
      <c r="AI74" s="147">
        <f>SUM(AA74,AC74,AE74,AG74)</f>
        <v>276.00399118619731</v>
      </c>
      <c r="AJ74" s="148">
        <f>(AA74+AC74)</f>
        <v>0</v>
      </c>
      <c r="AK74" s="147">
        <f>(AE74+AG74)</f>
        <v>276.00399118619731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23081.734683912116</v>
      </c>
      <c r="AB75" s="158"/>
      <c r="AC75" s="149">
        <f>AA75+AC65-SUM(AC70,AC74)</f>
        <v>29809.804594704099</v>
      </c>
      <c r="AD75" s="158"/>
      <c r="AE75" s="149">
        <f>AC75+AE65-SUM(AE70,AE74)</f>
        <v>36116.245975626909</v>
      </c>
      <c r="AF75" s="158"/>
      <c r="AG75" s="149">
        <f>IF(SUM(AG6:AG29)+((AG65-AG70-$J$75)*4/I$83)&lt;1,0,AG65-AG70-$J$75-(1-SUM(AG6:AG29))*I$83/4)</f>
        <v>16415.705174645445</v>
      </c>
      <c r="AH75" s="134"/>
      <c r="AI75" s="149">
        <f>AI76-SUM(AI70,AI74)</f>
        <v>36116.245975626902</v>
      </c>
      <c r="AJ75" s="151">
        <f>AJ76-SUM(AJ70,AJ74)</f>
        <v>13394.09942005865</v>
      </c>
      <c r="AK75" s="149">
        <f>AJ75+AK76-SUM(AK70,AK74)</f>
        <v>36116.245975626902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57746</v>
      </c>
      <c r="C76" s="39"/>
      <c r="D76" s="38"/>
      <c r="E76" s="32"/>
      <c r="F76" s="32"/>
      <c r="G76" s="32"/>
      <c r="H76" s="31"/>
      <c r="I76" s="39">
        <f>I130*I$83</f>
        <v>58396.999999999993</v>
      </c>
      <c r="J76" s="51">
        <f>J130*I$83</f>
        <v>57830.770035132009</v>
      </c>
      <c r="K76" s="40">
        <f>SUM(K70:K75)</f>
        <v>0.56365499031627642</v>
      </c>
      <c r="L76" s="22">
        <f>SUM(L70:L75)</f>
        <v>0.36433382521393171</v>
      </c>
      <c r="M76" s="24">
        <f>SUM(M70:M75)</f>
        <v>0.24925398061602833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10485.159526346397</v>
      </c>
      <c r="AB76" s="137"/>
      <c r="AC76" s="153">
        <f>AC65</f>
        <v>10547.199927871708</v>
      </c>
      <c r="AD76" s="137"/>
      <c r="AE76" s="153">
        <f>AE65</f>
        <v>10125.571398002534</v>
      </c>
      <c r="AF76" s="137"/>
      <c r="AG76" s="153">
        <f>AG65</f>
        <v>20510.839182911372</v>
      </c>
      <c r="AH76" s="137"/>
      <c r="AI76" s="153">
        <f>SUM(AA76,AC76,AE76,AG76)</f>
        <v>51668.770035132009</v>
      </c>
      <c r="AJ76" s="154">
        <f>SUM(AA76,AC76)</f>
        <v>21032.359454218105</v>
      </c>
      <c r="AK76" s="154">
        <f>SUM(AE76,AG76)</f>
        <v>30636.410580913907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15726.000000000002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16415.705174645445</v>
      </c>
      <c r="AB78" s="112"/>
      <c r="AC78" s="112">
        <f>IF(AA75&lt;0,0,AA75)</f>
        <v>23081.734683912116</v>
      </c>
      <c r="AD78" s="112"/>
      <c r="AE78" s="112">
        <f>AC75</f>
        <v>29809.804594704099</v>
      </c>
      <c r="AF78" s="112"/>
      <c r="AG78" s="112">
        <f>AE75</f>
        <v>36116.245975626909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23081.734683912116</v>
      </c>
      <c r="AB79" s="112"/>
      <c r="AC79" s="112">
        <f>AA79-AA74+AC65-AC70</f>
        <v>29809.804594704099</v>
      </c>
      <c r="AD79" s="112"/>
      <c r="AE79" s="112">
        <f>AC79-AC74+AE65-AE70</f>
        <v>36116.245975626909</v>
      </c>
      <c r="AF79" s="112"/>
      <c r="AG79" s="112">
        <f>AE79-AE74+AG65-AG70</f>
        <v>52807.955141458551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9514.8911524546384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9514.8911524546384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2378.7227881136596</v>
      </c>
      <c r="AB83" s="112"/>
      <c r="AC83" s="165">
        <f>$I$83*AB82/4</f>
        <v>2378.7227881136596</v>
      </c>
      <c r="AD83" s="112"/>
      <c r="AE83" s="165">
        <f>$I$83*AD82/4</f>
        <v>2378.7227881136596</v>
      </c>
      <c r="AF83" s="112"/>
      <c r="AG83" s="165">
        <f>$I$83*AF82/4</f>
        <v>2378.7227881136596</v>
      </c>
      <c r="AH83" s="165">
        <f>SUM(AA83,AC83,AE83,AG83)</f>
        <v>9514.8911524546384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22654.016767876888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22654.016767876888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0.84078733763929303</v>
      </c>
      <c r="C91" s="75">
        <f>(C37/$B$83)</f>
        <v>0.21019683440982326</v>
      </c>
      <c r="D91" s="24">
        <f t="shared" ref="D91" si="51">(B91+C91)</f>
        <v>1.0509841720491162</v>
      </c>
      <c r="H91" s="24">
        <f>(E37*F37/G37*F$7/F$9)</f>
        <v>1</v>
      </c>
      <c r="I91" s="22">
        <f t="shared" ref="I91" si="52">(D91*H91)</f>
        <v>1.0509841720491162</v>
      </c>
      <c r="J91" s="24">
        <f>IF(I$32&lt;=1+I$131,I91,L91+J$33*(I91-L91))</f>
        <v>0.8681581410764031</v>
      </c>
      <c r="K91" s="22">
        <f t="shared" ref="K91" si="53">(B91)</f>
        <v>0.84078733763929303</v>
      </c>
      <c r="L91" s="22">
        <f t="shared" ref="L91" si="54">(K91*H91)</f>
        <v>0.84078733763929303</v>
      </c>
      <c r="M91" s="227">
        <f t="shared" si="50"/>
        <v>0.8681581410764031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0.26274604301227905</v>
      </c>
      <c r="C92" s="75">
        <f t="shared" si="56"/>
        <v>5.2549208602455814E-2</v>
      </c>
      <c r="D92" s="24">
        <f t="shared" ref="D92:D118" si="57">(B92+C92)</f>
        <v>0.31529525161473487</v>
      </c>
      <c r="H92" s="24">
        <f t="shared" ref="H92:H118" si="58">(E38*F38/G38*F$7/F$9)</f>
        <v>1</v>
      </c>
      <c r="I92" s="22">
        <f t="shared" ref="I92:I118" si="59">(D92*H92)</f>
        <v>0.31529525161473487</v>
      </c>
      <c r="J92" s="24">
        <f t="shared" ref="J92:J118" si="60">IF(I$32&lt;=1+I$131,I92,L92+J$33*(I92-L92))</f>
        <v>0.26958874387155657</v>
      </c>
      <c r="K92" s="22">
        <f t="shared" ref="K92:K118" si="61">(B92)</f>
        <v>0.26274604301227905</v>
      </c>
      <c r="L92" s="22">
        <f t="shared" ref="L92:L118" si="62">(K92*H92)</f>
        <v>0.26274604301227905</v>
      </c>
      <c r="M92" s="227">
        <f t="shared" ref="M92:M118" si="63">(J92)</f>
        <v>0.26958874387155657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5.7804129462701394E-2</v>
      </c>
      <c r="C93" s="75">
        <f t="shared" si="64"/>
        <v>0</v>
      </c>
      <c r="D93" s="24">
        <f t="shared" si="57"/>
        <v>5.7804129462701394E-2</v>
      </c>
      <c r="H93" s="24">
        <f t="shared" si="58"/>
        <v>1</v>
      </c>
      <c r="I93" s="22">
        <f t="shared" si="59"/>
        <v>5.7804129462701394E-2</v>
      </c>
      <c r="J93" s="24">
        <f t="shared" si="60"/>
        <v>5.7804129462701394E-2</v>
      </c>
      <c r="K93" s="22">
        <f t="shared" si="61"/>
        <v>5.7804129462701394E-2</v>
      </c>
      <c r="L93" s="22">
        <f t="shared" si="62"/>
        <v>5.7804129462701394E-2</v>
      </c>
      <c r="M93" s="227">
        <f t="shared" si="63"/>
        <v>5.7804129462701394E-2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6.883946326921711E-2</v>
      </c>
      <c r="C94" s="75">
        <f t="shared" si="65"/>
        <v>-6.883946326921711E-2</v>
      </c>
      <c r="D94" s="24">
        <f t="shared" si="57"/>
        <v>0</v>
      </c>
      <c r="H94" s="24">
        <f t="shared" si="58"/>
        <v>1</v>
      </c>
      <c r="I94" s="22">
        <f t="shared" si="59"/>
        <v>0</v>
      </c>
      <c r="J94" s="24">
        <f t="shared" si="60"/>
        <v>5.9875525143563549E-2</v>
      </c>
      <c r="K94" s="22">
        <f t="shared" si="61"/>
        <v>6.883946326921711E-2</v>
      </c>
      <c r="L94" s="22">
        <f t="shared" si="62"/>
        <v>6.883946326921711E-2</v>
      </c>
      <c r="M94" s="227">
        <f t="shared" si="63"/>
        <v>5.9875525143563549E-2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0.13137302150613953</v>
      </c>
      <c r="C95" s="75">
        <f t="shared" si="66"/>
        <v>0.11298079849528</v>
      </c>
      <c r="D95" s="24">
        <f t="shared" si="57"/>
        <v>0.24435382000141953</v>
      </c>
      <c r="H95" s="24">
        <f t="shared" si="58"/>
        <v>1</v>
      </c>
      <c r="I95" s="22">
        <f t="shared" si="59"/>
        <v>0.24435382000141953</v>
      </c>
      <c r="J95" s="24">
        <f t="shared" si="60"/>
        <v>0.14608482835358622</v>
      </c>
      <c r="K95" s="22">
        <f t="shared" si="61"/>
        <v>0.13137302150613953</v>
      </c>
      <c r="L95" s="22">
        <f t="shared" si="62"/>
        <v>0.13137302150613953</v>
      </c>
      <c r="M95" s="227">
        <f t="shared" si="63"/>
        <v>0.14608482835358622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 (Bhece)</v>
      </c>
      <c r="B96" s="75">
        <f t="shared" ref="B96:C96" si="67">(B42/$B$83)</f>
        <v>1.0404743303286251E-2</v>
      </c>
      <c r="C96" s="75">
        <f t="shared" si="67"/>
        <v>-1.0404743303286251E-2</v>
      </c>
      <c r="D96" s="24">
        <f t="shared" si="57"/>
        <v>0</v>
      </c>
      <c r="H96" s="24">
        <f t="shared" si="58"/>
        <v>1</v>
      </c>
      <c r="I96" s="22">
        <f t="shared" si="59"/>
        <v>0</v>
      </c>
      <c r="J96" s="24">
        <f t="shared" si="60"/>
        <v>9.0498885331493015E-3</v>
      </c>
      <c r="K96" s="22">
        <f t="shared" si="61"/>
        <v>1.0404743303286251E-2</v>
      </c>
      <c r="L96" s="22">
        <f t="shared" si="62"/>
        <v>1.0404743303286251E-2</v>
      </c>
      <c r="M96" s="227">
        <f t="shared" si="63"/>
        <v>9.0498885331493015E-3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Sweet poatato: no. local meas</v>
      </c>
      <c r="B97" s="75">
        <f t="shared" ref="B97:C97" si="68">(B43/$B$83)</f>
        <v>7.8823812903683718E-2</v>
      </c>
      <c r="C97" s="75">
        <f t="shared" si="68"/>
        <v>-7.8823812903683718E-2</v>
      </c>
      <c r="D97" s="24">
        <f t="shared" si="57"/>
        <v>0</v>
      </c>
      <c r="H97" s="24">
        <f t="shared" si="58"/>
        <v>1</v>
      </c>
      <c r="I97" s="22">
        <f t="shared" si="59"/>
        <v>0</v>
      </c>
      <c r="J97" s="24">
        <f t="shared" si="60"/>
        <v>6.8559761614767428E-2</v>
      </c>
      <c r="K97" s="22">
        <f t="shared" si="61"/>
        <v>7.8823812903683718E-2</v>
      </c>
      <c r="L97" s="22">
        <f t="shared" si="62"/>
        <v>7.8823812903683718E-2</v>
      </c>
      <c r="M97" s="227">
        <f t="shared" si="63"/>
        <v>6.8559761614767428E-2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ref="B98:C98" si="69">(B44/$B$83)</f>
        <v>0.11981219561359925</v>
      </c>
      <c r="C98" s="75">
        <f t="shared" si="69"/>
        <v>-0.11981219561359925</v>
      </c>
      <c r="D98" s="24">
        <f t="shared" si="57"/>
        <v>0</v>
      </c>
      <c r="H98" s="24">
        <f t="shared" si="58"/>
        <v>1</v>
      </c>
      <c r="I98" s="22">
        <f t="shared" si="59"/>
        <v>0</v>
      </c>
      <c r="J98" s="24">
        <f t="shared" si="60"/>
        <v>0.10421083765444648</v>
      </c>
      <c r="K98" s="22">
        <f t="shared" si="61"/>
        <v>0.11981219561359925</v>
      </c>
      <c r="L98" s="22">
        <f t="shared" si="62"/>
        <v>0.11981219561359925</v>
      </c>
      <c r="M98" s="227">
        <f t="shared" si="63"/>
        <v>0.10421083765444648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Irish potato: type</v>
      </c>
      <c r="B99" s="75">
        <f t="shared" ref="B99:C99" si="70">(B45/$B$83)</f>
        <v>2.9427556817375255E-2</v>
      </c>
      <c r="C99" s="75">
        <f t="shared" si="70"/>
        <v>-2.9427556817375255E-2</v>
      </c>
      <c r="D99" s="24">
        <f t="shared" si="57"/>
        <v>0</v>
      </c>
      <c r="H99" s="24">
        <f t="shared" si="58"/>
        <v>1</v>
      </c>
      <c r="I99" s="22">
        <f t="shared" si="59"/>
        <v>0</v>
      </c>
      <c r="J99" s="24">
        <f t="shared" si="60"/>
        <v>2.5595644336179842E-2</v>
      </c>
      <c r="K99" s="22">
        <f t="shared" si="61"/>
        <v>2.9427556817375255E-2</v>
      </c>
      <c r="L99" s="22">
        <f t="shared" si="62"/>
        <v>2.9427556817375255E-2</v>
      </c>
      <c r="M99" s="227">
        <f t="shared" si="63"/>
        <v>2.5595644336179842E-2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Yam: type</v>
      </c>
      <c r="B100" s="75">
        <f t="shared" ref="B100:C100" si="71">(B46/$B$83)</f>
        <v>5.2549208602455814E-2</v>
      </c>
      <c r="C100" s="75">
        <f t="shared" si="71"/>
        <v>0</v>
      </c>
      <c r="D100" s="24">
        <f t="shared" si="57"/>
        <v>5.2549208602455814E-2</v>
      </c>
      <c r="H100" s="24">
        <f t="shared" si="58"/>
        <v>1</v>
      </c>
      <c r="I100" s="22">
        <f t="shared" si="59"/>
        <v>5.2549208602455814E-2</v>
      </c>
      <c r="J100" s="24">
        <f t="shared" si="60"/>
        <v>5.2549208602455814E-2</v>
      </c>
      <c r="K100" s="22">
        <f t="shared" si="61"/>
        <v>5.2549208602455814E-2</v>
      </c>
      <c r="L100" s="22">
        <f t="shared" si="62"/>
        <v>5.2549208602455814E-2</v>
      </c>
      <c r="M100" s="227">
        <f t="shared" si="63"/>
        <v>5.2549208602455814E-2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Spinach (cash): kg produced</v>
      </c>
      <c r="B101" s="75">
        <f t="shared" ref="B101:C101" si="72">(B47/$B$83)</f>
        <v>3.152952516147349E-2</v>
      </c>
      <c r="C101" s="75">
        <f t="shared" si="72"/>
        <v>0</v>
      </c>
      <c r="D101" s="24">
        <f t="shared" si="57"/>
        <v>3.152952516147349E-2</v>
      </c>
      <c r="H101" s="24">
        <f t="shared" si="58"/>
        <v>1</v>
      </c>
      <c r="I101" s="22">
        <f t="shared" si="59"/>
        <v>3.152952516147349E-2</v>
      </c>
      <c r="J101" s="24">
        <f t="shared" si="60"/>
        <v>3.152952516147349E-2</v>
      </c>
      <c r="K101" s="22">
        <f t="shared" si="61"/>
        <v>3.152952516147349E-2</v>
      </c>
      <c r="L101" s="22">
        <f t="shared" si="62"/>
        <v>3.152952516147349E-2</v>
      </c>
      <c r="M101" s="227">
        <f t="shared" si="63"/>
        <v>3.152952516147349E-2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Tomatoes (cash): kg produced</v>
      </c>
      <c r="B102" s="75">
        <f t="shared" ref="B102:C102" si="73">(B48/$B$83)</f>
        <v>5.2549208602455814E-2</v>
      </c>
      <c r="C102" s="75">
        <f t="shared" si="73"/>
        <v>0</v>
      </c>
      <c r="D102" s="24">
        <f t="shared" si="57"/>
        <v>5.2549208602455814E-2</v>
      </c>
      <c r="H102" s="24">
        <f t="shared" si="58"/>
        <v>1</v>
      </c>
      <c r="I102" s="22">
        <f t="shared" si="59"/>
        <v>5.2549208602455814E-2</v>
      </c>
      <c r="J102" s="24">
        <f t="shared" si="60"/>
        <v>5.2549208602455814E-2</v>
      </c>
      <c r="K102" s="22">
        <f t="shared" si="61"/>
        <v>5.2549208602455814E-2</v>
      </c>
      <c r="L102" s="22">
        <f t="shared" si="62"/>
        <v>5.2549208602455814E-2</v>
      </c>
      <c r="M102" s="227">
        <f t="shared" si="63"/>
        <v>5.2549208602455814E-2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Cabbage (cash): kg produced</v>
      </c>
      <c r="B103" s="75">
        <f t="shared" ref="B103:C103" si="74">(B49/$B$83)</f>
        <v>3.152952516147349E-2</v>
      </c>
      <c r="C103" s="75">
        <f t="shared" si="74"/>
        <v>0</v>
      </c>
      <c r="D103" s="24">
        <f t="shared" si="57"/>
        <v>3.152952516147349E-2</v>
      </c>
      <c r="H103" s="24">
        <f t="shared" si="58"/>
        <v>1</v>
      </c>
      <c r="I103" s="22">
        <f t="shared" si="59"/>
        <v>3.152952516147349E-2</v>
      </c>
      <c r="J103" s="24">
        <f t="shared" si="60"/>
        <v>3.152952516147349E-2</v>
      </c>
      <c r="K103" s="22">
        <f t="shared" si="61"/>
        <v>3.152952516147349E-2</v>
      </c>
      <c r="L103" s="22">
        <f t="shared" si="62"/>
        <v>3.152952516147349E-2</v>
      </c>
      <c r="M103" s="227">
        <f t="shared" si="63"/>
        <v>3.152952516147349E-2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Agricultural cash income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1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Labour migration(formal employment): no. people per HH</v>
      </c>
      <c r="B105" s="75">
        <f t="shared" ref="B105:C105" si="76">(B51/$B$83)</f>
        <v>1.1560825892540278</v>
      </c>
      <c r="C105" s="75">
        <f t="shared" si="76"/>
        <v>0</v>
      </c>
      <c r="D105" s="24">
        <f t="shared" si="57"/>
        <v>1.1560825892540278</v>
      </c>
      <c r="H105" s="24">
        <f t="shared" si="58"/>
        <v>1</v>
      </c>
      <c r="I105" s="22">
        <f t="shared" si="59"/>
        <v>1.1560825892540278</v>
      </c>
      <c r="J105" s="24">
        <f t="shared" si="60"/>
        <v>1.1560825892540278</v>
      </c>
      <c r="K105" s="22">
        <f t="shared" si="61"/>
        <v>1.1560825892540278</v>
      </c>
      <c r="L105" s="22">
        <f t="shared" si="62"/>
        <v>1.1560825892540278</v>
      </c>
      <c r="M105" s="227">
        <f t="shared" si="63"/>
        <v>1.1560825892540278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Formal Employment (conservancies, etc.)</v>
      </c>
      <c r="B106" s="75">
        <f t="shared" ref="B106:C106" si="77">(B52/$B$83)</f>
        <v>2.4971383927887003</v>
      </c>
      <c r="C106" s="75">
        <f t="shared" si="77"/>
        <v>0</v>
      </c>
      <c r="D106" s="24">
        <f t="shared" si="57"/>
        <v>2.4971383927887003</v>
      </c>
      <c r="H106" s="24">
        <f t="shared" si="58"/>
        <v>1</v>
      </c>
      <c r="I106" s="22">
        <f t="shared" si="59"/>
        <v>2.4971383927887003</v>
      </c>
      <c r="J106" s="24">
        <f t="shared" si="60"/>
        <v>2.4971383927887003</v>
      </c>
      <c r="K106" s="22">
        <f t="shared" si="61"/>
        <v>2.4971383927887003</v>
      </c>
      <c r="L106" s="22">
        <f t="shared" si="62"/>
        <v>2.4971383927887003</v>
      </c>
      <c r="M106" s="227">
        <f t="shared" si="63"/>
        <v>2.4971383927887003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Self-employment -- see Data2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1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Small business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1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Social development -- see Data2</v>
      </c>
      <c r="B109" s="75">
        <f t="shared" ref="B109:C109" si="80">(B55/$B$83)</f>
        <v>0.64761644681666541</v>
      </c>
      <c r="C109" s="75">
        <f t="shared" si="80"/>
        <v>0</v>
      </c>
      <c r="D109" s="24">
        <f t="shared" si="57"/>
        <v>0.64761644681666541</v>
      </c>
      <c r="H109" s="24">
        <f t="shared" si="58"/>
        <v>1</v>
      </c>
      <c r="I109" s="22">
        <f t="shared" si="59"/>
        <v>0.64761644681666541</v>
      </c>
      <c r="J109" s="24">
        <f t="shared" si="60"/>
        <v>0.64761644681666541</v>
      </c>
      <c r="K109" s="22">
        <f t="shared" si="61"/>
        <v>0.64761644681666541</v>
      </c>
      <c r="L109" s="22">
        <f t="shared" si="62"/>
        <v>0.64761644681666541</v>
      </c>
      <c r="M109" s="227">
        <f t="shared" si="63"/>
        <v>0.64761644681666541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Public works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1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Other income: e.g. Credit (cotton loans)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1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1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1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6.0690131999148269</v>
      </c>
      <c r="C119" s="22">
        <f>SUM(C91:C118)</f>
        <v>6.8419069600397425E-2</v>
      </c>
      <c r="D119" s="24">
        <f>SUM(D91:D118)</f>
        <v>6.1374322695152239</v>
      </c>
      <c r="E119" s="22"/>
      <c r="F119" s="2"/>
      <c r="G119" s="2"/>
      <c r="H119" s="31"/>
      <c r="I119" s="22">
        <f>SUM(I91:I118)</f>
        <v>6.1374322695152239</v>
      </c>
      <c r="J119" s="24">
        <f>SUM(J91:J118)</f>
        <v>6.077922396433606</v>
      </c>
      <c r="K119" s="22">
        <f>SUM(K91:K118)</f>
        <v>6.0690131999148269</v>
      </c>
      <c r="L119" s="22">
        <f>SUM(L91:L118)</f>
        <v>6.0690131999148269</v>
      </c>
      <c r="M119" s="57">
        <f t="shared" si="50"/>
        <v>6.077922396433606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1.6055380795793861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1.6055380795793861</v>
      </c>
      <c r="J124" s="237">
        <f>IF(SUMPRODUCT($B$124:$B124,$H$124:$H124)&lt;J$119,($B124*$H124),J$119)</f>
        <v>1.6055380795793861</v>
      </c>
      <c r="K124" s="22">
        <f>(B124)</f>
        <v>1.6055380795793861</v>
      </c>
      <c r="L124" s="29">
        <f>IF(SUMPRODUCT($B$124:$B124,$H$124:$H124)&lt;L$119,($B124*$H124),L$119)</f>
        <v>1.6055380795793861</v>
      </c>
      <c r="M124" s="57">
        <f t="shared" si="90"/>
        <v>1.6055380795793861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1.6527777089644404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1.6527777089644404</v>
      </c>
      <c r="J125" s="237">
        <f>IF(SUMPRODUCT($B$124:$B125,$H$124:$H125)&lt;J$119,($B125*$H125),IF(SUMPRODUCT($B$124:$B124,$H$124:$H124)&lt;J$119,J$119-SUMPRODUCT($B$124:$B124,$H$124:$H124),0))</f>
        <v>1.6527777089644404</v>
      </c>
      <c r="K125" s="22">
        <f t="shared" ref="K125:K126" si="91">(B125)</f>
        <v>1.6527777089644404</v>
      </c>
      <c r="L125" s="29">
        <f>IF(SUMPRODUCT($B$124:$B125,$H$124:$H125)&lt;L$119,($B125*$H125),IF(SUMPRODUCT($B$124:$B124,$H$124:$H124)&lt;L$119,L$119-SUMPRODUCT($B$124:$B124,$H$124:$H124),0))</f>
        <v>1.6527777089644404</v>
      </c>
      <c r="M125" s="57">
        <f t="shared" ref="M125:M126" si="92">(J125)</f>
        <v>1.6527777089644404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3.2803317977997017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2.9124189889791756</v>
      </c>
      <c r="K126" s="22">
        <f t="shared" si="91"/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2.2050886965515737</v>
      </c>
      <c r="M126" s="57">
        <f t="shared" si="92"/>
        <v>2.9124189889791756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1.2096827820285327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1.2096827820285327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0.60560871481942702</v>
      </c>
      <c r="C128" s="2"/>
      <c r="D128" s="31"/>
      <c r="E128" s="2"/>
      <c r="F128" s="2"/>
      <c r="G128" s="2"/>
      <c r="H128" s="24"/>
      <c r="I128" s="29">
        <f>(I30)</f>
        <v>4.531894189935838</v>
      </c>
      <c r="J128" s="228">
        <f>(J30)</f>
        <v>-9.2812381089395712E-2</v>
      </c>
      <c r="K128" s="22">
        <f>(B128)</f>
        <v>0.60560871481942702</v>
      </c>
      <c r="L128" s="22">
        <f>IF(L124=L119,0,(L119-L124)/(B119-B124)*K128)</f>
        <v>0.60560871481942702</v>
      </c>
      <c r="M128" s="57">
        <f t="shared" si="90"/>
        <v>-9.2812381089395712E-2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6.0690131999148269</v>
      </c>
      <c r="C130" s="2"/>
      <c r="D130" s="31"/>
      <c r="E130" s="2"/>
      <c r="F130" s="2"/>
      <c r="G130" s="2"/>
      <c r="H130" s="24"/>
      <c r="I130" s="29">
        <f>(I119)</f>
        <v>6.1374322695152239</v>
      </c>
      <c r="J130" s="228">
        <f>(J119)</f>
        <v>6.077922396433606</v>
      </c>
      <c r="K130" s="22">
        <f>(B130)</f>
        <v>6.0690131999148269</v>
      </c>
      <c r="L130" s="22">
        <f>(L119)</f>
        <v>6.0690131999148269</v>
      </c>
      <c r="M130" s="57">
        <f t="shared" si="90"/>
        <v>6.077922396433606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1.6527777089644404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07" priority="116" operator="equal">
      <formula>16</formula>
    </cfRule>
    <cfRule type="cellIs" dxfId="106" priority="117" operator="equal">
      <formula>15</formula>
    </cfRule>
    <cfRule type="cellIs" dxfId="105" priority="118" operator="equal">
      <formula>14</formula>
    </cfRule>
    <cfRule type="cellIs" dxfId="104" priority="119" operator="equal">
      <formula>13</formula>
    </cfRule>
    <cfRule type="cellIs" dxfId="103" priority="120" operator="equal">
      <formula>12</formula>
    </cfRule>
    <cfRule type="cellIs" dxfId="102" priority="121" operator="equal">
      <formula>11</formula>
    </cfRule>
    <cfRule type="cellIs" dxfId="101" priority="122" operator="equal">
      <formula>10</formula>
    </cfRule>
    <cfRule type="cellIs" dxfId="100" priority="123" operator="equal">
      <formula>9</formula>
    </cfRule>
    <cfRule type="cellIs" dxfId="99" priority="124" operator="equal">
      <formula>8</formula>
    </cfRule>
    <cfRule type="cellIs" dxfId="98" priority="125" operator="equal">
      <formula>7</formula>
    </cfRule>
    <cfRule type="cellIs" dxfId="97" priority="126" operator="equal">
      <formula>6</formula>
    </cfRule>
    <cfRule type="cellIs" dxfId="96" priority="127" operator="equal">
      <formula>5</formula>
    </cfRule>
    <cfRule type="cellIs" dxfId="95" priority="128" operator="equal">
      <formula>4</formula>
    </cfRule>
    <cfRule type="cellIs" dxfId="94" priority="129" operator="equal">
      <formula>3</formula>
    </cfRule>
    <cfRule type="cellIs" dxfId="93" priority="130" operator="equal">
      <formula>2</formula>
    </cfRule>
    <cfRule type="cellIs" dxfId="92" priority="131" operator="equal">
      <formula>1</formula>
    </cfRule>
  </conditionalFormatting>
  <conditionalFormatting sqref="N29">
    <cfRule type="cellIs" dxfId="91" priority="100" operator="equal">
      <formula>16</formula>
    </cfRule>
    <cfRule type="cellIs" dxfId="90" priority="101" operator="equal">
      <formula>15</formula>
    </cfRule>
    <cfRule type="cellIs" dxfId="89" priority="102" operator="equal">
      <formula>14</formula>
    </cfRule>
    <cfRule type="cellIs" dxfId="88" priority="103" operator="equal">
      <formula>13</formula>
    </cfRule>
    <cfRule type="cellIs" dxfId="87" priority="104" operator="equal">
      <formula>12</formula>
    </cfRule>
    <cfRule type="cellIs" dxfId="86" priority="105" operator="equal">
      <formula>11</formula>
    </cfRule>
    <cfRule type="cellIs" dxfId="85" priority="106" operator="equal">
      <formula>10</formula>
    </cfRule>
    <cfRule type="cellIs" dxfId="84" priority="107" operator="equal">
      <formula>9</formula>
    </cfRule>
    <cfRule type="cellIs" dxfId="83" priority="108" operator="equal">
      <formula>8</formula>
    </cfRule>
    <cfRule type="cellIs" dxfId="82" priority="109" operator="equal">
      <formula>7</formula>
    </cfRule>
    <cfRule type="cellIs" dxfId="81" priority="110" operator="equal">
      <formula>6</formula>
    </cfRule>
    <cfRule type="cellIs" dxfId="80" priority="111" operator="equal">
      <formula>5</formula>
    </cfRule>
    <cfRule type="cellIs" dxfId="79" priority="112" operator="equal">
      <formula>4</formula>
    </cfRule>
    <cfRule type="cellIs" dxfId="78" priority="113" operator="equal">
      <formula>3</formula>
    </cfRule>
    <cfRule type="cellIs" dxfId="77" priority="114" operator="equal">
      <formula>2</formula>
    </cfRule>
    <cfRule type="cellIs" dxfId="76" priority="115" operator="equal">
      <formula>1</formula>
    </cfRule>
  </conditionalFormatting>
  <conditionalFormatting sqref="N113:N118">
    <cfRule type="cellIs" dxfId="75" priority="52" operator="equal">
      <formula>16</formula>
    </cfRule>
    <cfRule type="cellIs" dxfId="74" priority="53" operator="equal">
      <formula>15</formula>
    </cfRule>
    <cfRule type="cellIs" dxfId="73" priority="54" operator="equal">
      <formula>14</formula>
    </cfRule>
    <cfRule type="cellIs" dxfId="72" priority="55" operator="equal">
      <formula>13</formula>
    </cfRule>
    <cfRule type="cellIs" dxfId="71" priority="56" operator="equal">
      <formula>12</formula>
    </cfRule>
    <cfRule type="cellIs" dxfId="70" priority="57" operator="equal">
      <formula>11</formula>
    </cfRule>
    <cfRule type="cellIs" dxfId="69" priority="58" operator="equal">
      <formula>10</formula>
    </cfRule>
    <cfRule type="cellIs" dxfId="68" priority="59" operator="equal">
      <formula>9</formula>
    </cfRule>
    <cfRule type="cellIs" dxfId="67" priority="60" operator="equal">
      <formula>8</formula>
    </cfRule>
    <cfRule type="cellIs" dxfId="66" priority="61" operator="equal">
      <formula>7</formula>
    </cfRule>
    <cfRule type="cellIs" dxfId="65" priority="62" operator="equal">
      <formula>6</formula>
    </cfRule>
    <cfRule type="cellIs" dxfId="64" priority="63" operator="equal">
      <formula>5</formula>
    </cfRule>
    <cfRule type="cellIs" dxfId="63" priority="64" operator="equal">
      <formula>4</formula>
    </cfRule>
    <cfRule type="cellIs" dxfId="62" priority="65" operator="equal">
      <formula>3</formula>
    </cfRule>
    <cfRule type="cellIs" dxfId="61" priority="66" operator="equal">
      <formula>2</formula>
    </cfRule>
    <cfRule type="cellIs" dxfId="60" priority="67" operator="equal">
      <formula>1</formula>
    </cfRule>
  </conditionalFormatting>
  <conditionalFormatting sqref="N6:N28">
    <cfRule type="cellIs" dxfId="59" priority="36" operator="equal">
      <formula>16</formula>
    </cfRule>
    <cfRule type="cellIs" dxfId="58" priority="37" operator="equal">
      <formula>15</formula>
    </cfRule>
    <cfRule type="cellIs" dxfId="57" priority="38" operator="equal">
      <formula>14</formula>
    </cfRule>
    <cfRule type="cellIs" dxfId="56" priority="39" operator="equal">
      <formula>13</formula>
    </cfRule>
    <cfRule type="cellIs" dxfId="55" priority="40" operator="equal">
      <formula>12</formula>
    </cfRule>
    <cfRule type="cellIs" dxfId="54" priority="41" operator="equal">
      <formula>11</formula>
    </cfRule>
    <cfRule type="cellIs" dxfId="53" priority="42" operator="equal">
      <formula>10</formula>
    </cfRule>
    <cfRule type="cellIs" dxfId="52" priority="43" operator="equal">
      <formula>9</formula>
    </cfRule>
    <cfRule type="cellIs" dxfId="51" priority="44" operator="equal">
      <formula>8</formula>
    </cfRule>
    <cfRule type="cellIs" dxfId="50" priority="45" operator="equal">
      <formula>7</formula>
    </cfRule>
    <cfRule type="cellIs" dxfId="49" priority="46" operator="equal">
      <formula>6</formula>
    </cfRule>
    <cfRule type="cellIs" dxfId="48" priority="47" operator="equal">
      <formula>5</formula>
    </cfRule>
    <cfRule type="cellIs" dxfId="47" priority="48" operator="equal">
      <formula>4</formula>
    </cfRule>
    <cfRule type="cellIs" dxfId="46" priority="49" operator="equal">
      <formula>3</formula>
    </cfRule>
    <cfRule type="cellIs" dxfId="45" priority="50" operator="equal">
      <formula>2</formula>
    </cfRule>
    <cfRule type="cellIs" dxfId="44" priority="51" operator="equal">
      <formula>1</formula>
    </cfRule>
  </conditionalFormatting>
  <conditionalFormatting sqref="N91:N104">
    <cfRule type="cellIs" dxfId="43" priority="20" operator="equal">
      <formula>16</formula>
    </cfRule>
    <cfRule type="cellIs" dxfId="42" priority="21" operator="equal">
      <formula>15</formula>
    </cfRule>
    <cfRule type="cellIs" dxfId="41" priority="22" operator="equal">
      <formula>14</formula>
    </cfRule>
    <cfRule type="cellIs" dxfId="40" priority="23" operator="equal">
      <formula>13</formula>
    </cfRule>
    <cfRule type="cellIs" dxfId="39" priority="24" operator="equal">
      <formula>12</formula>
    </cfRule>
    <cfRule type="cellIs" dxfId="38" priority="25" operator="equal">
      <formula>11</formula>
    </cfRule>
    <cfRule type="cellIs" dxfId="37" priority="26" operator="equal">
      <formula>10</formula>
    </cfRule>
    <cfRule type="cellIs" dxfId="36" priority="27" operator="equal">
      <formula>9</formula>
    </cfRule>
    <cfRule type="cellIs" dxfId="35" priority="28" operator="equal">
      <formula>8</formula>
    </cfRule>
    <cfRule type="cellIs" dxfId="34" priority="29" operator="equal">
      <formula>7</formula>
    </cfRule>
    <cfRule type="cellIs" dxfId="33" priority="30" operator="equal">
      <formula>6</formula>
    </cfRule>
    <cfRule type="cellIs" dxfId="32" priority="31" operator="equal">
      <formula>5</formula>
    </cfRule>
    <cfRule type="cellIs" dxfId="31" priority="32" operator="equal">
      <formula>4</formula>
    </cfRule>
    <cfRule type="cellIs" dxfId="30" priority="33" operator="equal">
      <formula>3</formula>
    </cfRule>
    <cfRule type="cellIs" dxfId="29" priority="34" operator="equal">
      <formula>2</formula>
    </cfRule>
    <cfRule type="cellIs" dxfId="28" priority="35" operator="equal">
      <formula>1</formula>
    </cfRule>
  </conditionalFormatting>
  <conditionalFormatting sqref="N105:N112">
    <cfRule type="cellIs" dxfId="27" priority="4" operator="equal">
      <formula>16</formula>
    </cfRule>
    <cfRule type="cellIs" dxfId="26" priority="5" operator="equal">
      <formula>15</formula>
    </cfRule>
    <cfRule type="cellIs" dxfId="25" priority="6" operator="equal">
      <formula>14</formula>
    </cfRule>
    <cfRule type="cellIs" dxfId="24" priority="7" operator="equal">
      <formula>13</formula>
    </cfRule>
    <cfRule type="cellIs" dxfId="23" priority="8" operator="equal">
      <formula>12</formula>
    </cfRule>
    <cfRule type="cellIs" dxfId="22" priority="9" operator="equal">
      <formula>11</formula>
    </cfRule>
    <cfRule type="cellIs" dxfId="21" priority="10" operator="equal">
      <formula>10</formula>
    </cfRule>
    <cfRule type="cellIs" dxfId="20" priority="11" operator="equal">
      <formula>9</formula>
    </cfRule>
    <cfRule type="cellIs" dxfId="19" priority="12" operator="equal">
      <formula>8</formula>
    </cfRule>
    <cfRule type="cellIs" dxfId="18" priority="13" operator="equal">
      <formula>7</formula>
    </cfRule>
    <cfRule type="cellIs" dxfId="17" priority="14" operator="equal">
      <formula>6</formula>
    </cfRule>
    <cfRule type="cellIs" dxfId="16" priority="15" operator="equal">
      <formula>5</formula>
    </cfRule>
    <cfRule type="cellIs" dxfId="15" priority="16" operator="equal">
      <formula>4</formula>
    </cfRule>
    <cfRule type="cellIs" dxfId="14" priority="17" operator="equal">
      <formula>3</formula>
    </cfRule>
    <cfRule type="cellIs" dxfId="13" priority="18" operator="equal">
      <formula>2</formula>
    </cfRule>
    <cfRule type="cellIs" dxfId="12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0" t="str">
        <f>Poor!A1</f>
        <v>ZACNI: 59106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V.Poor!A3</f>
        <v>Sources of Food : Very Poor HHs</v>
      </c>
      <c r="C3" s="262"/>
      <c r="D3" s="262"/>
      <c r="E3" s="262"/>
      <c r="F3" s="245"/>
      <c r="G3" s="259" t="str">
        <f>Poor!A3</f>
        <v>Sources of Food : Poor HHs</v>
      </c>
      <c r="H3" s="259"/>
      <c r="I3" s="259"/>
      <c r="J3" s="259"/>
      <c r="K3" s="246"/>
      <c r="L3" s="259" t="str">
        <f>Middle!A3</f>
        <v>Sources of Food : Middle HHs</v>
      </c>
      <c r="M3" s="259"/>
      <c r="N3" s="259"/>
      <c r="O3" s="259"/>
      <c r="P3" s="259"/>
      <c r="Q3" s="247"/>
      <c r="R3" s="259" t="str">
        <f>Rich!A3</f>
        <v>Sources of Food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E57" workbookViewId="0">
      <selection activeCell="X78" sqref="X7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4" t="str">
        <f>Poor!A1</f>
        <v>ZACNI: 59106</v>
      </c>
      <c r="L2" s="264"/>
      <c r="M2" s="264"/>
      <c r="N2" s="264"/>
      <c r="O2" s="264"/>
      <c r="P2" s="264"/>
      <c r="Q2" s="264"/>
      <c r="R2" s="87"/>
      <c r="S2" s="87"/>
      <c r="T2" s="87"/>
      <c r="U2" s="87"/>
      <c r="V2" s="87"/>
    </row>
    <row r="3" spans="1:22" s="92" customFormat="1" ht="17">
      <c r="A3" s="90"/>
      <c r="B3" s="89"/>
      <c r="C3" s="265" t="str">
        <f>V.Poor!A34</f>
        <v>Income : Very Poor HHs</v>
      </c>
      <c r="D3" s="265"/>
      <c r="E3" s="265"/>
      <c r="F3" s="90"/>
      <c r="G3" s="263" t="str">
        <f>Poor!A34</f>
        <v>Income : Poor HHs</v>
      </c>
      <c r="H3" s="263"/>
      <c r="I3" s="263"/>
      <c r="J3" s="263"/>
      <c r="K3" s="89"/>
      <c r="L3" s="263" t="str">
        <f>Middle!A34</f>
        <v>Income : Middle HHs</v>
      </c>
      <c r="M3" s="263"/>
      <c r="N3" s="263"/>
      <c r="O3" s="263"/>
      <c r="P3" s="263"/>
      <c r="Q3" s="91"/>
      <c r="R3" s="263" t="str">
        <f>Rich!A34</f>
        <v>Income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2670.7288927413665</v>
      </c>
      <c r="C72" s="109">
        <f>Poor!R7</f>
        <v>2957.4715602296419</v>
      </c>
      <c r="D72" s="109">
        <f>Middle!R7</f>
        <v>4116.2430518819356</v>
      </c>
      <c r="E72" s="109">
        <f>Rich!R7</f>
        <v>4162.8069563668005</v>
      </c>
      <c r="F72" s="109">
        <f>V.Poor!T7</f>
        <v>2776.1504504485038</v>
      </c>
      <c r="G72" s="109">
        <f>Poor!T7</f>
        <v>3358.1307240101223</v>
      </c>
      <c r="H72" s="109">
        <f>Middle!T7</f>
        <v>4287.3633781078943</v>
      </c>
      <c r="I72" s="109">
        <f>Rich!T7</f>
        <v>4307.5510261618347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836</v>
      </c>
      <c r="D73" s="109">
        <f>Middle!R8</f>
        <v>3621</v>
      </c>
      <c r="E73" s="109">
        <f>Rich!R8</f>
        <v>5132.4444444444434</v>
      </c>
      <c r="F73" s="109">
        <f>V.Poor!T8</f>
        <v>0</v>
      </c>
      <c r="G73" s="109">
        <f>Poor!T8</f>
        <v>150</v>
      </c>
      <c r="H73" s="109">
        <f>Middle!T8</f>
        <v>3610.7119657315552</v>
      </c>
      <c r="I73" s="109">
        <f>Rich!T8</f>
        <v>4918.4286807180852</v>
      </c>
    </row>
    <row r="74" spans="1:9">
      <c r="A74" t="str">
        <f>V.Poor!Q9</f>
        <v>Animal products consumed</v>
      </c>
      <c r="B74" s="109">
        <f>V.Poor!R9</f>
        <v>188.88628953908511</v>
      </c>
      <c r="C74" s="109">
        <f>Poor!R9</f>
        <v>291.91926659903811</v>
      </c>
      <c r="D74" s="109">
        <f>Middle!R9</f>
        <v>503.01017797997002</v>
      </c>
      <c r="E74" s="109">
        <f>Rich!R9</f>
        <v>1310.1410317375498</v>
      </c>
      <c r="F74" s="109">
        <f>V.Poor!T9</f>
        <v>188.88628953908511</v>
      </c>
      <c r="G74" s="109">
        <f>Poor!T9</f>
        <v>291.91926659903811</v>
      </c>
      <c r="H74" s="109">
        <f>Middle!T9</f>
        <v>503.01017797997002</v>
      </c>
      <c r="I74" s="109">
        <f>Rich!T9</f>
        <v>1310.1410317375498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500</v>
      </c>
      <c r="D76" s="109">
        <f>Middle!R11</f>
        <v>3500</v>
      </c>
      <c r="E76" s="109">
        <f>Rich!R11</f>
        <v>9822.2222222222226</v>
      </c>
      <c r="F76" s="109">
        <f>V.Poor!T11</f>
        <v>0</v>
      </c>
      <c r="G76" s="109">
        <f>Poor!T11</f>
        <v>500</v>
      </c>
      <c r="H76" s="109">
        <f>Middle!T11</f>
        <v>3675.8638336486242</v>
      </c>
      <c r="I76" s="109">
        <f>Rich!T11</f>
        <v>10111.589128288149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99.006477745203938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102.22951253658557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1749.301602262017</v>
      </c>
      <c r="D78" s="109">
        <f>Middle!R13</f>
        <v>752</v>
      </c>
      <c r="E78" s="109">
        <f>Rich!R13</f>
        <v>0</v>
      </c>
      <c r="F78" s="109">
        <f>V.Poor!T13</f>
        <v>0</v>
      </c>
      <c r="G78" s="109">
        <f>Poor!T13</f>
        <v>1749.301602262017</v>
      </c>
      <c r="H78" s="109">
        <f>Middle!T13</f>
        <v>752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30897.777777777777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30897.777777777777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371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371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429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444.08911692705198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2160</v>
      </c>
      <c r="E82" s="109">
        <f>Rich!R17</f>
        <v>0</v>
      </c>
      <c r="F82" s="109">
        <f>V.Poor!T17</f>
        <v>0</v>
      </c>
      <c r="G82" s="109">
        <f>Poor!T17</f>
        <v>0</v>
      </c>
      <c r="H82" s="109">
        <f>Middle!T17</f>
        <v>2160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1006.8667886195384</v>
      </c>
      <c r="C83" s="109">
        <f>Poor!R18</f>
        <v>1006.8667886195384</v>
      </c>
      <c r="D83" s="109">
        <f>Middle!R18</f>
        <v>1006.8667886195384</v>
      </c>
      <c r="E83" s="109">
        <f>Rich!R18</f>
        <v>894.99270099514524</v>
      </c>
      <c r="F83" s="109">
        <f>V.Poor!T18</f>
        <v>1006.8667886195384</v>
      </c>
      <c r="G83" s="109">
        <f>Poor!T18</f>
        <v>1006.8667886195384</v>
      </c>
      <c r="H83" s="109">
        <f>Middle!T18</f>
        <v>1006.8667886195384</v>
      </c>
      <c r="I83" s="109">
        <f>Rich!T18</f>
        <v>894.99270099514524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344.77375954295883</v>
      </c>
      <c r="E84" s="109">
        <f>Rich!R19</f>
        <v>669.09362690294768</v>
      </c>
      <c r="F84" s="109">
        <f>V.Poor!T19</f>
        <v>0</v>
      </c>
      <c r="G84" s="109">
        <f>Poor!T19</f>
        <v>0</v>
      </c>
      <c r="H84" s="109">
        <f>Middle!T19</f>
        <v>344.77375954295883</v>
      </c>
      <c r="I84" s="109">
        <f>Rich!T19</f>
        <v>669.09362690294768</v>
      </c>
    </row>
    <row r="85" spans="1:9">
      <c r="A85" t="str">
        <f>V.Poor!Q20</f>
        <v>Cash transfer - official</v>
      </c>
      <c r="B85" s="109">
        <f>V.Poor!R20</f>
        <v>22020</v>
      </c>
      <c r="C85" s="109">
        <f>Poor!R20</f>
        <v>22020</v>
      </c>
      <c r="D85" s="109">
        <f>Middle!R20</f>
        <v>22020</v>
      </c>
      <c r="E85" s="109">
        <f>Rich!R20</f>
        <v>5477.333333333333</v>
      </c>
      <c r="F85" s="109">
        <f>V.Poor!T20</f>
        <v>22020</v>
      </c>
      <c r="G85" s="109">
        <f>Poor!T20</f>
        <v>22020</v>
      </c>
      <c r="H85" s="109">
        <f>Middle!T20</f>
        <v>22020</v>
      </c>
      <c r="I85" s="109">
        <f>Rich!T20</f>
        <v>5477.333333333333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1600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1600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25886.481970899989</v>
      </c>
      <c r="C88" s="109">
        <f>Poor!R23</f>
        <v>29361.559217710233</v>
      </c>
      <c r="D88" s="109">
        <f>Middle!R23</f>
        <v>40423.893778024401</v>
      </c>
      <c r="E88" s="109">
        <f>Rich!R23</f>
        <v>58465.818571525422</v>
      </c>
      <c r="F88" s="109">
        <f>V.Poor!T23</f>
        <v>25991.903528607127</v>
      </c>
      <c r="G88" s="109">
        <f>Poor!T23</f>
        <v>29076.218381490715</v>
      </c>
      <c r="H88" s="109">
        <f>Middle!T23</f>
        <v>40775.679020557596</v>
      </c>
      <c r="I88" s="109">
        <f>Rich!T23</f>
        <v>58689.136818451414</v>
      </c>
    </row>
    <row r="89" spans="1:9">
      <c r="A89" t="str">
        <f>V.Poor!Q24</f>
        <v>Food Poverty line</v>
      </c>
      <c r="B89" s="109">
        <f>V.Poor!R24</f>
        <v>20136.903793668345</v>
      </c>
      <c r="C89" s="109">
        <f>Poor!R24</f>
        <v>20136.903793668345</v>
      </c>
      <c r="D89" s="109">
        <f>Middle!R24</f>
        <v>20136.903793668345</v>
      </c>
      <c r="E89" s="109">
        <f>Rich!R24</f>
        <v>20136.903793668345</v>
      </c>
      <c r="F89" s="109">
        <f>V.Poor!T24</f>
        <v>20136.903793668345</v>
      </c>
      <c r="G89" s="109">
        <f>Poor!T24</f>
        <v>20136.903793668345</v>
      </c>
      <c r="H89" s="109">
        <f>Middle!T24</f>
        <v>20136.903793668345</v>
      </c>
      <c r="I89" s="109">
        <f>Rich!T24</f>
        <v>20136.903793668345</v>
      </c>
    </row>
    <row r="90" spans="1:9">
      <c r="A90" s="108" t="str">
        <f>V.Poor!Q25</f>
        <v>Lower Bound Poverty line</v>
      </c>
      <c r="B90" s="109">
        <f>V.Poor!R25</f>
        <v>34115.570460335017</v>
      </c>
      <c r="C90" s="109">
        <f>Poor!R25</f>
        <v>34115.570460335017</v>
      </c>
      <c r="D90" s="109">
        <f>Middle!R25</f>
        <v>34115.570460335017</v>
      </c>
      <c r="E90" s="109">
        <f>Rich!R25</f>
        <v>34115.570460335017</v>
      </c>
      <c r="F90" s="109">
        <f>V.Poor!T25</f>
        <v>34115.570460335017</v>
      </c>
      <c r="G90" s="109">
        <f>Poor!T25</f>
        <v>34115.570460335017</v>
      </c>
      <c r="H90" s="109">
        <f>Middle!T25</f>
        <v>34115.570460335017</v>
      </c>
      <c r="I90" s="109">
        <f>Rich!T25</f>
        <v>34115.570460335017</v>
      </c>
    </row>
    <row r="91" spans="1:9">
      <c r="A91" s="108" t="str">
        <f>V.Poor!Q26</f>
        <v>Upper Bound Poverty line</v>
      </c>
      <c r="B91" s="109">
        <f>V.Poor!R26</f>
        <v>61859.57046033501</v>
      </c>
      <c r="C91" s="109">
        <f>Poor!R26</f>
        <v>61859.57046033501</v>
      </c>
      <c r="D91" s="109">
        <f>Middle!R26</f>
        <v>61859.57046033501</v>
      </c>
      <c r="E91" s="109">
        <f>Rich!R26</f>
        <v>61859.570460335017</v>
      </c>
      <c r="F91" s="109">
        <f>V.Poor!T26</f>
        <v>61859.57046033501</v>
      </c>
      <c r="G91" s="109">
        <f>Poor!T26</f>
        <v>61859.57046033501</v>
      </c>
      <c r="H91" s="109">
        <f>Middle!T26</f>
        <v>61859.57046033501</v>
      </c>
      <c r="I91" s="109">
        <f>Rich!T26</f>
        <v>61859.570460335017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20136.903793668345</v>
      </c>
      <c r="G93" s="109">
        <f>Poor!T24</f>
        <v>20136.903793668345</v>
      </c>
      <c r="H93" s="109">
        <f>Middle!T24</f>
        <v>20136.903793668345</v>
      </c>
      <c r="I93" s="109">
        <f>Rich!T24</f>
        <v>20136.903793668345</v>
      </c>
    </row>
    <row r="94" spans="1:9">
      <c r="A94" t="str">
        <f>V.Poor!Q25</f>
        <v>Lower Bound Poverty line</v>
      </c>
      <c r="F94" s="109">
        <f>V.Poor!T25</f>
        <v>34115.570460335017</v>
      </c>
      <c r="G94" s="109">
        <f>Poor!T25</f>
        <v>34115.570460335017</v>
      </c>
      <c r="H94" s="109">
        <f>Middle!T25</f>
        <v>34115.570460335017</v>
      </c>
      <c r="I94" s="109">
        <f>Rich!T25</f>
        <v>34115.570460335017</v>
      </c>
    </row>
    <row r="95" spans="1:9">
      <c r="A95" t="str">
        <f>V.Poor!Q26</f>
        <v>Upper Bound Poverty line</v>
      </c>
      <c r="F95" s="109">
        <f>V.Poor!T26</f>
        <v>61859.57046033501</v>
      </c>
      <c r="G95" s="109">
        <f>Poor!T26</f>
        <v>61859.57046033501</v>
      </c>
      <c r="H95" s="109">
        <f>Middle!T26</f>
        <v>61859.57046033501</v>
      </c>
      <c r="I95" s="109">
        <f>Rich!T26</f>
        <v>61859.570460335017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8229.0884894350274</v>
      </c>
      <c r="C99" s="239">
        <f t="shared" si="0"/>
        <v>4754.0112426247833</v>
      </c>
      <c r="D99" s="239">
        <f t="shared" si="0"/>
        <v>0</v>
      </c>
      <c r="E99" s="239">
        <f t="shared" si="0"/>
        <v>0</v>
      </c>
      <c r="F99" s="239">
        <f t="shared" si="0"/>
        <v>8123.6669317278902</v>
      </c>
      <c r="G99" s="239">
        <f t="shared" si="0"/>
        <v>5039.352078844302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35973.088489435017</v>
      </c>
      <c r="C100" s="239">
        <f t="shared" si="0"/>
        <v>32498.011242624776</v>
      </c>
      <c r="D100" s="239">
        <f t="shared" si="0"/>
        <v>21435.676682310608</v>
      </c>
      <c r="E100" s="239">
        <f t="shared" si="0"/>
        <v>3393.7518888095947</v>
      </c>
      <c r="F100" s="239">
        <f t="shared" si="0"/>
        <v>35867.666931727887</v>
      </c>
      <c r="G100" s="239">
        <f t="shared" si="0"/>
        <v>32783.352078844298</v>
      </c>
      <c r="H100" s="239">
        <f t="shared" si="0"/>
        <v>21083.891439777413</v>
      </c>
      <c r="I100" s="239">
        <f t="shared" si="0"/>
        <v>3170.4336418836028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0" t="str">
        <f>Poor!A1</f>
        <v>ZACNI: 59106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V.Poor!A67</f>
        <v>Expenditure : Very Poor HHs</v>
      </c>
      <c r="C3" s="261"/>
      <c r="D3" s="261"/>
      <c r="E3" s="261"/>
      <c r="F3" s="250"/>
      <c r="G3" s="259" t="str">
        <f>Poor!A67</f>
        <v>Expenditure : Poor HHs</v>
      </c>
      <c r="H3" s="259"/>
      <c r="I3" s="259"/>
      <c r="J3" s="259"/>
      <c r="K3" s="246"/>
      <c r="L3" s="259" t="str">
        <f>Middle!A67</f>
        <v>Expenditure : Middle HHs</v>
      </c>
      <c r="M3" s="259"/>
      <c r="N3" s="259"/>
      <c r="O3" s="259"/>
      <c r="P3" s="259"/>
      <c r="Q3" s="247"/>
      <c r="R3" s="259" t="str">
        <f>Rich!A67</f>
        <v>Expenditure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0.5</v>
      </c>
      <c r="C2" s="202">
        <f>[1]WB!$CK$10</f>
        <v>0.3</v>
      </c>
      <c r="D2" s="202">
        <f>[1]WB!$CK$11</f>
        <v>0.15</v>
      </c>
      <c r="E2" s="202">
        <f>[1]WB!$CK$12</f>
        <v>0.05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2670.7288927413665</v>
      </c>
      <c r="C3" s="203">
        <f>Income!C72</f>
        <v>2957.4715602296419</v>
      </c>
      <c r="D3" s="203">
        <f>Income!D72</f>
        <v>4116.2430518819356</v>
      </c>
      <c r="E3" s="203">
        <f>Income!E72</f>
        <v>4162.8069563668005</v>
      </c>
      <c r="F3" s="204">
        <f>IF(F$2&lt;=($B$2+$C$2+$D$2),IF(F$2&lt;=($B$2+$C$2),IF(F$2&lt;=$B$2,$B3,$C3),$D3),$E3)</f>
        <v>2670.7288927413665</v>
      </c>
      <c r="G3" s="204">
        <f t="shared" ref="G3:AW7" si="0">IF(G$2&lt;=($B$2+$C$2+$D$2),IF(G$2&lt;=($B$2+$C$2),IF(G$2&lt;=$B$2,$B3,$C3),$D3),$E3)</f>
        <v>2670.7288927413665</v>
      </c>
      <c r="H3" s="204">
        <f t="shared" si="0"/>
        <v>2670.7288927413665</v>
      </c>
      <c r="I3" s="204">
        <f t="shared" si="0"/>
        <v>2670.7288927413665</v>
      </c>
      <c r="J3" s="204">
        <f t="shared" si="0"/>
        <v>2670.7288927413665</v>
      </c>
      <c r="K3" s="204">
        <f t="shared" si="0"/>
        <v>2670.7288927413665</v>
      </c>
      <c r="L3" s="204">
        <f t="shared" si="0"/>
        <v>2670.7288927413665</v>
      </c>
      <c r="M3" s="204">
        <f t="shared" si="0"/>
        <v>2670.7288927413665</v>
      </c>
      <c r="N3" s="204">
        <f t="shared" si="0"/>
        <v>2670.7288927413665</v>
      </c>
      <c r="O3" s="204">
        <f t="shared" si="0"/>
        <v>2670.7288927413665</v>
      </c>
      <c r="P3" s="204">
        <f t="shared" si="0"/>
        <v>2670.7288927413665</v>
      </c>
      <c r="Q3" s="204">
        <f t="shared" si="0"/>
        <v>2670.7288927413665</v>
      </c>
      <c r="R3" s="204">
        <f t="shared" si="0"/>
        <v>2670.7288927413665</v>
      </c>
      <c r="S3" s="204">
        <f t="shared" si="0"/>
        <v>2670.7288927413665</v>
      </c>
      <c r="T3" s="204">
        <f t="shared" si="0"/>
        <v>2670.7288927413665</v>
      </c>
      <c r="U3" s="204">
        <f t="shared" si="0"/>
        <v>2670.7288927413665</v>
      </c>
      <c r="V3" s="204">
        <f t="shared" si="0"/>
        <v>2670.7288927413665</v>
      </c>
      <c r="W3" s="204">
        <f t="shared" si="0"/>
        <v>2670.7288927413665</v>
      </c>
      <c r="X3" s="204">
        <f t="shared" si="0"/>
        <v>2670.7288927413665</v>
      </c>
      <c r="Y3" s="204">
        <f t="shared" si="0"/>
        <v>2670.7288927413665</v>
      </c>
      <c r="Z3" s="204">
        <f t="shared" si="0"/>
        <v>2670.7288927413665</v>
      </c>
      <c r="AA3" s="204">
        <f t="shared" si="0"/>
        <v>2670.7288927413665</v>
      </c>
      <c r="AB3" s="204">
        <f t="shared" si="0"/>
        <v>2670.7288927413665</v>
      </c>
      <c r="AC3" s="204">
        <f t="shared" si="0"/>
        <v>2670.7288927413665</v>
      </c>
      <c r="AD3" s="204">
        <f t="shared" si="0"/>
        <v>2670.7288927413665</v>
      </c>
      <c r="AE3" s="204">
        <f t="shared" si="0"/>
        <v>2670.7288927413665</v>
      </c>
      <c r="AF3" s="204">
        <f t="shared" si="0"/>
        <v>2670.7288927413665</v>
      </c>
      <c r="AG3" s="204">
        <f t="shared" si="0"/>
        <v>2670.7288927413665</v>
      </c>
      <c r="AH3" s="204">
        <f t="shared" si="0"/>
        <v>2670.7288927413665</v>
      </c>
      <c r="AI3" s="204">
        <f t="shared" si="0"/>
        <v>2670.7288927413665</v>
      </c>
      <c r="AJ3" s="204">
        <f t="shared" si="0"/>
        <v>2670.7288927413665</v>
      </c>
      <c r="AK3" s="204">
        <f t="shared" si="0"/>
        <v>2670.7288927413665</v>
      </c>
      <c r="AL3" s="204">
        <f t="shared" si="0"/>
        <v>2670.7288927413665</v>
      </c>
      <c r="AM3" s="204">
        <f t="shared" si="0"/>
        <v>2670.7288927413665</v>
      </c>
      <c r="AN3" s="204">
        <f t="shared" si="0"/>
        <v>2670.7288927413665</v>
      </c>
      <c r="AO3" s="204">
        <f t="shared" si="0"/>
        <v>2670.7288927413665</v>
      </c>
      <c r="AP3" s="204">
        <f t="shared" si="0"/>
        <v>2670.7288927413665</v>
      </c>
      <c r="AQ3" s="204">
        <f t="shared" si="0"/>
        <v>2670.7288927413665</v>
      </c>
      <c r="AR3" s="204">
        <f t="shared" si="0"/>
        <v>2670.7288927413665</v>
      </c>
      <c r="AS3" s="204">
        <f t="shared" si="0"/>
        <v>2670.7288927413665</v>
      </c>
      <c r="AT3" s="204">
        <f t="shared" si="0"/>
        <v>2670.7288927413665</v>
      </c>
      <c r="AU3" s="204">
        <f t="shared" si="0"/>
        <v>2670.7288927413665</v>
      </c>
      <c r="AV3" s="204">
        <f t="shared" si="0"/>
        <v>2670.7288927413665</v>
      </c>
      <c r="AW3" s="204">
        <f t="shared" si="0"/>
        <v>2670.7288927413665</v>
      </c>
      <c r="AX3" s="204">
        <f t="shared" ref="AX3:BZ10" si="1">IF(AX$2&lt;=($B$2+$C$2+$D$2),IF(AX$2&lt;=($B$2+$C$2),IF(AX$2&lt;=$B$2,$B3,$C3),$D3),$E3)</f>
        <v>2670.7288927413665</v>
      </c>
      <c r="AY3" s="204">
        <f t="shared" si="1"/>
        <v>2670.7288927413665</v>
      </c>
      <c r="AZ3" s="204">
        <f t="shared" si="1"/>
        <v>2670.7288927413665</v>
      </c>
      <c r="BA3" s="204">
        <f t="shared" si="1"/>
        <v>2670.7288927413665</v>
      </c>
      <c r="BB3" s="204">
        <f t="shared" si="1"/>
        <v>2670.7288927413665</v>
      </c>
      <c r="BC3" s="204">
        <f t="shared" si="1"/>
        <v>2670.7288927413665</v>
      </c>
      <c r="BD3" s="204">
        <f t="shared" si="1"/>
        <v>2957.4715602296419</v>
      </c>
      <c r="BE3" s="204">
        <f t="shared" si="1"/>
        <v>2957.4715602296419</v>
      </c>
      <c r="BF3" s="204">
        <f t="shared" si="1"/>
        <v>2957.4715602296419</v>
      </c>
      <c r="BG3" s="204">
        <f t="shared" si="1"/>
        <v>2957.4715602296419</v>
      </c>
      <c r="BH3" s="204">
        <f t="shared" si="1"/>
        <v>2957.4715602296419</v>
      </c>
      <c r="BI3" s="204">
        <f t="shared" si="1"/>
        <v>2957.4715602296419</v>
      </c>
      <c r="BJ3" s="204">
        <f t="shared" si="1"/>
        <v>2957.4715602296419</v>
      </c>
      <c r="BK3" s="204">
        <f t="shared" si="1"/>
        <v>2957.4715602296419</v>
      </c>
      <c r="BL3" s="204">
        <f t="shared" si="1"/>
        <v>2957.4715602296419</v>
      </c>
      <c r="BM3" s="204">
        <f t="shared" si="1"/>
        <v>2957.4715602296419</v>
      </c>
      <c r="BN3" s="204">
        <f t="shared" si="1"/>
        <v>2957.4715602296419</v>
      </c>
      <c r="BO3" s="204">
        <f t="shared" si="1"/>
        <v>2957.4715602296419</v>
      </c>
      <c r="BP3" s="204">
        <f t="shared" si="1"/>
        <v>2957.4715602296419</v>
      </c>
      <c r="BQ3" s="204">
        <f t="shared" si="1"/>
        <v>2957.4715602296419</v>
      </c>
      <c r="BR3" s="204">
        <f t="shared" si="1"/>
        <v>2957.4715602296419</v>
      </c>
      <c r="BS3" s="204">
        <f t="shared" si="1"/>
        <v>2957.4715602296419</v>
      </c>
      <c r="BT3" s="204">
        <f t="shared" si="1"/>
        <v>2957.4715602296419</v>
      </c>
      <c r="BU3" s="204">
        <f t="shared" si="1"/>
        <v>2957.4715602296419</v>
      </c>
      <c r="BV3" s="204">
        <f t="shared" si="1"/>
        <v>2957.4715602296419</v>
      </c>
      <c r="BW3" s="204">
        <f t="shared" si="1"/>
        <v>2957.4715602296419</v>
      </c>
      <c r="BX3" s="204">
        <f t="shared" si="1"/>
        <v>2957.4715602296419</v>
      </c>
      <c r="BY3" s="204">
        <f t="shared" si="1"/>
        <v>2957.4715602296419</v>
      </c>
      <c r="BZ3" s="204">
        <f t="shared" si="1"/>
        <v>2957.4715602296419</v>
      </c>
      <c r="CA3" s="204">
        <f t="shared" ref="CA3:CR15" si="2">IF(CA$2&lt;=($B$2+$C$2+$D$2),IF(CA$2&lt;=($B$2+$C$2),IF(CA$2&lt;=$B$2,$B3,$C3),$D3),$E3)</f>
        <v>2957.4715602296419</v>
      </c>
      <c r="CB3" s="204">
        <f t="shared" si="2"/>
        <v>2957.4715602296419</v>
      </c>
      <c r="CC3" s="204">
        <f t="shared" si="2"/>
        <v>2957.4715602296419</v>
      </c>
      <c r="CD3" s="204">
        <f t="shared" si="2"/>
        <v>2957.4715602296419</v>
      </c>
      <c r="CE3" s="204">
        <f t="shared" si="2"/>
        <v>2957.4715602296419</v>
      </c>
      <c r="CF3" s="204">
        <f t="shared" si="2"/>
        <v>2957.4715602296419</v>
      </c>
      <c r="CG3" s="204">
        <f t="shared" si="2"/>
        <v>2957.4715602296419</v>
      </c>
      <c r="CH3" s="204">
        <f t="shared" si="2"/>
        <v>4116.2430518819356</v>
      </c>
      <c r="CI3" s="204">
        <f t="shared" si="2"/>
        <v>4116.2430518819356</v>
      </c>
      <c r="CJ3" s="204">
        <f t="shared" si="2"/>
        <v>4116.2430518819356</v>
      </c>
      <c r="CK3" s="204">
        <f t="shared" si="2"/>
        <v>4116.2430518819356</v>
      </c>
      <c r="CL3" s="204">
        <f t="shared" si="2"/>
        <v>4116.2430518819356</v>
      </c>
      <c r="CM3" s="204">
        <f t="shared" si="2"/>
        <v>4116.2430518819356</v>
      </c>
      <c r="CN3" s="204">
        <f t="shared" si="2"/>
        <v>4116.2430518819356</v>
      </c>
      <c r="CO3" s="204">
        <f t="shared" si="2"/>
        <v>4116.2430518819356</v>
      </c>
      <c r="CP3" s="204">
        <f t="shared" si="2"/>
        <v>4116.2430518819356</v>
      </c>
      <c r="CQ3" s="204">
        <f t="shared" si="2"/>
        <v>4116.2430518819356</v>
      </c>
      <c r="CR3" s="204">
        <f t="shared" si="2"/>
        <v>4116.2430518819356</v>
      </c>
      <c r="CS3" s="204">
        <f t="shared" ref="CS3:DA15" si="3">IF(CS$2&lt;=($B$2+$C$2+$D$2),IF(CS$2&lt;=($B$2+$C$2),IF(CS$2&lt;=$B$2,$B3,$C3),$D3),$E3)</f>
        <v>4116.2430518819356</v>
      </c>
      <c r="CT3" s="204">
        <f t="shared" si="3"/>
        <v>4116.2430518819356</v>
      </c>
      <c r="CU3" s="204">
        <f t="shared" si="3"/>
        <v>4116.2430518819356</v>
      </c>
      <c r="CV3" s="204">
        <f t="shared" si="3"/>
        <v>4116.2430518819356</v>
      </c>
      <c r="CW3" s="204">
        <f t="shared" si="3"/>
        <v>4162.8069563668005</v>
      </c>
      <c r="CX3" s="204">
        <f t="shared" si="3"/>
        <v>4162.8069563668005</v>
      </c>
      <c r="CY3" s="204">
        <f t="shared" si="3"/>
        <v>4162.8069563668005</v>
      </c>
      <c r="CZ3" s="204">
        <f t="shared" si="3"/>
        <v>4162.8069563668005</v>
      </c>
      <c r="DA3" s="204">
        <f t="shared" si="3"/>
        <v>4162.8069563668005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836</v>
      </c>
      <c r="D4" s="203">
        <f>Income!D73</f>
        <v>3621</v>
      </c>
      <c r="E4" s="203">
        <f>Income!E73</f>
        <v>5132.4444444444434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836</v>
      </c>
      <c r="BE4" s="204">
        <f t="shared" si="1"/>
        <v>836</v>
      </c>
      <c r="BF4" s="204">
        <f t="shared" si="1"/>
        <v>836</v>
      </c>
      <c r="BG4" s="204">
        <f t="shared" si="1"/>
        <v>836</v>
      </c>
      <c r="BH4" s="204">
        <f t="shared" si="1"/>
        <v>836</v>
      </c>
      <c r="BI4" s="204">
        <f t="shared" si="1"/>
        <v>836</v>
      </c>
      <c r="BJ4" s="204">
        <f t="shared" si="1"/>
        <v>836</v>
      </c>
      <c r="BK4" s="204">
        <f t="shared" si="1"/>
        <v>836</v>
      </c>
      <c r="BL4" s="204">
        <f t="shared" si="1"/>
        <v>836</v>
      </c>
      <c r="BM4" s="204">
        <f t="shared" si="1"/>
        <v>836</v>
      </c>
      <c r="BN4" s="204">
        <f t="shared" si="1"/>
        <v>836</v>
      </c>
      <c r="BO4" s="204">
        <f t="shared" si="1"/>
        <v>836</v>
      </c>
      <c r="BP4" s="204">
        <f t="shared" si="1"/>
        <v>836</v>
      </c>
      <c r="BQ4" s="204">
        <f t="shared" si="1"/>
        <v>836</v>
      </c>
      <c r="BR4" s="204">
        <f t="shared" si="1"/>
        <v>836</v>
      </c>
      <c r="BS4" s="204">
        <f t="shared" si="1"/>
        <v>836</v>
      </c>
      <c r="BT4" s="204">
        <f t="shared" si="1"/>
        <v>836</v>
      </c>
      <c r="BU4" s="204">
        <f t="shared" si="1"/>
        <v>836</v>
      </c>
      <c r="BV4" s="204">
        <f t="shared" si="1"/>
        <v>836</v>
      </c>
      <c r="BW4" s="204">
        <f t="shared" si="1"/>
        <v>836</v>
      </c>
      <c r="BX4" s="204">
        <f t="shared" si="1"/>
        <v>836</v>
      </c>
      <c r="BY4" s="204">
        <f t="shared" si="1"/>
        <v>836</v>
      </c>
      <c r="BZ4" s="204">
        <f t="shared" si="1"/>
        <v>836</v>
      </c>
      <c r="CA4" s="204">
        <f t="shared" si="2"/>
        <v>836</v>
      </c>
      <c r="CB4" s="204">
        <f t="shared" si="2"/>
        <v>836</v>
      </c>
      <c r="CC4" s="204">
        <f t="shared" si="2"/>
        <v>836</v>
      </c>
      <c r="CD4" s="204">
        <f t="shared" si="2"/>
        <v>836</v>
      </c>
      <c r="CE4" s="204">
        <f t="shared" si="2"/>
        <v>836</v>
      </c>
      <c r="CF4" s="204">
        <f t="shared" si="2"/>
        <v>836</v>
      </c>
      <c r="CG4" s="204">
        <f t="shared" si="2"/>
        <v>836</v>
      </c>
      <c r="CH4" s="204">
        <f t="shared" si="2"/>
        <v>3621</v>
      </c>
      <c r="CI4" s="204">
        <f t="shared" si="2"/>
        <v>3621</v>
      </c>
      <c r="CJ4" s="204">
        <f t="shared" si="2"/>
        <v>3621</v>
      </c>
      <c r="CK4" s="204">
        <f t="shared" si="2"/>
        <v>3621</v>
      </c>
      <c r="CL4" s="204">
        <f t="shared" si="2"/>
        <v>3621</v>
      </c>
      <c r="CM4" s="204">
        <f t="shared" si="2"/>
        <v>3621</v>
      </c>
      <c r="CN4" s="204">
        <f t="shared" si="2"/>
        <v>3621</v>
      </c>
      <c r="CO4" s="204">
        <f t="shared" si="2"/>
        <v>3621</v>
      </c>
      <c r="CP4" s="204">
        <f t="shared" si="2"/>
        <v>3621</v>
      </c>
      <c r="CQ4" s="204">
        <f t="shared" si="2"/>
        <v>3621</v>
      </c>
      <c r="CR4" s="204">
        <f t="shared" si="2"/>
        <v>3621</v>
      </c>
      <c r="CS4" s="204">
        <f t="shared" si="3"/>
        <v>3621</v>
      </c>
      <c r="CT4" s="204">
        <f t="shared" si="3"/>
        <v>3621</v>
      </c>
      <c r="CU4" s="204">
        <f t="shared" si="3"/>
        <v>3621</v>
      </c>
      <c r="CV4" s="204">
        <f t="shared" si="3"/>
        <v>3621</v>
      </c>
      <c r="CW4" s="204">
        <f t="shared" si="3"/>
        <v>5132.4444444444434</v>
      </c>
      <c r="CX4" s="204">
        <f t="shared" si="3"/>
        <v>5132.4444444444434</v>
      </c>
      <c r="CY4" s="204">
        <f t="shared" si="3"/>
        <v>5132.4444444444434</v>
      </c>
      <c r="CZ4" s="204">
        <f t="shared" si="3"/>
        <v>5132.4444444444434</v>
      </c>
      <c r="DA4" s="204">
        <f t="shared" si="3"/>
        <v>5132.4444444444434</v>
      </c>
      <c r="DB4" s="204"/>
    </row>
    <row r="5" spans="1:106">
      <c r="A5" s="201" t="str">
        <f>Income!A74</f>
        <v>Animal products consumed</v>
      </c>
      <c r="B5" s="203">
        <f>Income!B74</f>
        <v>188.88628953908511</v>
      </c>
      <c r="C5" s="203">
        <f>Income!C74</f>
        <v>291.91926659903811</v>
      </c>
      <c r="D5" s="203">
        <f>Income!D74</f>
        <v>503.01017797997002</v>
      </c>
      <c r="E5" s="203">
        <f>Income!E74</f>
        <v>1310.1410317375498</v>
      </c>
      <c r="F5" s="204">
        <f t="shared" si="4"/>
        <v>188.88628953908511</v>
      </c>
      <c r="G5" s="204">
        <f t="shared" si="0"/>
        <v>188.88628953908511</v>
      </c>
      <c r="H5" s="204">
        <f t="shared" si="0"/>
        <v>188.88628953908511</v>
      </c>
      <c r="I5" s="204">
        <f t="shared" si="0"/>
        <v>188.88628953908511</v>
      </c>
      <c r="J5" s="204">
        <f t="shared" si="0"/>
        <v>188.88628953908511</v>
      </c>
      <c r="K5" s="204">
        <f t="shared" si="0"/>
        <v>188.88628953908511</v>
      </c>
      <c r="L5" s="204">
        <f t="shared" si="0"/>
        <v>188.88628953908511</v>
      </c>
      <c r="M5" s="204">
        <f t="shared" si="0"/>
        <v>188.88628953908511</v>
      </c>
      <c r="N5" s="204">
        <f t="shared" si="0"/>
        <v>188.88628953908511</v>
      </c>
      <c r="O5" s="204">
        <f t="shared" si="0"/>
        <v>188.88628953908511</v>
      </c>
      <c r="P5" s="204">
        <f t="shared" si="0"/>
        <v>188.88628953908511</v>
      </c>
      <c r="Q5" s="204">
        <f t="shared" si="0"/>
        <v>188.88628953908511</v>
      </c>
      <c r="R5" s="204">
        <f t="shared" si="0"/>
        <v>188.88628953908511</v>
      </c>
      <c r="S5" s="204">
        <f t="shared" si="0"/>
        <v>188.88628953908511</v>
      </c>
      <c r="T5" s="204">
        <f t="shared" si="0"/>
        <v>188.88628953908511</v>
      </c>
      <c r="U5" s="204">
        <f t="shared" si="0"/>
        <v>188.88628953908511</v>
      </c>
      <c r="V5" s="204">
        <f t="shared" si="0"/>
        <v>188.88628953908511</v>
      </c>
      <c r="W5" s="204">
        <f t="shared" si="0"/>
        <v>188.88628953908511</v>
      </c>
      <c r="X5" s="204">
        <f t="shared" si="0"/>
        <v>188.88628953908511</v>
      </c>
      <c r="Y5" s="204">
        <f t="shared" si="0"/>
        <v>188.88628953908511</v>
      </c>
      <c r="Z5" s="204">
        <f t="shared" si="0"/>
        <v>188.88628953908511</v>
      </c>
      <c r="AA5" s="204">
        <f t="shared" si="0"/>
        <v>188.88628953908511</v>
      </c>
      <c r="AB5" s="204">
        <f t="shared" si="0"/>
        <v>188.88628953908511</v>
      </c>
      <c r="AC5" s="204">
        <f t="shared" si="0"/>
        <v>188.88628953908511</v>
      </c>
      <c r="AD5" s="204">
        <f t="shared" si="0"/>
        <v>188.88628953908511</v>
      </c>
      <c r="AE5" s="204">
        <f t="shared" si="0"/>
        <v>188.88628953908511</v>
      </c>
      <c r="AF5" s="204">
        <f t="shared" si="0"/>
        <v>188.88628953908511</v>
      </c>
      <c r="AG5" s="204">
        <f t="shared" si="0"/>
        <v>188.88628953908511</v>
      </c>
      <c r="AH5" s="204">
        <f t="shared" si="0"/>
        <v>188.88628953908511</v>
      </c>
      <c r="AI5" s="204">
        <f t="shared" si="0"/>
        <v>188.88628953908511</v>
      </c>
      <c r="AJ5" s="204">
        <f t="shared" si="0"/>
        <v>188.88628953908511</v>
      </c>
      <c r="AK5" s="204">
        <f t="shared" si="0"/>
        <v>188.88628953908511</v>
      </c>
      <c r="AL5" s="204">
        <f t="shared" si="0"/>
        <v>188.88628953908511</v>
      </c>
      <c r="AM5" s="204">
        <f t="shared" si="0"/>
        <v>188.88628953908511</v>
      </c>
      <c r="AN5" s="204">
        <f t="shared" si="0"/>
        <v>188.88628953908511</v>
      </c>
      <c r="AO5" s="204">
        <f t="shared" si="0"/>
        <v>188.88628953908511</v>
      </c>
      <c r="AP5" s="204">
        <f t="shared" si="0"/>
        <v>188.88628953908511</v>
      </c>
      <c r="AQ5" s="204">
        <f t="shared" si="0"/>
        <v>188.88628953908511</v>
      </c>
      <c r="AR5" s="204">
        <f t="shared" si="0"/>
        <v>188.88628953908511</v>
      </c>
      <c r="AS5" s="204">
        <f t="shared" si="0"/>
        <v>188.88628953908511</v>
      </c>
      <c r="AT5" s="204">
        <f t="shared" si="0"/>
        <v>188.88628953908511</v>
      </c>
      <c r="AU5" s="204">
        <f t="shared" si="0"/>
        <v>188.88628953908511</v>
      </c>
      <c r="AV5" s="204">
        <f t="shared" si="0"/>
        <v>188.88628953908511</v>
      </c>
      <c r="AW5" s="204">
        <f t="shared" si="0"/>
        <v>188.88628953908511</v>
      </c>
      <c r="AX5" s="204">
        <f t="shared" si="1"/>
        <v>188.88628953908511</v>
      </c>
      <c r="AY5" s="204">
        <f t="shared" si="1"/>
        <v>188.88628953908511</v>
      </c>
      <c r="AZ5" s="204">
        <f t="shared" si="1"/>
        <v>188.88628953908511</v>
      </c>
      <c r="BA5" s="204">
        <f t="shared" si="1"/>
        <v>188.88628953908511</v>
      </c>
      <c r="BB5" s="204">
        <f t="shared" si="1"/>
        <v>188.88628953908511</v>
      </c>
      <c r="BC5" s="204">
        <f t="shared" si="1"/>
        <v>188.88628953908511</v>
      </c>
      <c r="BD5" s="204">
        <f t="shared" si="1"/>
        <v>291.91926659903811</v>
      </c>
      <c r="BE5" s="204">
        <f t="shared" si="1"/>
        <v>291.91926659903811</v>
      </c>
      <c r="BF5" s="204">
        <f t="shared" si="1"/>
        <v>291.91926659903811</v>
      </c>
      <c r="BG5" s="204">
        <f t="shared" si="1"/>
        <v>291.91926659903811</v>
      </c>
      <c r="BH5" s="204">
        <f t="shared" si="1"/>
        <v>291.91926659903811</v>
      </c>
      <c r="BI5" s="204">
        <f t="shared" si="1"/>
        <v>291.91926659903811</v>
      </c>
      <c r="BJ5" s="204">
        <f t="shared" si="1"/>
        <v>291.91926659903811</v>
      </c>
      <c r="BK5" s="204">
        <f t="shared" si="1"/>
        <v>291.91926659903811</v>
      </c>
      <c r="BL5" s="204">
        <f t="shared" si="1"/>
        <v>291.91926659903811</v>
      </c>
      <c r="BM5" s="204">
        <f t="shared" si="1"/>
        <v>291.91926659903811</v>
      </c>
      <c r="BN5" s="204">
        <f t="shared" si="1"/>
        <v>291.91926659903811</v>
      </c>
      <c r="BO5" s="204">
        <f t="shared" si="1"/>
        <v>291.91926659903811</v>
      </c>
      <c r="BP5" s="204">
        <f t="shared" si="1"/>
        <v>291.91926659903811</v>
      </c>
      <c r="BQ5" s="204">
        <f t="shared" si="1"/>
        <v>291.91926659903811</v>
      </c>
      <c r="BR5" s="204">
        <f t="shared" si="1"/>
        <v>291.91926659903811</v>
      </c>
      <c r="BS5" s="204">
        <f t="shared" si="1"/>
        <v>291.91926659903811</v>
      </c>
      <c r="BT5" s="204">
        <f t="shared" si="1"/>
        <v>291.91926659903811</v>
      </c>
      <c r="BU5" s="204">
        <f t="shared" si="1"/>
        <v>291.91926659903811</v>
      </c>
      <c r="BV5" s="204">
        <f t="shared" si="1"/>
        <v>291.91926659903811</v>
      </c>
      <c r="BW5" s="204">
        <f t="shared" si="1"/>
        <v>291.91926659903811</v>
      </c>
      <c r="BX5" s="204">
        <f t="shared" si="1"/>
        <v>291.91926659903811</v>
      </c>
      <c r="BY5" s="204">
        <f t="shared" si="1"/>
        <v>291.91926659903811</v>
      </c>
      <c r="BZ5" s="204">
        <f t="shared" si="1"/>
        <v>291.91926659903811</v>
      </c>
      <c r="CA5" s="204">
        <f t="shared" si="2"/>
        <v>291.91926659903811</v>
      </c>
      <c r="CB5" s="204">
        <f t="shared" si="2"/>
        <v>291.91926659903811</v>
      </c>
      <c r="CC5" s="204">
        <f t="shared" si="2"/>
        <v>291.91926659903811</v>
      </c>
      <c r="CD5" s="204">
        <f t="shared" si="2"/>
        <v>291.91926659903811</v>
      </c>
      <c r="CE5" s="204">
        <f t="shared" si="2"/>
        <v>291.91926659903811</v>
      </c>
      <c r="CF5" s="204">
        <f t="shared" si="2"/>
        <v>291.91926659903811</v>
      </c>
      <c r="CG5" s="204">
        <f t="shared" si="2"/>
        <v>291.91926659903811</v>
      </c>
      <c r="CH5" s="204">
        <f t="shared" si="2"/>
        <v>503.01017797997002</v>
      </c>
      <c r="CI5" s="204">
        <f t="shared" si="2"/>
        <v>503.01017797997002</v>
      </c>
      <c r="CJ5" s="204">
        <f t="shared" si="2"/>
        <v>503.01017797997002</v>
      </c>
      <c r="CK5" s="204">
        <f t="shared" si="2"/>
        <v>503.01017797997002</v>
      </c>
      <c r="CL5" s="204">
        <f t="shared" si="2"/>
        <v>503.01017797997002</v>
      </c>
      <c r="CM5" s="204">
        <f t="shared" si="2"/>
        <v>503.01017797997002</v>
      </c>
      <c r="CN5" s="204">
        <f t="shared" si="2"/>
        <v>503.01017797997002</v>
      </c>
      <c r="CO5" s="204">
        <f t="shared" si="2"/>
        <v>503.01017797997002</v>
      </c>
      <c r="CP5" s="204">
        <f t="shared" si="2"/>
        <v>503.01017797997002</v>
      </c>
      <c r="CQ5" s="204">
        <f t="shared" si="2"/>
        <v>503.01017797997002</v>
      </c>
      <c r="CR5" s="204">
        <f t="shared" si="2"/>
        <v>503.01017797997002</v>
      </c>
      <c r="CS5" s="204">
        <f t="shared" si="3"/>
        <v>503.01017797997002</v>
      </c>
      <c r="CT5" s="204">
        <f t="shared" si="3"/>
        <v>503.01017797997002</v>
      </c>
      <c r="CU5" s="204">
        <f t="shared" si="3"/>
        <v>503.01017797997002</v>
      </c>
      <c r="CV5" s="204">
        <f t="shared" si="3"/>
        <v>503.01017797997002</v>
      </c>
      <c r="CW5" s="204">
        <f t="shared" si="3"/>
        <v>1310.1410317375498</v>
      </c>
      <c r="CX5" s="204">
        <f t="shared" si="3"/>
        <v>1310.1410317375498</v>
      </c>
      <c r="CY5" s="204">
        <f t="shared" si="3"/>
        <v>1310.1410317375498</v>
      </c>
      <c r="CZ5" s="204">
        <f t="shared" si="3"/>
        <v>1310.1410317375498</v>
      </c>
      <c r="DA5" s="204">
        <f t="shared" si="3"/>
        <v>1310.1410317375498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500</v>
      </c>
      <c r="D7" s="203">
        <f>Income!D76</f>
        <v>3500</v>
      </c>
      <c r="E7" s="203">
        <f>Income!E76</f>
        <v>9822.2222222222226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500</v>
      </c>
      <c r="BE7" s="204">
        <f t="shared" si="5"/>
        <v>500</v>
      </c>
      <c r="BF7" s="204">
        <f t="shared" si="5"/>
        <v>500</v>
      </c>
      <c r="BG7" s="204">
        <f t="shared" si="5"/>
        <v>500</v>
      </c>
      <c r="BH7" s="204">
        <f t="shared" si="5"/>
        <v>500</v>
      </c>
      <c r="BI7" s="204">
        <f t="shared" si="5"/>
        <v>500</v>
      </c>
      <c r="BJ7" s="204">
        <f t="shared" si="5"/>
        <v>500</v>
      </c>
      <c r="BK7" s="204">
        <f t="shared" si="1"/>
        <v>500</v>
      </c>
      <c r="BL7" s="204">
        <f t="shared" si="1"/>
        <v>500</v>
      </c>
      <c r="BM7" s="204">
        <f t="shared" si="1"/>
        <v>500</v>
      </c>
      <c r="BN7" s="204">
        <f t="shared" si="1"/>
        <v>500</v>
      </c>
      <c r="BO7" s="204">
        <f t="shared" si="1"/>
        <v>500</v>
      </c>
      <c r="BP7" s="204">
        <f t="shared" si="1"/>
        <v>500</v>
      </c>
      <c r="BQ7" s="204">
        <f t="shared" si="1"/>
        <v>500</v>
      </c>
      <c r="BR7" s="204">
        <f t="shared" si="1"/>
        <v>500</v>
      </c>
      <c r="BS7" s="204">
        <f t="shared" si="1"/>
        <v>500</v>
      </c>
      <c r="BT7" s="204">
        <f t="shared" si="1"/>
        <v>500</v>
      </c>
      <c r="BU7" s="204">
        <f t="shared" si="1"/>
        <v>500</v>
      </c>
      <c r="BV7" s="204">
        <f t="shared" si="1"/>
        <v>500</v>
      </c>
      <c r="BW7" s="204">
        <f t="shared" si="1"/>
        <v>500</v>
      </c>
      <c r="BX7" s="204">
        <f t="shared" si="1"/>
        <v>500</v>
      </c>
      <c r="BY7" s="204">
        <f t="shared" si="1"/>
        <v>500</v>
      </c>
      <c r="BZ7" s="204">
        <f t="shared" si="1"/>
        <v>500</v>
      </c>
      <c r="CA7" s="204">
        <f t="shared" si="2"/>
        <v>500</v>
      </c>
      <c r="CB7" s="204">
        <f t="shared" si="2"/>
        <v>500</v>
      </c>
      <c r="CC7" s="204">
        <f t="shared" si="2"/>
        <v>500</v>
      </c>
      <c r="CD7" s="204">
        <f t="shared" si="2"/>
        <v>500</v>
      </c>
      <c r="CE7" s="204">
        <f t="shared" si="2"/>
        <v>500</v>
      </c>
      <c r="CF7" s="204">
        <f t="shared" si="2"/>
        <v>500</v>
      </c>
      <c r="CG7" s="204">
        <f t="shared" si="2"/>
        <v>500</v>
      </c>
      <c r="CH7" s="204">
        <f t="shared" si="2"/>
        <v>3500</v>
      </c>
      <c r="CI7" s="204">
        <f t="shared" si="2"/>
        <v>3500</v>
      </c>
      <c r="CJ7" s="204">
        <f t="shared" si="2"/>
        <v>3500</v>
      </c>
      <c r="CK7" s="204">
        <f t="shared" si="2"/>
        <v>3500</v>
      </c>
      <c r="CL7" s="204">
        <f t="shared" si="2"/>
        <v>3500</v>
      </c>
      <c r="CM7" s="204">
        <f t="shared" si="2"/>
        <v>3500</v>
      </c>
      <c r="CN7" s="204">
        <f t="shared" si="2"/>
        <v>3500</v>
      </c>
      <c r="CO7" s="204">
        <f t="shared" si="2"/>
        <v>3500</v>
      </c>
      <c r="CP7" s="204">
        <f t="shared" si="2"/>
        <v>3500</v>
      </c>
      <c r="CQ7" s="204">
        <f t="shared" si="2"/>
        <v>3500</v>
      </c>
      <c r="CR7" s="204">
        <f t="shared" si="2"/>
        <v>3500</v>
      </c>
      <c r="CS7" s="204">
        <f t="shared" si="3"/>
        <v>3500</v>
      </c>
      <c r="CT7" s="204">
        <f t="shared" si="3"/>
        <v>3500</v>
      </c>
      <c r="CU7" s="204">
        <f t="shared" si="3"/>
        <v>3500</v>
      </c>
      <c r="CV7" s="204">
        <f t="shared" si="3"/>
        <v>3500</v>
      </c>
      <c r="CW7" s="204">
        <f t="shared" si="3"/>
        <v>9822.2222222222226</v>
      </c>
      <c r="CX7" s="204">
        <f t="shared" si="3"/>
        <v>9822.2222222222226</v>
      </c>
      <c r="CY7" s="204">
        <f t="shared" si="3"/>
        <v>9822.2222222222226</v>
      </c>
      <c r="CZ7" s="204">
        <f t="shared" si="3"/>
        <v>9822.2222222222226</v>
      </c>
      <c r="DA7" s="204">
        <f t="shared" si="3"/>
        <v>9822.2222222222226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99.006477745203938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99.006477745203938</v>
      </c>
      <c r="CX8" s="204">
        <f t="shared" si="3"/>
        <v>99.006477745203938</v>
      </c>
      <c r="CY8" s="204">
        <f t="shared" si="3"/>
        <v>99.006477745203938</v>
      </c>
      <c r="CZ8" s="204">
        <f t="shared" si="3"/>
        <v>99.006477745203938</v>
      </c>
      <c r="DA8" s="204">
        <f t="shared" si="3"/>
        <v>99.006477745203938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1749.301602262017</v>
      </c>
      <c r="D9" s="203">
        <f>Income!D78</f>
        <v>752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1749.301602262017</v>
      </c>
      <c r="BE9" s="204">
        <f t="shared" si="1"/>
        <v>1749.301602262017</v>
      </c>
      <c r="BF9" s="204">
        <f t="shared" si="1"/>
        <v>1749.301602262017</v>
      </c>
      <c r="BG9" s="204">
        <f t="shared" si="1"/>
        <v>1749.301602262017</v>
      </c>
      <c r="BH9" s="204">
        <f t="shared" si="1"/>
        <v>1749.301602262017</v>
      </c>
      <c r="BI9" s="204">
        <f t="shared" si="1"/>
        <v>1749.301602262017</v>
      </c>
      <c r="BJ9" s="204">
        <f t="shared" si="1"/>
        <v>1749.301602262017</v>
      </c>
      <c r="BK9" s="204">
        <f t="shared" si="1"/>
        <v>1749.301602262017</v>
      </c>
      <c r="BL9" s="204">
        <f t="shared" si="1"/>
        <v>1749.301602262017</v>
      </c>
      <c r="BM9" s="204">
        <f t="shared" si="1"/>
        <v>1749.301602262017</v>
      </c>
      <c r="BN9" s="204">
        <f t="shared" si="1"/>
        <v>1749.301602262017</v>
      </c>
      <c r="BO9" s="204">
        <f t="shared" si="1"/>
        <v>1749.301602262017</v>
      </c>
      <c r="BP9" s="204">
        <f t="shared" si="1"/>
        <v>1749.301602262017</v>
      </c>
      <c r="BQ9" s="204">
        <f t="shared" si="1"/>
        <v>1749.301602262017</v>
      </c>
      <c r="BR9" s="204">
        <f t="shared" si="1"/>
        <v>1749.301602262017</v>
      </c>
      <c r="BS9" s="204">
        <f t="shared" si="1"/>
        <v>1749.301602262017</v>
      </c>
      <c r="BT9" s="204">
        <f t="shared" si="1"/>
        <v>1749.301602262017</v>
      </c>
      <c r="BU9" s="204">
        <f t="shared" si="1"/>
        <v>1749.301602262017</v>
      </c>
      <c r="BV9" s="204">
        <f t="shared" si="1"/>
        <v>1749.301602262017</v>
      </c>
      <c r="BW9" s="204">
        <f t="shared" si="1"/>
        <v>1749.301602262017</v>
      </c>
      <c r="BX9" s="204">
        <f t="shared" si="1"/>
        <v>1749.301602262017</v>
      </c>
      <c r="BY9" s="204">
        <f t="shared" si="1"/>
        <v>1749.301602262017</v>
      </c>
      <c r="BZ9" s="204">
        <f t="shared" si="1"/>
        <v>1749.301602262017</v>
      </c>
      <c r="CA9" s="204">
        <f t="shared" si="2"/>
        <v>1749.301602262017</v>
      </c>
      <c r="CB9" s="204">
        <f t="shared" si="2"/>
        <v>1749.301602262017</v>
      </c>
      <c r="CC9" s="204">
        <f t="shared" si="2"/>
        <v>1749.301602262017</v>
      </c>
      <c r="CD9" s="204">
        <f t="shared" si="2"/>
        <v>1749.301602262017</v>
      </c>
      <c r="CE9" s="204">
        <f t="shared" si="2"/>
        <v>1749.301602262017</v>
      </c>
      <c r="CF9" s="204">
        <f t="shared" si="2"/>
        <v>1749.301602262017</v>
      </c>
      <c r="CG9" s="204">
        <f t="shared" si="2"/>
        <v>1749.301602262017</v>
      </c>
      <c r="CH9" s="204">
        <f t="shared" si="2"/>
        <v>752</v>
      </c>
      <c r="CI9" s="204">
        <f t="shared" si="2"/>
        <v>752</v>
      </c>
      <c r="CJ9" s="204">
        <f t="shared" si="2"/>
        <v>752</v>
      </c>
      <c r="CK9" s="204">
        <f t="shared" si="2"/>
        <v>752</v>
      </c>
      <c r="CL9" s="204">
        <f t="shared" si="2"/>
        <v>752</v>
      </c>
      <c r="CM9" s="204">
        <f t="shared" si="2"/>
        <v>752</v>
      </c>
      <c r="CN9" s="204">
        <f t="shared" si="2"/>
        <v>752</v>
      </c>
      <c r="CO9" s="204">
        <f t="shared" si="2"/>
        <v>752</v>
      </c>
      <c r="CP9" s="204">
        <f t="shared" si="2"/>
        <v>752</v>
      </c>
      <c r="CQ9" s="204">
        <f t="shared" si="2"/>
        <v>752</v>
      </c>
      <c r="CR9" s="204">
        <f t="shared" si="2"/>
        <v>752</v>
      </c>
      <c r="CS9" s="204">
        <f t="shared" si="3"/>
        <v>752</v>
      </c>
      <c r="CT9" s="204">
        <f t="shared" si="3"/>
        <v>752</v>
      </c>
      <c r="CU9" s="204">
        <f t="shared" si="3"/>
        <v>752</v>
      </c>
      <c r="CV9" s="204">
        <f t="shared" si="3"/>
        <v>752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30897.777777777777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30897.777777777777</v>
      </c>
      <c r="CX10" s="204">
        <f t="shared" si="3"/>
        <v>30897.777777777777</v>
      </c>
      <c r="CY10" s="204">
        <f t="shared" si="3"/>
        <v>30897.777777777777</v>
      </c>
      <c r="CZ10" s="204">
        <f t="shared" si="3"/>
        <v>30897.777777777777</v>
      </c>
      <c r="DA10" s="204">
        <f t="shared" si="3"/>
        <v>30897.777777777777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429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429</v>
      </c>
      <c r="CI11" s="204">
        <f t="shared" si="2"/>
        <v>429</v>
      </c>
      <c r="CJ11" s="204">
        <f t="shared" si="2"/>
        <v>429</v>
      </c>
      <c r="CK11" s="204">
        <f t="shared" si="2"/>
        <v>429</v>
      </c>
      <c r="CL11" s="204">
        <f t="shared" si="2"/>
        <v>429</v>
      </c>
      <c r="CM11" s="204">
        <f t="shared" si="2"/>
        <v>429</v>
      </c>
      <c r="CN11" s="204">
        <f t="shared" si="2"/>
        <v>429</v>
      </c>
      <c r="CO11" s="204">
        <f t="shared" si="2"/>
        <v>429</v>
      </c>
      <c r="CP11" s="204">
        <f t="shared" si="2"/>
        <v>429</v>
      </c>
      <c r="CQ11" s="204">
        <f t="shared" si="2"/>
        <v>429</v>
      </c>
      <c r="CR11" s="204">
        <f t="shared" si="2"/>
        <v>429</v>
      </c>
      <c r="CS11" s="204">
        <f t="shared" si="3"/>
        <v>429</v>
      </c>
      <c r="CT11" s="204">
        <f t="shared" si="3"/>
        <v>429</v>
      </c>
      <c r="CU11" s="204">
        <f t="shared" si="3"/>
        <v>429</v>
      </c>
      <c r="CV11" s="204">
        <f t="shared" si="3"/>
        <v>429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2160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2160</v>
      </c>
      <c r="CI12" s="204">
        <f t="shared" si="2"/>
        <v>2160</v>
      </c>
      <c r="CJ12" s="204">
        <f t="shared" si="2"/>
        <v>2160</v>
      </c>
      <c r="CK12" s="204">
        <f t="shared" si="2"/>
        <v>2160</v>
      </c>
      <c r="CL12" s="204">
        <f t="shared" si="2"/>
        <v>2160</v>
      </c>
      <c r="CM12" s="204">
        <f t="shared" si="2"/>
        <v>2160</v>
      </c>
      <c r="CN12" s="204">
        <f t="shared" si="2"/>
        <v>2160</v>
      </c>
      <c r="CO12" s="204">
        <f t="shared" si="2"/>
        <v>2160</v>
      </c>
      <c r="CP12" s="204">
        <f t="shared" si="2"/>
        <v>2160</v>
      </c>
      <c r="CQ12" s="204">
        <f t="shared" si="2"/>
        <v>2160</v>
      </c>
      <c r="CR12" s="204">
        <f t="shared" si="2"/>
        <v>2160</v>
      </c>
      <c r="CS12" s="204">
        <f t="shared" si="3"/>
        <v>2160</v>
      </c>
      <c r="CT12" s="204">
        <f t="shared" si="3"/>
        <v>2160</v>
      </c>
      <c r="CU12" s="204">
        <f t="shared" si="3"/>
        <v>2160</v>
      </c>
      <c r="CV12" s="204">
        <f t="shared" si="3"/>
        <v>2160</v>
      </c>
      <c r="CW12" s="204">
        <f t="shared" si="3"/>
        <v>0</v>
      </c>
      <c r="CX12" s="204">
        <f t="shared" si="3"/>
        <v>0</v>
      </c>
      <c r="CY12" s="204">
        <f t="shared" si="3"/>
        <v>0</v>
      </c>
      <c r="CZ12" s="204">
        <f t="shared" si="3"/>
        <v>0</v>
      </c>
      <c r="DA12" s="204">
        <f t="shared" si="3"/>
        <v>0</v>
      </c>
      <c r="DB12" s="204"/>
    </row>
    <row r="13" spans="1:106">
      <c r="A13" s="201" t="str">
        <f>Income!A83</f>
        <v>Food transfer - official</v>
      </c>
      <c r="B13" s="203">
        <f>Income!B83</f>
        <v>1006.8667886195384</v>
      </c>
      <c r="C13" s="203">
        <f>Income!C83</f>
        <v>1006.8667886195384</v>
      </c>
      <c r="D13" s="203">
        <f>Income!D83</f>
        <v>1006.8667886195384</v>
      </c>
      <c r="E13" s="203">
        <f>Income!E83</f>
        <v>894.99270099514524</v>
      </c>
      <c r="F13" s="204">
        <f t="shared" si="4"/>
        <v>1006.8667886195384</v>
      </c>
      <c r="G13" s="204">
        <f t="shared" si="4"/>
        <v>1006.8667886195384</v>
      </c>
      <c r="H13" s="204">
        <f t="shared" si="4"/>
        <v>1006.8667886195384</v>
      </c>
      <c r="I13" s="204">
        <f t="shared" si="4"/>
        <v>1006.8667886195384</v>
      </c>
      <c r="J13" s="204">
        <f t="shared" si="4"/>
        <v>1006.8667886195384</v>
      </c>
      <c r="K13" s="204">
        <f t="shared" si="4"/>
        <v>1006.8667886195384</v>
      </c>
      <c r="L13" s="204">
        <f t="shared" si="4"/>
        <v>1006.8667886195384</v>
      </c>
      <c r="M13" s="204">
        <f t="shared" si="4"/>
        <v>1006.8667886195384</v>
      </c>
      <c r="N13" s="204">
        <f t="shared" si="4"/>
        <v>1006.8667886195384</v>
      </c>
      <c r="O13" s="204">
        <f t="shared" si="4"/>
        <v>1006.8667886195384</v>
      </c>
      <c r="P13" s="204">
        <f t="shared" si="4"/>
        <v>1006.8667886195384</v>
      </c>
      <c r="Q13" s="204">
        <f t="shared" si="4"/>
        <v>1006.8667886195384</v>
      </c>
      <c r="R13" s="204">
        <f t="shared" si="4"/>
        <v>1006.8667886195384</v>
      </c>
      <c r="S13" s="204">
        <f t="shared" si="4"/>
        <v>1006.8667886195384</v>
      </c>
      <c r="T13" s="204">
        <f t="shared" si="4"/>
        <v>1006.8667886195384</v>
      </c>
      <c r="U13" s="204">
        <f t="shared" si="4"/>
        <v>1006.8667886195384</v>
      </c>
      <c r="V13" s="204">
        <f t="shared" si="6"/>
        <v>1006.8667886195384</v>
      </c>
      <c r="W13" s="204">
        <f t="shared" si="6"/>
        <v>1006.8667886195384</v>
      </c>
      <c r="X13" s="204">
        <f t="shared" si="6"/>
        <v>1006.8667886195384</v>
      </c>
      <c r="Y13" s="204">
        <f t="shared" si="6"/>
        <v>1006.8667886195384</v>
      </c>
      <c r="Z13" s="204">
        <f t="shared" si="6"/>
        <v>1006.8667886195384</v>
      </c>
      <c r="AA13" s="204">
        <f t="shared" si="6"/>
        <v>1006.8667886195384</v>
      </c>
      <c r="AB13" s="204">
        <f t="shared" si="6"/>
        <v>1006.8667886195384</v>
      </c>
      <c r="AC13" s="204">
        <f t="shared" si="6"/>
        <v>1006.8667886195384</v>
      </c>
      <c r="AD13" s="204">
        <f t="shared" si="6"/>
        <v>1006.8667886195384</v>
      </c>
      <c r="AE13" s="204">
        <f t="shared" si="6"/>
        <v>1006.8667886195384</v>
      </c>
      <c r="AF13" s="204">
        <f t="shared" si="6"/>
        <v>1006.8667886195384</v>
      </c>
      <c r="AG13" s="204">
        <f t="shared" si="6"/>
        <v>1006.8667886195384</v>
      </c>
      <c r="AH13" s="204">
        <f t="shared" si="6"/>
        <v>1006.8667886195384</v>
      </c>
      <c r="AI13" s="204">
        <f t="shared" si="6"/>
        <v>1006.8667886195384</v>
      </c>
      <c r="AJ13" s="204">
        <f t="shared" si="6"/>
        <v>1006.8667886195384</v>
      </c>
      <c r="AK13" s="204">
        <f t="shared" si="6"/>
        <v>1006.8667886195384</v>
      </c>
      <c r="AL13" s="204">
        <f t="shared" si="7"/>
        <v>1006.8667886195384</v>
      </c>
      <c r="AM13" s="204">
        <f t="shared" si="7"/>
        <v>1006.8667886195384</v>
      </c>
      <c r="AN13" s="204">
        <f t="shared" si="7"/>
        <v>1006.8667886195384</v>
      </c>
      <c r="AO13" s="204">
        <f t="shared" si="7"/>
        <v>1006.8667886195384</v>
      </c>
      <c r="AP13" s="204">
        <f t="shared" si="7"/>
        <v>1006.8667886195384</v>
      </c>
      <c r="AQ13" s="204">
        <f t="shared" si="7"/>
        <v>1006.8667886195384</v>
      </c>
      <c r="AR13" s="204">
        <f t="shared" si="7"/>
        <v>1006.8667886195384</v>
      </c>
      <c r="AS13" s="204">
        <f t="shared" si="7"/>
        <v>1006.8667886195384</v>
      </c>
      <c r="AT13" s="204">
        <f t="shared" si="7"/>
        <v>1006.8667886195384</v>
      </c>
      <c r="AU13" s="204">
        <f t="shared" si="7"/>
        <v>1006.8667886195384</v>
      </c>
      <c r="AV13" s="204">
        <f t="shared" si="7"/>
        <v>1006.8667886195384</v>
      </c>
      <c r="AW13" s="204">
        <f t="shared" si="7"/>
        <v>1006.8667886195384</v>
      </c>
      <c r="AX13" s="204">
        <f t="shared" si="8"/>
        <v>1006.8667886195384</v>
      </c>
      <c r="AY13" s="204">
        <f t="shared" si="8"/>
        <v>1006.8667886195384</v>
      </c>
      <c r="AZ13" s="204">
        <f t="shared" si="8"/>
        <v>1006.8667886195384</v>
      </c>
      <c r="BA13" s="204">
        <f t="shared" si="8"/>
        <v>1006.8667886195384</v>
      </c>
      <c r="BB13" s="204">
        <f t="shared" si="8"/>
        <v>1006.8667886195384</v>
      </c>
      <c r="BC13" s="204">
        <f t="shared" si="8"/>
        <v>1006.8667886195384</v>
      </c>
      <c r="BD13" s="204">
        <f t="shared" si="8"/>
        <v>1006.8667886195384</v>
      </c>
      <c r="BE13" s="204">
        <f t="shared" si="8"/>
        <v>1006.8667886195384</v>
      </c>
      <c r="BF13" s="204">
        <f t="shared" si="8"/>
        <v>1006.8667886195384</v>
      </c>
      <c r="BG13" s="204">
        <f t="shared" si="8"/>
        <v>1006.8667886195384</v>
      </c>
      <c r="BH13" s="204">
        <f t="shared" si="8"/>
        <v>1006.8667886195384</v>
      </c>
      <c r="BI13" s="204">
        <f t="shared" si="8"/>
        <v>1006.8667886195384</v>
      </c>
      <c r="BJ13" s="204">
        <f t="shared" si="8"/>
        <v>1006.8667886195384</v>
      </c>
      <c r="BK13" s="204">
        <f t="shared" si="8"/>
        <v>1006.8667886195384</v>
      </c>
      <c r="BL13" s="204">
        <f t="shared" si="8"/>
        <v>1006.8667886195384</v>
      </c>
      <c r="BM13" s="204">
        <f t="shared" si="8"/>
        <v>1006.8667886195384</v>
      </c>
      <c r="BN13" s="204">
        <f t="shared" si="8"/>
        <v>1006.8667886195384</v>
      </c>
      <c r="BO13" s="204">
        <f t="shared" si="8"/>
        <v>1006.8667886195384</v>
      </c>
      <c r="BP13" s="204">
        <f t="shared" si="8"/>
        <v>1006.8667886195384</v>
      </c>
      <c r="BQ13" s="204">
        <f t="shared" si="8"/>
        <v>1006.8667886195384</v>
      </c>
      <c r="BR13" s="204">
        <f t="shared" si="8"/>
        <v>1006.8667886195384</v>
      </c>
      <c r="BS13" s="204">
        <f t="shared" si="8"/>
        <v>1006.8667886195384</v>
      </c>
      <c r="BT13" s="204">
        <f t="shared" si="8"/>
        <v>1006.8667886195384</v>
      </c>
      <c r="BU13" s="204">
        <f t="shared" si="8"/>
        <v>1006.8667886195384</v>
      </c>
      <c r="BV13" s="204">
        <f t="shared" si="8"/>
        <v>1006.8667886195384</v>
      </c>
      <c r="BW13" s="204">
        <f t="shared" si="8"/>
        <v>1006.8667886195384</v>
      </c>
      <c r="BX13" s="204">
        <f t="shared" si="8"/>
        <v>1006.8667886195384</v>
      </c>
      <c r="BY13" s="204">
        <f t="shared" si="8"/>
        <v>1006.8667886195384</v>
      </c>
      <c r="BZ13" s="204">
        <f t="shared" si="8"/>
        <v>1006.8667886195384</v>
      </c>
      <c r="CA13" s="204">
        <f t="shared" si="2"/>
        <v>1006.8667886195384</v>
      </c>
      <c r="CB13" s="204">
        <f t="shared" si="2"/>
        <v>1006.8667886195384</v>
      </c>
      <c r="CC13" s="204">
        <f t="shared" si="2"/>
        <v>1006.8667886195384</v>
      </c>
      <c r="CD13" s="204">
        <f t="shared" si="2"/>
        <v>1006.8667886195384</v>
      </c>
      <c r="CE13" s="204">
        <f t="shared" si="2"/>
        <v>1006.8667886195384</v>
      </c>
      <c r="CF13" s="204">
        <f t="shared" si="2"/>
        <v>1006.8667886195384</v>
      </c>
      <c r="CG13" s="204">
        <f t="shared" si="2"/>
        <v>1006.8667886195384</v>
      </c>
      <c r="CH13" s="204">
        <f t="shared" si="2"/>
        <v>1006.8667886195384</v>
      </c>
      <c r="CI13" s="204">
        <f t="shared" si="2"/>
        <v>1006.8667886195384</v>
      </c>
      <c r="CJ13" s="204">
        <f t="shared" si="2"/>
        <v>1006.8667886195384</v>
      </c>
      <c r="CK13" s="204">
        <f t="shared" si="2"/>
        <v>1006.8667886195384</v>
      </c>
      <c r="CL13" s="204">
        <f t="shared" si="2"/>
        <v>1006.8667886195384</v>
      </c>
      <c r="CM13" s="204">
        <f t="shared" si="2"/>
        <v>1006.8667886195384</v>
      </c>
      <c r="CN13" s="204">
        <f t="shared" si="2"/>
        <v>1006.8667886195384</v>
      </c>
      <c r="CO13" s="204">
        <f t="shared" si="2"/>
        <v>1006.8667886195384</v>
      </c>
      <c r="CP13" s="204">
        <f t="shared" si="2"/>
        <v>1006.8667886195384</v>
      </c>
      <c r="CQ13" s="204">
        <f t="shared" si="2"/>
        <v>1006.8667886195384</v>
      </c>
      <c r="CR13" s="204">
        <f t="shared" si="2"/>
        <v>1006.8667886195384</v>
      </c>
      <c r="CS13" s="204">
        <f t="shared" si="3"/>
        <v>1006.8667886195384</v>
      </c>
      <c r="CT13" s="204">
        <f t="shared" si="3"/>
        <v>1006.8667886195384</v>
      </c>
      <c r="CU13" s="204">
        <f t="shared" si="3"/>
        <v>1006.8667886195384</v>
      </c>
      <c r="CV13" s="204">
        <f t="shared" si="3"/>
        <v>1006.8667886195384</v>
      </c>
      <c r="CW13" s="204">
        <f t="shared" si="3"/>
        <v>894.99270099514524</v>
      </c>
      <c r="CX13" s="204">
        <f t="shared" si="3"/>
        <v>894.99270099514524</v>
      </c>
      <c r="CY13" s="204">
        <f t="shared" si="3"/>
        <v>894.99270099514524</v>
      </c>
      <c r="CZ13" s="204">
        <f t="shared" si="3"/>
        <v>894.99270099514524</v>
      </c>
      <c r="DA13" s="204">
        <f t="shared" si="3"/>
        <v>894.99270099514524</v>
      </c>
      <c r="DB13" s="204"/>
    </row>
    <row r="14" spans="1:106">
      <c r="A14" s="201" t="str">
        <f>Income!A85</f>
        <v>Cash transfer - official</v>
      </c>
      <c r="B14" s="203">
        <f>Income!B85</f>
        <v>22020</v>
      </c>
      <c r="C14" s="203">
        <f>Income!C85</f>
        <v>22020</v>
      </c>
      <c r="D14" s="203">
        <f>Income!D85</f>
        <v>22020</v>
      </c>
      <c r="E14" s="203">
        <f>Income!E85</f>
        <v>5477.333333333333</v>
      </c>
      <c r="F14" s="204">
        <f t="shared" si="4"/>
        <v>22020</v>
      </c>
      <c r="G14" s="204">
        <f t="shared" si="4"/>
        <v>22020</v>
      </c>
      <c r="H14" s="204">
        <f t="shared" si="4"/>
        <v>22020</v>
      </c>
      <c r="I14" s="204">
        <f t="shared" si="4"/>
        <v>22020</v>
      </c>
      <c r="J14" s="204">
        <f t="shared" si="4"/>
        <v>22020</v>
      </c>
      <c r="K14" s="204">
        <f t="shared" si="4"/>
        <v>22020</v>
      </c>
      <c r="L14" s="204">
        <f t="shared" si="4"/>
        <v>22020</v>
      </c>
      <c r="M14" s="204">
        <f t="shared" si="4"/>
        <v>22020</v>
      </c>
      <c r="N14" s="204">
        <f t="shared" si="4"/>
        <v>22020</v>
      </c>
      <c r="O14" s="204">
        <f t="shared" si="4"/>
        <v>22020</v>
      </c>
      <c r="P14" s="204">
        <f t="shared" si="4"/>
        <v>22020</v>
      </c>
      <c r="Q14" s="204">
        <f t="shared" si="4"/>
        <v>22020</v>
      </c>
      <c r="R14" s="204">
        <f t="shared" si="4"/>
        <v>22020</v>
      </c>
      <c r="S14" s="204">
        <f t="shared" si="4"/>
        <v>22020</v>
      </c>
      <c r="T14" s="204">
        <f t="shared" si="4"/>
        <v>22020</v>
      </c>
      <c r="U14" s="204">
        <f t="shared" si="4"/>
        <v>22020</v>
      </c>
      <c r="V14" s="204">
        <f t="shared" si="6"/>
        <v>22020</v>
      </c>
      <c r="W14" s="204">
        <f t="shared" si="6"/>
        <v>22020</v>
      </c>
      <c r="X14" s="204">
        <f t="shared" si="6"/>
        <v>22020</v>
      </c>
      <c r="Y14" s="204">
        <f t="shared" si="6"/>
        <v>22020</v>
      </c>
      <c r="Z14" s="204">
        <f t="shared" si="6"/>
        <v>22020</v>
      </c>
      <c r="AA14" s="204">
        <f t="shared" si="6"/>
        <v>22020</v>
      </c>
      <c r="AB14" s="204">
        <f t="shared" si="6"/>
        <v>22020</v>
      </c>
      <c r="AC14" s="204">
        <f t="shared" si="6"/>
        <v>22020</v>
      </c>
      <c r="AD14" s="204">
        <f t="shared" si="6"/>
        <v>22020</v>
      </c>
      <c r="AE14" s="204">
        <f t="shared" si="6"/>
        <v>22020</v>
      </c>
      <c r="AF14" s="204">
        <f t="shared" si="6"/>
        <v>22020</v>
      </c>
      <c r="AG14" s="204">
        <f t="shared" si="6"/>
        <v>22020</v>
      </c>
      <c r="AH14" s="204">
        <f t="shared" si="6"/>
        <v>22020</v>
      </c>
      <c r="AI14" s="204">
        <f t="shared" si="6"/>
        <v>22020</v>
      </c>
      <c r="AJ14" s="204">
        <f t="shared" si="6"/>
        <v>22020</v>
      </c>
      <c r="AK14" s="204">
        <f t="shared" si="6"/>
        <v>22020</v>
      </c>
      <c r="AL14" s="204">
        <f t="shared" si="7"/>
        <v>22020</v>
      </c>
      <c r="AM14" s="204">
        <f t="shared" si="7"/>
        <v>22020</v>
      </c>
      <c r="AN14" s="204">
        <f t="shared" si="7"/>
        <v>22020</v>
      </c>
      <c r="AO14" s="204">
        <f t="shared" si="7"/>
        <v>22020</v>
      </c>
      <c r="AP14" s="204">
        <f t="shared" si="7"/>
        <v>22020</v>
      </c>
      <c r="AQ14" s="204">
        <f t="shared" si="7"/>
        <v>22020</v>
      </c>
      <c r="AR14" s="204">
        <f t="shared" si="7"/>
        <v>22020</v>
      </c>
      <c r="AS14" s="204">
        <f t="shared" si="7"/>
        <v>22020</v>
      </c>
      <c r="AT14" s="204">
        <f t="shared" si="7"/>
        <v>22020</v>
      </c>
      <c r="AU14" s="204">
        <f t="shared" si="7"/>
        <v>22020</v>
      </c>
      <c r="AV14" s="204">
        <f t="shared" si="7"/>
        <v>22020</v>
      </c>
      <c r="AW14" s="204">
        <f t="shared" si="7"/>
        <v>22020</v>
      </c>
      <c r="AX14" s="204">
        <f t="shared" si="7"/>
        <v>22020</v>
      </c>
      <c r="AY14" s="204">
        <f t="shared" si="7"/>
        <v>22020</v>
      </c>
      <c r="AZ14" s="204">
        <f t="shared" si="7"/>
        <v>22020</v>
      </c>
      <c r="BA14" s="204">
        <f t="shared" si="7"/>
        <v>22020</v>
      </c>
      <c r="BB14" s="204">
        <f t="shared" si="8"/>
        <v>22020</v>
      </c>
      <c r="BC14" s="204">
        <f t="shared" si="8"/>
        <v>22020</v>
      </c>
      <c r="BD14" s="204">
        <f t="shared" si="8"/>
        <v>22020</v>
      </c>
      <c r="BE14" s="204">
        <f t="shared" si="8"/>
        <v>22020</v>
      </c>
      <c r="BF14" s="204">
        <f t="shared" si="8"/>
        <v>22020</v>
      </c>
      <c r="BG14" s="204">
        <f t="shared" si="8"/>
        <v>22020</v>
      </c>
      <c r="BH14" s="204">
        <f t="shared" si="8"/>
        <v>22020</v>
      </c>
      <c r="BI14" s="204">
        <f t="shared" si="8"/>
        <v>22020</v>
      </c>
      <c r="BJ14" s="204">
        <f t="shared" si="8"/>
        <v>22020</v>
      </c>
      <c r="BK14" s="204">
        <f t="shared" si="8"/>
        <v>22020</v>
      </c>
      <c r="BL14" s="204">
        <f t="shared" si="8"/>
        <v>22020</v>
      </c>
      <c r="BM14" s="204">
        <f t="shared" si="8"/>
        <v>22020</v>
      </c>
      <c r="BN14" s="204">
        <f t="shared" si="8"/>
        <v>22020</v>
      </c>
      <c r="BO14" s="204">
        <f t="shared" si="8"/>
        <v>22020</v>
      </c>
      <c r="BP14" s="204">
        <f t="shared" si="8"/>
        <v>22020</v>
      </c>
      <c r="BQ14" s="204">
        <f t="shared" si="8"/>
        <v>22020</v>
      </c>
      <c r="BR14" s="204">
        <f t="shared" si="8"/>
        <v>22020</v>
      </c>
      <c r="BS14" s="204">
        <f t="shared" si="8"/>
        <v>22020</v>
      </c>
      <c r="BT14" s="204">
        <f t="shared" si="8"/>
        <v>22020</v>
      </c>
      <c r="BU14" s="204">
        <f t="shared" si="8"/>
        <v>22020</v>
      </c>
      <c r="BV14" s="204">
        <f t="shared" si="8"/>
        <v>22020</v>
      </c>
      <c r="BW14" s="204">
        <f t="shared" si="8"/>
        <v>22020</v>
      </c>
      <c r="BX14" s="204">
        <f t="shared" si="8"/>
        <v>22020</v>
      </c>
      <c r="BY14" s="204">
        <f t="shared" si="8"/>
        <v>22020</v>
      </c>
      <c r="BZ14" s="204">
        <f t="shared" si="8"/>
        <v>22020</v>
      </c>
      <c r="CA14" s="204">
        <f t="shared" si="2"/>
        <v>22020</v>
      </c>
      <c r="CB14" s="204">
        <f t="shared" si="2"/>
        <v>22020</v>
      </c>
      <c r="CC14" s="204">
        <f t="shared" si="2"/>
        <v>22020</v>
      </c>
      <c r="CD14" s="204">
        <f t="shared" si="2"/>
        <v>22020</v>
      </c>
      <c r="CE14" s="204">
        <f t="shared" si="2"/>
        <v>22020</v>
      </c>
      <c r="CF14" s="204">
        <f t="shared" si="2"/>
        <v>22020</v>
      </c>
      <c r="CG14" s="204">
        <f t="shared" si="2"/>
        <v>22020</v>
      </c>
      <c r="CH14" s="204">
        <f t="shared" si="2"/>
        <v>22020</v>
      </c>
      <c r="CI14" s="204">
        <f t="shared" si="2"/>
        <v>22020</v>
      </c>
      <c r="CJ14" s="204">
        <f t="shared" si="2"/>
        <v>22020</v>
      </c>
      <c r="CK14" s="204">
        <f t="shared" si="2"/>
        <v>22020</v>
      </c>
      <c r="CL14" s="204">
        <f t="shared" si="2"/>
        <v>22020</v>
      </c>
      <c r="CM14" s="204">
        <f t="shared" si="2"/>
        <v>22020</v>
      </c>
      <c r="CN14" s="204">
        <f t="shared" si="2"/>
        <v>22020</v>
      </c>
      <c r="CO14" s="204">
        <f t="shared" si="2"/>
        <v>22020</v>
      </c>
      <c r="CP14" s="204">
        <f t="shared" si="2"/>
        <v>22020</v>
      </c>
      <c r="CQ14" s="204">
        <f t="shared" si="2"/>
        <v>22020</v>
      </c>
      <c r="CR14" s="204">
        <f t="shared" si="2"/>
        <v>22020</v>
      </c>
      <c r="CS14" s="204">
        <f t="shared" si="3"/>
        <v>22020</v>
      </c>
      <c r="CT14" s="204">
        <f t="shared" si="3"/>
        <v>22020</v>
      </c>
      <c r="CU14" s="204">
        <f t="shared" si="3"/>
        <v>22020</v>
      </c>
      <c r="CV14" s="204">
        <f t="shared" si="3"/>
        <v>22020</v>
      </c>
      <c r="CW14" s="204">
        <f t="shared" si="3"/>
        <v>5477.333333333333</v>
      </c>
      <c r="CX14" s="204">
        <f t="shared" si="3"/>
        <v>5477.333333333333</v>
      </c>
      <c r="CY14" s="204">
        <f t="shared" si="3"/>
        <v>5477.333333333333</v>
      </c>
      <c r="CZ14" s="204">
        <f t="shared" si="3"/>
        <v>5477.333333333333</v>
      </c>
      <c r="DA14" s="204">
        <f t="shared" si="3"/>
        <v>5477.333333333333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25886.481970899989</v>
      </c>
      <c r="C16" s="203">
        <f>Income!C88</f>
        <v>29361.559217710233</v>
      </c>
      <c r="D16" s="203">
        <f>Income!D88</f>
        <v>40423.893778024401</v>
      </c>
      <c r="E16" s="203">
        <f>Income!E88</f>
        <v>58465.818571525422</v>
      </c>
      <c r="F16" s="204">
        <f t="shared" si="4"/>
        <v>25886.481970899989</v>
      </c>
      <c r="G16" s="204">
        <f t="shared" si="4"/>
        <v>25886.481970899989</v>
      </c>
      <c r="H16" s="204">
        <f t="shared" si="4"/>
        <v>25886.481970899989</v>
      </c>
      <c r="I16" s="204">
        <f t="shared" si="4"/>
        <v>25886.481970899989</v>
      </c>
      <c r="J16" s="204">
        <f t="shared" si="4"/>
        <v>25886.481970899989</v>
      </c>
      <c r="K16" s="204">
        <f t="shared" si="4"/>
        <v>25886.481970899989</v>
      </c>
      <c r="L16" s="204">
        <f t="shared" si="4"/>
        <v>25886.481970899989</v>
      </c>
      <c r="M16" s="204">
        <f t="shared" si="4"/>
        <v>25886.481970899989</v>
      </c>
      <c r="N16" s="204">
        <f t="shared" si="4"/>
        <v>25886.481970899989</v>
      </c>
      <c r="O16" s="204">
        <f t="shared" si="4"/>
        <v>25886.481970899989</v>
      </c>
      <c r="P16" s="204">
        <f t="shared" si="4"/>
        <v>25886.481970899989</v>
      </c>
      <c r="Q16" s="204">
        <f t="shared" si="4"/>
        <v>25886.481970899989</v>
      </c>
      <c r="R16" s="204">
        <f t="shared" si="4"/>
        <v>25886.481970899989</v>
      </c>
      <c r="S16" s="204">
        <f t="shared" si="4"/>
        <v>25886.481970899989</v>
      </c>
      <c r="T16" s="204">
        <f t="shared" si="4"/>
        <v>25886.481970899989</v>
      </c>
      <c r="U16" s="204">
        <f t="shared" si="4"/>
        <v>25886.481970899989</v>
      </c>
      <c r="V16" s="204">
        <f t="shared" si="6"/>
        <v>25886.481970899989</v>
      </c>
      <c r="W16" s="204">
        <f t="shared" si="6"/>
        <v>25886.481970899989</v>
      </c>
      <c r="X16" s="204">
        <f t="shared" si="6"/>
        <v>25886.481970899989</v>
      </c>
      <c r="Y16" s="204">
        <f t="shared" si="6"/>
        <v>25886.481970899989</v>
      </c>
      <c r="Z16" s="204">
        <f t="shared" si="6"/>
        <v>25886.481970899989</v>
      </c>
      <c r="AA16" s="204">
        <f t="shared" si="6"/>
        <v>25886.481970899989</v>
      </c>
      <c r="AB16" s="204">
        <f t="shared" si="6"/>
        <v>25886.481970899989</v>
      </c>
      <c r="AC16" s="204">
        <f t="shared" si="6"/>
        <v>25886.481970899989</v>
      </c>
      <c r="AD16" s="204">
        <f t="shared" si="6"/>
        <v>25886.481970899989</v>
      </c>
      <c r="AE16" s="204">
        <f>IF(AE$2&lt;=($B$2+$C$2+$D$2),IF(AE$2&lt;=($B$2+$C$2),IF(AE$2&lt;=$B$2,$B16,$C16),$D16),$E16)</f>
        <v>25886.481970899989</v>
      </c>
      <c r="AF16" s="204">
        <f t="shared" si="6"/>
        <v>25886.481970899989</v>
      </c>
      <c r="AG16" s="204">
        <f t="shared" si="6"/>
        <v>25886.481970899989</v>
      </c>
      <c r="AH16" s="204">
        <f t="shared" si="6"/>
        <v>25886.481970899989</v>
      </c>
      <c r="AI16" s="204">
        <f t="shared" si="6"/>
        <v>25886.481970899989</v>
      </c>
      <c r="AJ16" s="204">
        <f t="shared" si="6"/>
        <v>25886.481970899989</v>
      </c>
      <c r="AK16" s="204">
        <f t="shared" si="6"/>
        <v>25886.481970899989</v>
      </c>
      <c r="AL16" s="204">
        <f t="shared" si="7"/>
        <v>25886.481970899989</v>
      </c>
      <c r="AM16" s="204">
        <f t="shared" si="7"/>
        <v>25886.481970899989</v>
      </c>
      <c r="AN16" s="204">
        <f t="shared" si="7"/>
        <v>25886.481970899989</v>
      </c>
      <c r="AO16" s="204">
        <f t="shared" si="7"/>
        <v>25886.481970899989</v>
      </c>
      <c r="AP16" s="204">
        <f t="shared" si="7"/>
        <v>25886.481970899989</v>
      </c>
      <c r="AQ16" s="204">
        <f t="shared" si="7"/>
        <v>25886.481970899989</v>
      </c>
      <c r="AR16" s="204">
        <f t="shared" si="7"/>
        <v>25886.481970899989</v>
      </c>
      <c r="AS16" s="204">
        <f t="shared" si="7"/>
        <v>25886.481970899989</v>
      </c>
      <c r="AT16" s="204">
        <f t="shared" si="7"/>
        <v>25886.481970899989</v>
      </c>
      <c r="AU16" s="204">
        <f t="shared" si="7"/>
        <v>25886.481970899989</v>
      </c>
      <c r="AV16" s="204">
        <f t="shared" si="7"/>
        <v>25886.481970899989</v>
      </c>
      <c r="AW16" s="204">
        <f t="shared" si="7"/>
        <v>25886.481970899989</v>
      </c>
      <c r="AX16" s="204">
        <f t="shared" si="8"/>
        <v>25886.481970899989</v>
      </c>
      <c r="AY16" s="204">
        <f t="shared" si="8"/>
        <v>25886.481970899989</v>
      </c>
      <c r="AZ16" s="204">
        <f t="shared" si="8"/>
        <v>25886.481970899989</v>
      </c>
      <c r="BA16" s="204">
        <f t="shared" si="8"/>
        <v>25886.481970899989</v>
      </c>
      <c r="BB16" s="204">
        <f t="shared" si="8"/>
        <v>25886.481970899989</v>
      </c>
      <c r="BC16" s="204">
        <f t="shared" si="8"/>
        <v>25886.481970899989</v>
      </c>
      <c r="BD16" s="204">
        <f t="shared" si="8"/>
        <v>29361.559217710233</v>
      </c>
      <c r="BE16" s="204">
        <f t="shared" si="8"/>
        <v>29361.559217710233</v>
      </c>
      <c r="BF16" s="204">
        <f t="shared" si="8"/>
        <v>29361.559217710233</v>
      </c>
      <c r="BG16" s="204">
        <f t="shared" si="8"/>
        <v>29361.559217710233</v>
      </c>
      <c r="BH16" s="204">
        <f t="shared" si="8"/>
        <v>29361.559217710233</v>
      </c>
      <c r="BI16" s="204">
        <f t="shared" si="8"/>
        <v>29361.559217710233</v>
      </c>
      <c r="BJ16" s="204">
        <f t="shared" si="8"/>
        <v>29361.559217710233</v>
      </c>
      <c r="BK16" s="204">
        <f t="shared" si="8"/>
        <v>29361.559217710233</v>
      </c>
      <c r="BL16" s="204">
        <f t="shared" si="8"/>
        <v>29361.559217710233</v>
      </c>
      <c r="BM16" s="204">
        <f t="shared" si="8"/>
        <v>29361.559217710233</v>
      </c>
      <c r="BN16" s="204">
        <f t="shared" si="8"/>
        <v>29361.559217710233</v>
      </c>
      <c r="BO16" s="204">
        <f t="shared" si="8"/>
        <v>29361.559217710233</v>
      </c>
      <c r="BP16" s="204">
        <f t="shared" si="8"/>
        <v>29361.559217710233</v>
      </c>
      <c r="BQ16" s="204">
        <f t="shared" si="8"/>
        <v>29361.559217710233</v>
      </c>
      <c r="BR16" s="204">
        <f t="shared" si="8"/>
        <v>29361.559217710233</v>
      </c>
      <c r="BS16" s="204">
        <f t="shared" si="8"/>
        <v>29361.559217710233</v>
      </c>
      <c r="BT16" s="204">
        <f t="shared" si="8"/>
        <v>29361.559217710233</v>
      </c>
      <c r="BU16" s="204">
        <f t="shared" si="8"/>
        <v>29361.559217710233</v>
      </c>
      <c r="BV16" s="204">
        <f t="shared" si="8"/>
        <v>29361.559217710233</v>
      </c>
      <c r="BW16" s="204">
        <f t="shared" si="8"/>
        <v>29361.559217710233</v>
      </c>
      <c r="BX16" s="204">
        <f t="shared" si="8"/>
        <v>29361.559217710233</v>
      </c>
      <c r="BY16" s="204">
        <f t="shared" si="8"/>
        <v>29361.559217710233</v>
      </c>
      <c r="BZ16" s="204">
        <f t="shared" si="8"/>
        <v>29361.559217710233</v>
      </c>
      <c r="CA16" s="204">
        <f t="shared" ref="CA16:CB18" si="10">IF(CA$2&lt;=($B$2+$C$2+$D$2),IF(CA$2&lt;=($B$2+$C$2),IF(CA$2&lt;=$B$2,$B16,$C16),$D16),$E16)</f>
        <v>29361.559217710233</v>
      </c>
      <c r="CB16" s="204">
        <f t="shared" si="10"/>
        <v>29361.559217710233</v>
      </c>
      <c r="CC16" s="204">
        <f t="shared" si="9"/>
        <v>29361.559217710233</v>
      </c>
      <c r="CD16" s="204">
        <f t="shared" si="9"/>
        <v>29361.559217710233</v>
      </c>
      <c r="CE16" s="204">
        <f t="shared" si="9"/>
        <v>29361.559217710233</v>
      </c>
      <c r="CF16" s="204">
        <f t="shared" si="9"/>
        <v>29361.559217710233</v>
      </c>
      <c r="CG16" s="204">
        <f t="shared" si="9"/>
        <v>29361.559217710233</v>
      </c>
      <c r="CH16" s="204">
        <f t="shared" si="9"/>
        <v>40423.893778024401</v>
      </c>
      <c r="CI16" s="204">
        <f t="shared" si="9"/>
        <v>40423.893778024401</v>
      </c>
      <c r="CJ16" s="204">
        <f t="shared" si="9"/>
        <v>40423.893778024401</v>
      </c>
      <c r="CK16" s="204">
        <f t="shared" si="9"/>
        <v>40423.893778024401</v>
      </c>
      <c r="CL16" s="204">
        <f t="shared" si="9"/>
        <v>40423.893778024401</v>
      </c>
      <c r="CM16" s="204">
        <f t="shared" si="9"/>
        <v>40423.893778024401</v>
      </c>
      <c r="CN16" s="204">
        <f t="shared" si="9"/>
        <v>40423.893778024401</v>
      </c>
      <c r="CO16" s="204">
        <f t="shared" si="9"/>
        <v>40423.893778024401</v>
      </c>
      <c r="CP16" s="204">
        <f t="shared" si="9"/>
        <v>40423.893778024401</v>
      </c>
      <c r="CQ16" s="204">
        <f t="shared" si="9"/>
        <v>40423.893778024401</v>
      </c>
      <c r="CR16" s="204">
        <f t="shared" si="9"/>
        <v>40423.893778024401</v>
      </c>
      <c r="CS16" s="204">
        <f t="shared" ref="CS16:DA18" si="11">IF(CS$2&lt;=($B$2+$C$2+$D$2),IF(CS$2&lt;=($B$2+$C$2),IF(CS$2&lt;=$B$2,$B16,$C16),$D16),$E16)</f>
        <v>40423.893778024401</v>
      </c>
      <c r="CT16" s="204">
        <f t="shared" si="11"/>
        <v>40423.893778024401</v>
      </c>
      <c r="CU16" s="204">
        <f t="shared" si="11"/>
        <v>40423.893778024401</v>
      </c>
      <c r="CV16" s="204">
        <f t="shared" si="11"/>
        <v>40423.893778024401</v>
      </c>
      <c r="CW16" s="204">
        <f t="shared" si="11"/>
        <v>58465.818571525422</v>
      </c>
      <c r="CX16" s="204">
        <f t="shared" si="11"/>
        <v>58465.818571525422</v>
      </c>
      <c r="CY16" s="204">
        <f t="shared" si="11"/>
        <v>58465.818571525422</v>
      </c>
      <c r="CZ16" s="204">
        <f t="shared" si="11"/>
        <v>58465.818571525422</v>
      </c>
      <c r="DA16" s="204">
        <f t="shared" si="11"/>
        <v>58465.818571525422</v>
      </c>
      <c r="DB16" s="204"/>
    </row>
    <row r="17" spans="1:105">
      <c r="A17" s="201" t="s">
        <v>101</v>
      </c>
      <c r="B17" s="203">
        <f>Income!B89</f>
        <v>20136.903793668345</v>
      </c>
      <c r="C17" s="203">
        <f>Income!C89</f>
        <v>20136.903793668345</v>
      </c>
      <c r="D17" s="203">
        <f>Income!D89</f>
        <v>20136.903793668345</v>
      </c>
      <c r="E17" s="203">
        <f>Income!E89</f>
        <v>20136.903793668345</v>
      </c>
      <c r="F17" s="204">
        <f t="shared" si="4"/>
        <v>20136.903793668345</v>
      </c>
      <c r="G17" s="204">
        <f t="shared" si="4"/>
        <v>20136.903793668345</v>
      </c>
      <c r="H17" s="204">
        <f t="shared" si="4"/>
        <v>20136.903793668345</v>
      </c>
      <c r="I17" s="204">
        <f t="shared" si="4"/>
        <v>20136.903793668345</v>
      </c>
      <c r="J17" s="204">
        <f t="shared" si="4"/>
        <v>20136.903793668345</v>
      </c>
      <c r="K17" s="204">
        <f t="shared" si="4"/>
        <v>20136.903793668345</v>
      </c>
      <c r="L17" s="204">
        <f t="shared" si="4"/>
        <v>20136.903793668345</v>
      </c>
      <c r="M17" s="204">
        <f t="shared" si="4"/>
        <v>20136.903793668345</v>
      </c>
      <c r="N17" s="204">
        <f t="shared" si="4"/>
        <v>20136.903793668345</v>
      </c>
      <c r="O17" s="204">
        <f t="shared" si="4"/>
        <v>20136.903793668345</v>
      </c>
      <c r="P17" s="204">
        <f t="shared" si="4"/>
        <v>20136.903793668345</v>
      </c>
      <c r="Q17" s="204">
        <f t="shared" si="4"/>
        <v>20136.903793668345</v>
      </c>
      <c r="R17" s="204">
        <f t="shared" si="4"/>
        <v>20136.903793668345</v>
      </c>
      <c r="S17" s="204">
        <f t="shared" si="4"/>
        <v>20136.903793668345</v>
      </c>
      <c r="T17" s="204">
        <f t="shared" si="4"/>
        <v>20136.903793668345</v>
      </c>
      <c r="U17" s="204">
        <f t="shared" si="4"/>
        <v>20136.903793668345</v>
      </c>
      <c r="V17" s="204">
        <f t="shared" si="6"/>
        <v>20136.903793668345</v>
      </c>
      <c r="W17" s="204">
        <f t="shared" si="6"/>
        <v>20136.903793668345</v>
      </c>
      <c r="X17" s="204">
        <f t="shared" si="6"/>
        <v>20136.903793668345</v>
      </c>
      <c r="Y17" s="204">
        <f t="shared" si="6"/>
        <v>20136.903793668345</v>
      </c>
      <c r="Z17" s="204">
        <f t="shared" si="6"/>
        <v>20136.903793668345</v>
      </c>
      <c r="AA17" s="204">
        <f t="shared" si="6"/>
        <v>20136.903793668345</v>
      </c>
      <c r="AB17" s="204">
        <f t="shared" si="6"/>
        <v>20136.903793668345</v>
      </c>
      <c r="AC17" s="204">
        <f t="shared" si="6"/>
        <v>20136.903793668345</v>
      </c>
      <c r="AD17" s="204">
        <f t="shared" si="6"/>
        <v>20136.903793668345</v>
      </c>
      <c r="AE17" s="204">
        <f t="shared" si="6"/>
        <v>20136.903793668345</v>
      </c>
      <c r="AF17" s="204">
        <f t="shared" si="6"/>
        <v>20136.903793668345</v>
      </c>
      <c r="AG17" s="204">
        <f t="shared" si="6"/>
        <v>20136.903793668345</v>
      </c>
      <c r="AH17" s="204">
        <f t="shared" si="6"/>
        <v>20136.903793668345</v>
      </c>
      <c r="AI17" s="204">
        <f t="shared" si="6"/>
        <v>20136.903793668345</v>
      </c>
      <c r="AJ17" s="204">
        <f t="shared" si="6"/>
        <v>20136.903793668345</v>
      </c>
      <c r="AK17" s="204">
        <f t="shared" si="6"/>
        <v>20136.903793668345</v>
      </c>
      <c r="AL17" s="204">
        <f t="shared" si="7"/>
        <v>20136.903793668345</v>
      </c>
      <c r="AM17" s="204">
        <f t="shared" si="7"/>
        <v>20136.903793668345</v>
      </c>
      <c r="AN17" s="204">
        <f t="shared" si="7"/>
        <v>20136.903793668345</v>
      </c>
      <c r="AO17" s="204">
        <f t="shared" si="7"/>
        <v>20136.903793668345</v>
      </c>
      <c r="AP17" s="204">
        <f t="shared" si="7"/>
        <v>20136.903793668345</v>
      </c>
      <c r="AQ17" s="204">
        <f t="shared" si="7"/>
        <v>20136.903793668345</v>
      </c>
      <c r="AR17" s="204">
        <f t="shared" si="7"/>
        <v>20136.903793668345</v>
      </c>
      <c r="AS17" s="204">
        <f t="shared" si="7"/>
        <v>20136.903793668345</v>
      </c>
      <c r="AT17" s="204">
        <f t="shared" si="7"/>
        <v>20136.903793668345</v>
      </c>
      <c r="AU17" s="204">
        <f t="shared" si="7"/>
        <v>20136.903793668345</v>
      </c>
      <c r="AV17" s="204">
        <f t="shared" si="7"/>
        <v>20136.903793668345</v>
      </c>
      <c r="AW17" s="204">
        <f t="shared" si="7"/>
        <v>20136.903793668345</v>
      </c>
      <c r="AX17" s="204">
        <f t="shared" si="8"/>
        <v>20136.903793668345</v>
      </c>
      <c r="AY17" s="204">
        <f t="shared" si="8"/>
        <v>20136.903793668345</v>
      </c>
      <c r="AZ17" s="204">
        <f t="shared" si="8"/>
        <v>20136.903793668345</v>
      </c>
      <c r="BA17" s="204">
        <f t="shared" si="8"/>
        <v>20136.903793668345</v>
      </c>
      <c r="BB17" s="204">
        <f t="shared" si="8"/>
        <v>20136.903793668345</v>
      </c>
      <c r="BC17" s="204">
        <f t="shared" si="8"/>
        <v>20136.903793668345</v>
      </c>
      <c r="BD17" s="204">
        <f t="shared" si="8"/>
        <v>20136.903793668345</v>
      </c>
      <c r="BE17" s="204">
        <f t="shared" si="8"/>
        <v>20136.903793668345</v>
      </c>
      <c r="BF17" s="204">
        <f t="shared" si="8"/>
        <v>20136.903793668345</v>
      </c>
      <c r="BG17" s="204">
        <f t="shared" si="8"/>
        <v>20136.903793668345</v>
      </c>
      <c r="BH17" s="204">
        <f t="shared" si="8"/>
        <v>20136.903793668345</v>
      </c>
      <c r="BI17" s="204">
        <f t="shared" si="8"/>
        <v>20136.903793668345</v>
      </c>
      <c r="BJ17" s="204">
        <f t="shared" si="8"/>
        <v>20136.903793668345</v>
      </c>
      <c r="BK17" s="204">
        <f t="shared" si="8"/>
        <v>20136.903793668345</v>
      </c>
      <c r="BL17" s="204">
        <f t="shared" si="8"/>
        <v>20136.903793668345</v>
      </c>
      <c r="BM17" s="204">
        <f t="shared" si="8"/>
        <v>20136.903793668345</v>
      </c>
      <c r="BN17" s="204">
        <f t="shared" si="8"/>
        <v>20136.903793668345</v>
      </c>
      <c r="BO17" s="204">
        <f t="shared" si="8"/>
        <v>20136.903793668345</v>
      </c>
      <c r="BP17" s="204">
        <f t="shared" si="8"/>
        <v>20136.903793668345</v>
      </c>
      <c r="BQ17" s="204">
        <f t="shared" si="8"/>
        <v>20136.903793668345</v>
      </c>
      <c r="BR17" s="204">
        <f t="shared" si="8"/>
        <v>20136.903793668345</v>
      </c>
      <c r="BS17" s="204">
        <f t="shared" si="8"/>
        <v>20136.903793668345</v>
      </c>
      <c r="BT17" s="204">
        <f t="shared" si="8"/>
        <v>20136.903793668345</v>
      </c>
      <c r="BU17" s="204">
        <f t="shared" si="8"/>
        <v>20136.903793668345</v>
      </c>
      <c r="BV17" s="204">
        <f t="shared" si="8"/>
        <v>20136.903793668345</v>
      </c>
      <c r="BW17" s="204">
        <f t="shared" si="8"/>
        <v>20136.903793668345</v>
      </c>
      <c r="BX17" s="204">
        <f t="shared" si="8"/>
        <v>20136.903793668345</v>
      </c>
      <c r="BY17" s="204">
        <f t="shared" si="8"/>
        <v>20136.903793668345</v>
      </c>
      <c r="BZ17" s="204">
        <f t="shared" si="8"/>
        <v>20136.903793668345</v>
      </c>
      <c r="CA17" s="204">
        <f t="shared" si="10"/>
        <v>20136.903793668345</v>
      </c>
      <c r="CB17" s="204">
        <f t="shared" si="10"/>
        <v>20136.903793668345</v>
      </c>
      <c r="CC17" s="204">
        <f t="shared" si="9"/>
        <v>20136.903793668345</v>
      </c>
      <c r="CD17" s="204">
        <f t="shared" si="9"/>
        <v>20136.903793668345</v>
      </c>
      <c r="CE17" s="204">
        <f t="shared" si="9"/>
        <v>20136.903793668345</v>
      </c>
      <c r="CF17" s="204">
        <f t="shared" si="9"/>
        <v>20136.903793668345</v>
      </c>
      <c r="CG17" s="204">
        <f t="shared" si="9"/>
        <v>20136.903793668345</v>
      </c>
      <c r="CH17" s="204">
        <f t="shared" si="9"/>
        <v>20136.903793668345</v>
      </c>
      <c r="CI17" s="204">
        <f t="shared" si="9"/>
        <v>20136.903793668345</v>
      </c>
      <c r="CJ17" s="204">
        <f t="shared" si="9"/>
        <v>20136.903793668345</v>
      </c>
      <c r="CK17" s="204">
        <f t="shared" si="9"/>
        <v>20136.903793668345</v>
      </c>
      <c r="CL17" s="204">
        <f t="shared" si="9"/>
        <v>20136.903793668345</v>
      </c>
      <c r="CM17" s="204">
        <f t="shared" si="9"/>
        <v>20136.903793668345</v>
      </c>
      <c r="CN17" s="204">
        <f t="shared" si="9"/>
        <v>20136.903793668345</v>
      </c>
      <c r="CO17" s="204">
        <f t="shared" si="9"/>
        <v>20136.903793668345</v>
      </c>
      <c r="CP17" s="204">
        <f t="shared" si="9"/>
        <v>20136.903793668345</v>
      </c>
      <c r="CQ17" s="204">
        <f t="shared" si="9"/>
        <v>20136.903793668345</v>
      </c>
      <c r="CR17" s="204">
        <f t="shared" si="9"/>
        <v>20136.903793668345</v>
      </c>
      <c r="CS17" s="204">
        <f t="shared" si="11"/>
        <v>20136.903793668345</v>
      </c>
      <c r="CT17" s="204">
        <f t="shared" si="11"/>
        <v>20136.903793668345</v>
      </c>
      <c r="CU17" s="204">
        <f t="shared" si="11"/>
        <v>20136.903793668345</v>
      </c>
      <c r="CV17" s="204">
        <f t="shared" si="11"/>
        <v>20136.903793668345</v>
      </c>
      <c r="CW17" s="204">
        <f t="shared" si="11"/>
        <v>20136.903793668345</v>
      </c>
      <c r="CX17" s="204">
        <f t="shared" si="11"/>
        <v>20136.903793668345</v>
      </c>
      <c r="CY17" s="204">
        <f t="shared" si="11"/>
        <v>20136.903793668345</v>
      </c>
      <c r="CZ17" s="204">
        <f t="shared" si="11"/>
        <v>20136.903793668345</v>
      </c>
      <c r="DA17" s="204">
        <f t="shared" si="11"/>
        <v>20136.903793668345</v>
      </c>
    </row>
    <row r="18" spans="1:105">
      <c r="A18" s="201" t="s">
        <v>85</v>
      </c>
      <c r="B18" s="203">
        <f>Income!B90</f>
        <v>34115.570460335017</v>
      </c>
      <c r="C18" s="203">
        <f>Income!C90</f>
        <v>34115.570460335017</v>
      </c>
      <c r="D18" s="203">
        <f>Income!D90</f>
        <v>34115.570460335017</v>
      </c>
      <c r="E18" s="203">
        <f>Income!E90</f>
        <v>34115.570460335017</v>
      </c>
      <c r="F18" s="204">
        <f t="shared" ref="F18:U18" si="12">IF(F$2&lt;=($B$2+$C$2+$D$2),IF(F$2&lt;=($B$2+$C$2),IF(F$2&lt;=$B$2,$B18,$C18),$D18),$E18)</f>
        <v>34115.570460335017</v>
      </c>
      <c r="G18" s="204">
        <f t="shared" si="12"/>
        <v>34115.570460335017</v>
      </c>
      <c r="H18" s="204">
        <f t="shared" si="12"/>
        <v>34115.570460335017</v>
      </c>
      <c r="I18" s="204">
        <f t="shared" si="12"/>
        <v>34115.570460335017</v>
      </c>
      <c r="J18" s="204">
        <f t="shared" si="12"/>
        <v>34115.570460335017</v>
      </c>
      <c r="K18" s="204">
        <f t="shared" si="12"/>
        <v>34115.570460335017</v>
      </c>
      <c r="L18" s="204">
        <f t="shared" si="12"/>
        <v>34115.570460335017</v>
      </c>
      <c r="M18" s="204">
        <f t="shared" si="12"/>
        <v>34115.570460335017</v>
      </c>
      <c r="N18" s="204">
        <f t="shared" si="12"/>
        <v>34115.570460335017</v>
      </c>
      <c r="O18" s="204">
        <f t="shared" si="12"/>
        <v>34115.570460335017</v>
      </c>
      <c r="P18" s="204">
        <f t="shared" si="12"/>
        <v>34115.570460335017</v>
      </c>
      <c r="Q18" s="204">
        <f t="shared" si="12"/>
        <v>34115.570460335017</v>
      </c>
      <c r="R18" s="204">
        <f t="shared" si="12"/>
        <v>34115.570460335017</v>
      </c>
      <c r="S18" s="204">
        <f t="shared" si="12"/>
        <v>34115.570460335017</v>
      </c>
      <c r="T18" s="204">
        <f t="shared" si="12"/>
        <v>34115.570460335017</v>
      </c>
      <c r="U18" s="204">
        <f t="shared" si="12"/>
        <v>34115.570460335017</v>
      </c>
      <c r="V18" s="204">
        <f t="shared" si="6"/>
        <v>34115.570460335017</v>
      </c>
      <c r="W18" s="204">
        <f t="shared" si="6"/>
        <v>34115.570460335017</v>
      </c>
      <c r="X18" s="204">
        <f t="shared" si="6"/>
        <v>34115.570460335017</v>
      </c>
      <c r="Y18" s="204">
        <f t="shared" si="6"/>
        <v>34115.570460335017</v>
      </c>
      <c r="Z18" s="204">
        <f t="shared" si="6"/>
        <v>34115.570460335017</v>
      </c>
      <c r="AA18" s="204">
        <f t="shared" si="6"/>
        <v>34115.570460335017</v>
      </c>
      <c r="AB18" s="204">
        <f t="shared" si="6"/>
        <v>34115.570460335017</v>
      </c>
      <c r="AC18" s="204">
        <f t="shared" si="6"/>
        <v>34115.570460335017</v>
      </c>
      <c r="AD18" s="204">
        <f t="shared" si="6"/>
        <v>34115.570460335017</v>
      </c>
      <c r="AE18" s="204">
        <f t="shared" si="6"/>
        <v>34115.570460335017</v>
      </c>
      <c r="AF18" s="204">
        <f t="shared" si="6"/>
        <v>34115.570460335017</v>
      </c>
      <c r="AG18" s="204">
        <f t="shared" si="6"/>
        <v>34115.570460335017</v>
      </c>
      <c r="AH18" s="204">
        <f t="shared" si="6"/>
        <v>34115.570460335017</v>
      </c>
      <c r="AI18" s="204">
        <f t="shared" si="6"/>
        <v>34115.570460335017</v>
      </c>
      <c r="AJ18" s="204">
        <f t="shared" si="6"/>
        <v>34115.570460335017</v>
      </c>
      <c r="AK18" s="204">
        <f t="shared" si="6"/>
        <v>34115.570460335017</v>
      </c>
      <c r="AL18" s="204">
        <f t="shared" si="7"/>
        <v>34115.570460335017</v>
      </c>
      <c r="AM18" s="204">
        <f t="shared" si="7"/>
        <v>34115.570460335017</v>
      </c>
      <c r="AN18" s="204">
        <f t="shared" si="7"/>
        <v>34115.570460335017</v>
      </c>
      <c r="AO18" s="204">
        <f t="shared" si="7"/>
        <v>34115.570460335017</v>
      </c>
      <c r="AP18" s="204">
        <f t="shared" si="7"/>
        <v>34115.570460335017</v>
      </c>
      <c r="AQ18" s="204">
        <f t="shared" si="7"/>
        <v>34115.570460335017</v>
      </c>
      <c r="AR18" s="204">
        <f t="shared" si="7"/>
        <v>34115.570460335017</v>
      </c>
      <c r="AS18" s="204">
        <f t="shared" si="7"/>
        <v>34115.570460335017</v>
      </c>
      <c r="AT18" s="204">
        <f t="shared" si="7"/>
        <v>34115.570460335017</v>
      </c>
      <c r="AU18" s="204">
        <f t="shared" si="7"/>
        <v>34115.570460335017</v>
      </c>
      <c r="AV18" s="204">
        <f t="shared" si="7"/>
        <v>34115.570460335017</v>
      </c>
      <c r="AW18" s="204">
        <f t="shared" si="7"/>
        <v>34115.570460335017</v>
      </c>
      <c r="AX18" s="204">
        <f t="shared" si="8"/>
        <v>34115.570460335017</v>
      </c>
      <c r="AY18" s="204">
        <f t="shared" si="8"/>
        <v>34115.570460335017</v>
      </c>
      <c r="AZ18" s="204">
        <f t="shared" si="8"/>
        <v>34115.570460335017</v>
      </c>
      <c r="BA18" s="204">
        <f t="shared" si="8"/>
        <v>34115.570460335017</v>
      </c>
      <c r="BB18" s="204">
        <f t="shared" si="8"/>
        <v>34115.570460335017</v>
      </c>
      <c r="BC18" s="204">
        <f t="shared" si="8"/>
        <v>34115.570460335017</v>
      </c>
      <c r="BD18" s="204">
        <f t="shared" si="8"/>
        <v>34115.570460335017</v>
      </c>
      <c r="BE18" s="204">
        <f t="shared" si="8"/>
        <v>34115.570460335017</v>
      </c>
      <c r="BF18" s="204">
        <f t="shared" si="8"/>
        <v>34115.570460335017</v>
      </c>
      <c r="BG18" s="204">
        <f t="shared" si="8"/>
        <v>34115.570460335017</v>
      </c>
      <c r="BH18" s="204">
        <f t="shared" si="8"/>
        <v>34115.570460335017</v>
      </c>
      <c r="BI18" s="204">
        <f t="shared" si="8"/>
        <v>34115.570460335017</v>
      </c>
      <c r="BJ18" s="204">
        <f t="shared" si="8"/>
        <v>34115.570460335017</v>
      </c>
      <c r="BK18" s="204">
        <f t="shared" si="8"/>
        <v>34115.570460335017</v>
      </c>
      <c r="BL18" s="204">
        <f t="shared" ref="BL18:BZ18" si="13">IF(BL$2&lt;=($B$2+$C$2+$D$2),IF(BL$2&lt;=($B$2+$C$2),IF(BL$2&lt;=$B$2,$B18,$C18),$D18),$E18)</f>
        <v>34115.570460335017</v>
      </c>
      <c r="BM18" s="204">
        <f t="shared" si="13"/>
        <v>34115.570460335017</v>
      </c>
      <c r="BN18" s="204">
        <f t="shared" si="13"/>
        <v>34115.570460335017</v>
      </c>
      <c r="BO18" s="204">
        <f t="shared" si="13"/>
        <v>34115.570460335017</v>
      </c>
      <c r="BP18" s="204">
        <f t="shared" si="13"/>
        <v>34115.570460335017</v>
      </c>
      <c r="BQ18" s="204">
        <f t="shared" si="13"/>
        <v>34115.570460335017</v>
      </c>
      <c r="BR18" s="204">
        <f t="shared" si="13"/>
        <v>34115.570460335017</v>
      </c>
      <c r="BS18" s="204">
        <f t="shared" si="13"/>
        <v>34115.570460335017</v>
      </c>
      <c r="BT18" s="204">
        <f t="shared" si="13"/>
        <v>34115.570460335017</v>
      </c>
      <c r="BU18" s="204">
        <f t="shared" si="13"/>
        <v>34115.570460335017</v>
      </c>
      <c r="BV18" s="204">
        <f t="shared" si="13"/>
        <v>34115.570460335017</v>
      </c>
      <c r="BW18" s="204">
        <f t="shared" si="13"/>
        <v>34115.570460335017</v>
      </c>
      <c r="BX18" s="204">
        <f t="shared" si="13"/>
        <v>34115.570460335017</v>
      </c>
      <c r="BY18" s="204">
        <f t="shared" si="13"/>
        <v>34115.570460335017</v>
      </c>
      <c r="BZ18" s="204">
        <f t="shared" si="13"/>
        <v>34115.570460335017</v>
      </c>
      <c r="CA18" s="204">
        <f t="shared" si="10"/>
        <v>34115.570460335017</v>
      </c>
      <c r="CB18" s="204">
        <f t="shared" si="10"/>
        <v>34115.570460335017</v>
      </c>
      <c r="CC18" s="204">
        <f t="shared" si="9"/>
        <v>34115.570460335017</v>
      </c>
      <c r="CD18" s="204">
        <f t="shared" si="9"/>
        <v>34115.570460335017</v>
      </c>
      <c r="CE18" s="204">
        <f t="shared" si="9"/>
        <v>34115.570460335017</v>
      </c>
      <c r="CF18" s="204">
        <f t="shared" si="9"/>
        <v>34115.570460335017</v>
      </c>
      <c r="CG18" s="204">
        <f t="shared" si="9"/>
        <v>34115.570460335017</v>
      </c>
      <c r="CH18" s="204">
        <f t="shared" si="9"/>
        <v>34115.570460335017</v>
      </c>
      <c r="CI18" s="204">
        <f t="shared" si="9"/>
        <v>34115.570460335017</v>
      </c>
      <c r="CJ18" s="204">
        <f t="shared" si="9"/>
        <v>34115.570460335017</v>
      </c>
      <c r="CK18" s="204">
        <f t="shared" si="9"/>
        <v>34115.570460335017</v>
      </c>
      <c r="CL18" s="204">
        <f t="shared" si="9"/>
        <v>34115.570460335017</v>
      </c>
      <c r="CM18" s="204">
        <f t="shared" si="9"/>
        <v>34115.570460335017</v>
      </c>
      <c r="CN18" s="204">
        <f t="shared" si="9"/>
        <v>34115.570460335017</v>
      </c>
      <c r="CO18" s="204">
        <f t="shared" si="9"/>
        <v>34115.570460335017</v>
      </c>
      <c r="CP18" s="204">
        <f t="shared" si="9"/>
        <v>34115.570460335017</v>
      </c>
      <c r="CQ18" s="204">
        <f t="shared" si="9"/>
        <v>34115.570460335017</v>
      </c>
      <c r="CR18" s="204">
        <f t="shared" si="9"/>
        <v>34115.570460335017</v>
      </c>
      <c r="CS18" s="204">
        <f t="shared" si="11"/>
        <v>34115.570460335017</v>
      </c>
      <c r="CT18" s="204">
        <f t="shared" si="11"/>
        <v>34115.570460335017</v>
      </c>
      <c r="CU18" s="204">
        <f t="shared" si="11"/>
        <v>34115.570460335017</v>
      </c>
      <c r="CV18" s="204">
        <f t="shared" si="11"/>
        <v>34115.570460335017</v>
      </c>
      <c r="CW18" s="204">
        <f t="shared" si="11"/>
        <v>34115.570460335017</v>
      </c>
      <c r="CX18" s="204">
        <f t="shared" si="11"/>
        <v>34115.570460335017</v>
      </c>
      <c r="CY18" s="204">
        <f t="shared" si="11"/>
        <v>34115.570460335017</v>
      </c>
      <c r="CZ18" s="204">
        <f t="shared" si="11"/>
        <v>34115.570460335017</v>
      </c>
      <c r="DA18" s="204">
        <f t="shared" si="11"/>
        <v>34115.570460335017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 t="str">
        <f t="shared" si="14"/>
        <v/>
      </c>
      <c r="AE19" s="201">
        <f t="shared" si="14"/>
        <v>25886.481970899989</v>
      </c>
      <c r="AF19" s="201">
        <f t="shared" si="14"/>
        <v>25973.358902070246</v>
      </c>
      <c r="AG19" s="201">
        <f t="shared" si="14"/>
        <v>26060.235833240502</v>
      </c>
      <c r="AH19" s="201">
        <f t="shared" si="14"/>
        <v>26147.112764410758</v>
      </c>
      <c r="AI19" s="201">
        <f t="shared" si="14"/>
        <v>26233.989695581015</v>
      </c>
      <c r="AJ19" s="201">
        <f t="shared" si="14"/>
        <v>26320.866626751271</v>
      </c>
      <c r="AK19" s="201">
        <f t="shared" si="14"/>
        <v>26407.743557921527</v>
      </c>
      <c r="AL19" s="201">
        <f t="shared" si="14"/>
        <v>26494.620489091783</v>
      </c>
      <c r="AM19" s="201">
        <f t="shared" si="14"/>
        <v>26581.49742026204</v>
      </c>
      <c r="AN19" s="201">
        <f t="shared" si="14"/>
        <v>26668.374351432296</v>
      </c>
      <c r="AO19" s="201">
        <f t="shared" si="14"/>
        <v>26755.251282602549</v>
      </c>
      <c r="AP19" s="201">
        <f t="shared" si="14"/>
        <v>26842.128213772805</v>
      </c>
      <c r="AQ19" s="201">
        <f t="shared" si="14"/>
        <v>26929.005144943061</v>
      </c>
      <c r="AR19" s="201">
        <f t="shared" si="14"/>
        <v>27015.882076113317</v>
      </c>
      <c r="AS19" s="201">
        <f t="shared" si="14"/>
        <v>27102.759007283574</v>
      </c>
      <c r="AT19" s="201">
        <f t="shared" si="14"/>
        <v>27189.63593845383</v>
      </c>
      <c r="AU19" s="201">
        <f t="shared" si="14"/>
        <v>27276.512869624086</v>
      </c>
      <c r="AV19" s="201">
        <f t="shared" si="14"/>
        <v>27363.389800794343</v>
      </c>
      <c r="AW19" s="201">
        <f t="shared" si="14"/>
        <v>27450.266731964599</v>
      </c>
      <c r="AX19" s="201">
        <f t="shared" si="14"/>
        <v>27537.143663134855</v>
      </c>
      <c r="AY19" s="201">
        <f t="shared" si="14"/>
        <v>27624.020594305111</v>
      </c>
      <c r="AZ19" s="201">
        <f t="shared" si="14"/>
        <v>27710.897525475368</v>
      </c>
      <c r="BA19" s="201">
        <f t="shared" si="14"/>
        <v>27797.774456645624</v>
      </c>
      <c r="BB19" s="201">
        <f t="shared" si="14"/>
        <v>27884.65138781588</v>
      </c>
      <c r="BC19" s="201">
        <f t="shared" si="14"/>
        <v>27971.528318986137</v>
      </c>
      <c r="BD19" s="201">
        <f t="shared" si="14"/>
        <v>28058.405250156393</v>
      </c>
      <c r="BE19" s="201">
        <f t="shared" si="14"/>
        <v>28145.282181326649</v>
      </c>
      <c r="BF19" s="201">
        <f t="shared" si="14"/>
        <v>28232.159112496905</v>
      </c>
      <c r="BG19" s="201">
        <f t="shared" si="14"/>
        <v>28319.036043667162</v>
      </c>
      <c r="BH19" s="201">
        <f t="shared" si="14"/>
        <v>28405.912974837418</v>
      </c>
      <c r="BI19" s="201">
        <f t="shared" si="14"/>
        <v>28492.789906007674</v>
      </c>
      <c r="BJ19" s="201">
        <f t="shared" si="14"/>
        <v>28579.666837177927</v>
      </c>
      <c r="BK19" s="201">
        <f t="shared" si="14"/>
        <v>28666.543768348183</v>
      </c>
      <c r="BL19" s="201">
        <f t="shared" si="14"/>
        <v>28753.42069951844</v>
      </c>
      <c r="BM19" s="201">
        <f t="shared" si="14"/>
        <v>28840.297630688696</v>
      </c>
      <c r="BN19" s="201">
        <f t="shared" si="14"/>
        <v>28927.174561858952</v>
      </c>
      <c r="BO19" s="201">
        <f t="shared" si="14"/>
        <v>29014.051493029208</v>
      </c>
      <c r="BP19" s="201">
        <f t="shared" si="14"/>
        <v>29100.928424199465</v>
      </c>
      <c r="BQ19" s="201">
        <f t="shared" si="14"/>
        <v>29187.805355369721</v>
      </c>
      <c r="BR19" s="201">
        <f t="shared" si="14"/>
        <v>29274.682286539977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29361.559217710233</v>
      </c>
      <c r="BT19" s="201">
        <f t="shared" si="15"/>
        <v>29853.218531501974</v>
      </c>
      <c r="BU19" s="201">
        <f t="shared" si="15"/>
        <v>30344.877845293715</v>
      </c>
      <c r="BV19" s="201">
        <f t="shared" si="15"/>
        <v>30836.537159085456</v>
      </c>
      <c r="BW19" s="201">
        <f t="shared" si="15"/>
        <v>31328.196472877196</v>
      </c>
      <c r="BX19" s="201">
        <f t="shared" si="15"/>
        <v>31819.855786668937</v>
      </c>
      <c r="BY19" s="201">
        <f t="shared" si="15"/>
        <v>32311.515100460678</v>
      </c>
      <c r="BZ19" s="201">
        <f t="shared" si="15"/>
        <v>32803.174414252419</v>
      </c>
      <c r="CA19" s="201">
        <f t="shared" si="15"/>
        <v>33294.833728044163</v>
      </c>
      <c r="CB19" s="201">
        <f t="shared" si="15"/>
        <v>33786.4930418359</v>
      </c>
      <c r="CC19" s="201">
        <f t="shared" si="15"/>
        <v>34278.152355627644</v>
      </c>
      <c r="CD19" s="201">
        <f t="shared" si="15"/>
        <v>34769.811669419381</v>
      </c>
      <c r="CE19" s="201">
        <f t="shared" si="15"/>
        <v>35261.470983211126</v>
      </c>
      <c r="CF19" s="201">
        <f t="shared" si="15"/>
        <v>35753.130297002863</v>
      </c>
      <c r="CG19" s="201">
        <f t="shared" si="15"/>
        <v>36244.789610794607</v>
      </c>
      <c r="CH19" s="201">
        <f t="shared" si="15"/>
        <v>36736.448924586344</v>
      </c>
      <c r="CI19" s="201">
        <f t="shared" si="15"/>
        <v>37228.108238378089</v>
      </c>
      <c r="CJ19" s="201">
        <f t="shared" si="15"/>
        <v>37719.767552169826</v>
      </c>
      <c r="CK19" s="201">
        <f t="shared" si="15"/>
        <v>38211.42686596157</v>
      </c>
      <c r="CL19" s="201">
        <f t="shared" si="15"/>
        <v>38703.086179753307</v>
      </c>
      <c r="CM19" s="201">
        <f t="shared" si="15"/>
        <v>39194.745493545051</v>
      </c>
      <c r="CN19" s="201">
        <f t="shared" si="15"/>
        <v>39686.404807336789</v>
      </c>
      <c r="CO19" s="201">
        <f t="shared" si="15"/>
        <v>40178.064121128533</v>
      </c>
      <c r="CP19" s="201">
        <f t="shared" si="15"/>
        <v>41325.990017699456</v>
      </c>
      <c r="CQ19" s="201">
        <f t="shared" si="15"/>
        <v>43130.182497049551</v>
      </c>
      <c r="CR19" s="201">
        <f t="shared" si="15"/>
        <v>44934.37497639966</v>
      </c>
      <c r="CS19" s="201">
        <f t="shared" si="15"/>
        <v>46738.567455749755</v>
      </c>
      <c r="CT19" s="201">
        <f t="shared" si="15"/>
        <v>48542.759935099864</v>
      </c>
      <c r="CU19" s="201">
        <f t="shared" si="15"/>
        <v>50346.952414449959</v>
      </c>
      <c r="CV19" s="201">
        <f t="shared" si="15"/>
        <v>52151.144893800069</v>
      </c>
      <c r="CW19" s="201">
        <f t="shared" si="15"/>
        <v>53955.337373150163</v>
      </c>
      <c r="CX19" s="201">
        <f t="shared" si="15"/>
        <v>55759.529852500273</v>
      </c>
      <c r="CY19" s="201">
        <f t="shared" si="15"/>
        <v>57563.722331850367</v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50</v>
      </c>
      <c r="C22" s="205">
        <f>C2*100</f>
        <v>30</v>
      </c>
      <c r="D22" s="205">
        <f>D2*100</f>
        <v>15</v>
      </c>
      <c r="E22" s="205">
        <f>E2*100</f>
        <v>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50</v>
      </c>
      <c r="C23" s="206">
        <f>SUM($B22:C22)</f>
        <v>80</v>
      </c>
      <c r="D23" s="206">
        <f>SUM($B22:D22)</f>
        <v>95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25</v>
      </c>
      <c r="C24" s="208">
        <f>B23+(C23-B23)/2</f>
        <v>65</v>
      </c>
      <c r="D24" s="208">
        <f>C23+(D23-C23)/2</f>
        <v>87.5</v>
      </c>
      <c r="E24" s="208">
        <f>D23+(E23-D23)/2</f>
        <v>97.5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2670.7288927413665</v>
      </c>
      <c r="C25" s="203">
        <f>Income!C72</f>
        <v>2957.4715602296419</v>
      </c>
      <c r="D25" s="203">
        <f>Income!D72</f>
        <v>4116.2430518819356</v>
      </c>
      <c r="E25" s="203">
        <f>Income!E72</f>
        <v>4162.8069563668005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2670.7288927413665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2670.7288927413665</v>
      </c>
      <c r="H25" s="210">
        <f t="shared" si="16"/>
        <v>2670.7288927413665</v>
      </c>
      <c r="I25" s="210">
        <f t="shared" si="16"/>
        <v>2670.7288927413665</v>
      </c>
      <c r="J25" s="210">
        <f t="shared" si="16"/>
        <v>2670.7288927413665</v>
      </c>
      <c r="K25" s="210">
        <f t="shared" si="16"/>
        <v>2670.7288927413665</v>
      </c>
      <c r="L25" s="210">
        <f t="shared" si="16"/>
        <v>2670.7288927413665</v>
      </c>
      <c r="M25" s="210">
        <f t="shared" si="16"/>
        <v>2670.7288927413665</v>
      </c>
      <c r="N25" s="210">
        <f t="shared" si="16"/>
        <v>2670.7288927413665</v>
      </c>
      <c r="O25" s="210">
        <f t="shared" si="16"/>
        <v>2670.7288927413665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2670.7288927413665</v>
      </c>
      <c r="Q25" s="210">
        <f t="shared" si="17"/>
        <v>2670.7288927413665</v>
      </c>
      <c r="R25" s="210">
        <f t="shared" si="17"/>
        <v>2670.7288927413665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2670.7288927413665</v>
      </c>
      <c r="T25" s="210">
        <f t="shared" si="17"/>
        <v>2670.7288927413665</v>
      </c>
      <c r="U25" s="210">
        <f t="shared" si="17"/>
        <v>2670.7288927413665</v>
      </c>
      <c r="V25" s="210">
        <f t="shared" si="17"/>
        <v>2670.7288927413665</v>
      </c>
      <c r="W25" s="210">
        <f t="shared" si="17"/>
        <v>2670.7288927413665</v>
      </c>
      <c r="X25" s="210">
        <f t="shared" si="17"/>
        <v>2670.7288927413665</v>
      </c>
      <c r="Y25" s="210">
        <f t="shared" si="17"/>
        <v>2670.7288927413665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2670.7288927413665</v>
      </c>
      <c r="AA25" s="210">
        <f t="shared" si="18"/>
        <v>2670.7288927413665</v>
      </c>
      <c r="AB25" s="210">
        <f t="shared" si="18"/>
        <v>2670.7288927413665</v>
      </c>
      <c r="AC25" s="210">
        <f t="shared" si="18"/>
        <v>2670.7288927413665</v>
      </c>
      <c r="AD25" s="210">
        <f t="shared" si="18"/>
        <v>2670.7288927413665</v>
      </c>
      <c r="AE25" s="210">
        <f t="shared" si="18"/>
        <v>2670.7288927413665</v>
      </c>
      <c r="AF25" s="210">
        <f t="shared" si="18"/>
        <v>2677.8974594285733</v>
      </c>
      <c r="AG25" s="210">
        <f t="shared" si="18"/>
        <v>2685.0660261157805</v>
      </c>
      <c r="AH25" s="210">
        <f t="shared" si="18"/>
        <v>2692.2345928029872</v>
      </c>
      <c r="AI25" s="210">
        <f t="shared" si="18"/>
        <v>2699.403159490194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2706.5717261774007</v>
      </c>
      <c r="AK25" s="210">
        <f t="shared" si="19"/>
        <v>2713.7402928646079</v>
      </c>
      <c r="AL25" s="210">
        <f t="shared" si="19"/>
        <v>2720.9088595518147</v>
      </c>
      <c r="AM25" s="210">
        <f t="shared" si="19"/>
        <v>2728.0774262390214</v>
      </c>
      <c r="AN25" s="210">
        <f t="shared" si="19"/>
        <v>2735.2459929262286</v>
      </c>
      <c r="AO25" s="210">
        <f t="shared" si="19"/>
        <v>2742.4145596134354</v>
      </c>
      <c r="AP25" s="210">
        <f t="shared" si="19"/>
        <v>2749.5831263006421</v>
      </c>
      <c r="AQ25" s="210">
        <f t="shared" si="19"/>
        <v>2756.7516929878493</v>
      </c>
      <c r="AR25" s="210">
        <f t="shared" si="19"/>
        <v>2763.9202596750561</v>
      </c>
      <c r="AS25" s="210">
        <f t="shared" si="19"/>
        <v>2771.0888263622628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2778.25739304947</v>
      </c>
      <c r="AU25" s="210">
        <f t="shared" si="20"/>
        <v>2785.4259597366768</v>
      </c>
      <c r="AV25" s="210">
        <f t="shared" si="20"/>
        <v>2792.5945264238835</v>
      </c>
      <c r="AW25" s="210">
        <f t="shared" si="20"/>
        <v>2799.7630931110903</v>
      </c>
      <c r="AX25" s="210">
        <f t="shared" si="20"/>
        <v>2806.9316597982975</v>
      </c>
      <c r="AY25" s="210">
        <f t="shared" si="20"/>
        <v>2814.1002264855042</v>
      </c>
      <c r="AZ25" s="210">
        <f t="shared" si="20"/>
        <v>2821.268793172711</v>
      </c>
      <c r="BA25" s="210">
        <f t="shared" si="20"/>
        <v>2828.4373598599182</v>
      </c>
      <c r="BB25" s="210">
        <f t="shared" si="20"/>
        <v>2835.6059265471249</v>
      </c>
      <c r="BC25" s="210">
        <f t="shared" si="20"/>
        <v>2842.7744932343317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2849.9430599215384</v>
      </c>
      <c r="BE25" s="210">
        <f t="shared" si="21"/>
        <v>2857.1116266087456</v>
      </c>
      <c r="BF25" s="210">
        <f t="shared" si="21"/>
        <v>2864.2801932959524</v>
      </c>
      <c r="BG25" s="210">
        <f t="shared" si="21"/>
        <v>2871.4487599831591</v>
      </c>
      <c r="BH25" s="210">
        <f t="shared" si="21"/>
        <v>2878.6173266703663</v>
      </c>
      <c r="BI25" s="210">
        <f t="shared" si="21"/>
        <v>2885.7858933575731</v>
      </c>
      <c r="BJ25" s="210">
        <f t="shared" si="21"/>
        <v>2892.9544600447798</v>
      </c>
      <c r="BK25" s="210">
        <f t="shared" si="21"/>
        <v>2900.123026731987</v>
      </c>
      <c r="BL25" s="210">
        <f t="shared" si="21"/>
        <v>2907.2915934191938</v>
      </c>
      <c r="BM25" s="210">
        <f t="shared" si="21"/>
        <v>2914.4601601064005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2921.6287267936077</v>
      </c>
      <c r="BO25" s="210">
        <f t="shared" si="22"/>
        <v>2928.7972934808145</v>
      </c>
      <c r="BP25" s="210">
        <f t="shared" si="22"/>
        <v>2935.9658601680212</v>
      </c>
      <c r="BQ25" s="210">
        <f t="shared" si="22"/>
        <v>2943.134426855228</v>
      </c>
      <c r="BR25" s="210">
        <f t="shared" si="22"/>
        <v>2950.3029935424352</v>
      </c>
      <c r="BS25" s="210">
        <f t="shared" si="22"/>
        <v>2957.4715602296419</v>
      </c>
      <c r="BT25" s="210">
        <f t="shared" si="22"/>
        <v>3008.9725154141884</v>
      </c>
      <c r="BU25" s="210">
        <f t="shared" si="22"/>
        <v>3060.4734705987348</v>
      </c>
      <c r="BV25" s="210">
        <f t="shared" si="22"/>
        <v>3111.9744257832813</v>
      </c>
      <c r="BW25" s="210">
        <f t="shared" si="22"/>
        <v>3163.4753809678273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3214.9763361523737</v>
      </c>
      <c r="BY25" s="210">
        <f t="shared" si="23"/>
        <v>3266.4772913369202</v>
      </c>
      <c r="BZ25" s="210">
        <f t="shared" si="23"/>
        <v>3317.9782465214666</v>
      </c>
      <c r="CA25" s="210">
        <f t="shared" si="23"/>
        <v>3369.4792017060131</v>
      </c>
      <c r="CB25" s="210">
        <f t="shared" si="23"/>
        <v>3420.9801568905596</v>
      </c>
      <c r="CC25" s="210">
        <f t="shared" si="23"/>
        <v>3472.4811120751056</v>
      </c>
      <c r="CD25" s="210">
        <f t="shared" si="23"/>
        <v>3523.9820672596525</v>
      </c>
      <c r="CE25" s="210">
        <f t="shared" si="23"/>
        <v>3575.4830224441985</v>
      </c>
      <c r="CF25" s="210">
        <f t="shared" si="23"/>
        <v>3626.9839776287449</v>
      </c>
      <c r="CG25" s="210">
        <f t="shared" si="23"/>
        <v>3678.4849328132914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3729.9858879978378</v>
      </c>
      <c r="CI25" s="210">
        <f t="shared" si="24"/>
        <v>3781.4868431823843</v>
      </c>
      <c r="CJ25" s="210">
        <f t="shared" si="24"/>
        <v>3832.9877983669303</v>
      </c>
      <c r="CK25" s="210">
        <f t="shared" si="24"/>
        <v>3884.4887535514767</v>
      </c>
      <c r="CL25" s="210">
        <f t="shared" si="24"/>
        <v>3935.9897087360232</v>
      </c>
      <c r="CM25" s="210">
        <f t="shared" si="24"/>
        <v>3987.4906639205697</v>
      </c>
      <c r="CN25" s="210">
        <f t="shared" si="24"/>
        <v>4038.9916191051161</v>
      </c>
      <c r="CO25" s="210">
        <f t="shared" si="24"/>
        <v>4090.4925742896626</v>
      </c>
      <c r="CP25" s="210">
        <f t="shared" si="24"/>
        <v>4118.5712471061788</v>
      </c>
      <c r="CQ25" s="210">
        <f t="shared" si="24"/>
        <v>4123.2276375546653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4127.8840280031518</v>
      </c>
      <c r="CS25" s="210">
        <f t="shared" si="25"/>
        <v>4132.5404184516383</v>
      </c>
      <c r="CT25" s="210">
        <f t="shared" si="25"/>
        <v>4137.1968089001248</v>
      </c>
      <c r="CU25" s="210">
        <f t="shared" si="25"/>
        <v>4141.8531993486113</v>
      </c>
      <c r="CV25" s="210">
        <f t="shared" si="25"/>
        <v>4146.5095897970978</v>
      </c>
      <c r="CW25" s="210">
        <f t="shared" si="25"/>
        <v>4151.1659802455843</v>
      </c>
      <c r="CX25" s="210">
        <f t="shared" si="25"/>
        <v>4155.8223706940707</v>
      </c>
      <c r="CY25" s="210">
        <f t="shared" si="25"/>
        <v>4160.4787611425572</v>
      </c>
      <c r="CZ25" s="210">
        <f t="shared" si="25"/>
        <v>4162.8069563668005</v>
      </c>
      <c r="DA25" s="210">
        <f t="shared" si="25"/>
        <v>4162.8069563668005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836</v>
      </c>
      <c r="D26" s="203">
        <f>Income!D73</f>
        <v>3621</v>
      </c>
      <c r="E26" s="203">
        <f>Income!E73</f>
        <v>5132.4444444444434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20.9</v>
      </c>
      <c r="AG26" s="210">
        <f t="shared" si="18"/>
        <v>41.8</v>
      </c>
      <c r="AH26" s="210">
        <f t="shared" si="18"/>
        <v>62.7</v>
      </c>
      <c r="AI26" s="210">
        <f t="shared" si="18"/>
        <v>83.6</v>
      </c>
      <c r="AJ26" s="210">
        <f t="shared" si="19"/>
        <v>104.5</v>
      </c>
      <c r="AK26" s="210">
        <f t="shared" si="19"/>
        <v>125.4</v>
      </c>
      <c r="AL26" s="210">
        <f t="shared" si="19"/>
        <v>146.30000000000001</v>
      </c>
      <c r="AM26" s="210">
        <f t="shared" si="19"/>
        <v>167.2</v>
      </c>
      <c r="AN26" s="210">
        <f t="shared" si="19"/>
        <v>188.1</v>
      </c>
      <c r="AO26" s="210">
        <f t="shared" si="19"/>
        <v>209</v>
      </c>
      <c r="AP26" s="210">
        <f t="shared" si="19"/>
        <v>229.9</v>
      </c>
      <c r="AQ26" s="210">
        <f t="shared" si="19"/>
        <v>250.8</v>
      </c>
      <c r="AR26" s="210">
        <f t="shared" si="19"/>
        <v>271.7</v>
      </c>
      <c r="AS26" s="210">
        <f t="shared" si="19"/>
        <v>292.60000000000002</v>
      </c>
      <c r="AT26" s="210">
        <f t="shared" si="20"/>
        <v>313.5</v>
      </c>
      <c r="AU26" s="210">
        <f t="shared" si="20"/>
        <v>334.4</v>
      </c>
      <c r="AV26" s="210">
        <f t="shared" si="20"/>
        <v>355.3</v>
      </c>
      <c r="AW26" s="210">
        <f t="shared" si="20"/>
        <v>376.2</v>
      </c>
      <c r="AX26" s="210">
        <f t="shared" si="20"/>
        <v>397.1</v>
      </c>
      <c r="AY26" s="210">
        <f t="shared" si="20"/>
        <v>418</v>
      </c>
      <c r="AZ26" s="210">
        <f t="shared" si="20"/>
        <v>438.9</v>
      </c>
      <c r="BA26" s="210">
        <f t="shared" si="20"/>
        <v>459.8</v>
      </c>
      <c r="BB26" s="210">
        <f t="shared" si="20"/>
        <v>480.7</v>
      </c>
      <c r="BC26" s="210">
        <f t="shared" si="20"/>
        <v>501.6</v>
      </c>
      <c r="BD26" s="210">
        <f t="shared" si="21"/>
        <v>522.5</v>
      </c>
      <c r="BE26" s="210">
        <f t="shared" si="21"/>
        <v>543.4</v>
      </c>
      <c r="BF26" s="210">
        <f t="shared" si="21"/>
        <v>564.29999999999995</v>
      </c>
      <c r="BG26" s="210">
        <f t="shared" si="21"/>
        <v>585.20000000000005</v>
      </c>
      <c r="BH26" s="210">
        <f t="shared" si="21"/>
        <v>606.1</v>
      </c>
      <c r="BI26" s="210">
        <f t="shared" si="21"/>
        <v>627</v>
      </c>
      <c r="BJ26" s="210">
        <f t="shared" si="21"/>
        <v>647.9</v>
      </c>
      <c r="BK26" s="210">
        <f t="shared" si="21"/>
        <v>668.8</v>
      </c>
      <c r="BL26" s="210">
        <f t="shared" si="21"/>
        <v>689.7</v>
      </c>
      <c r="BM26" s="210">
        <f t="shared" si="21"/>
        <v>710.6</v>
      </c>
      <c r="BN26" s="210">
        <f t="shared" si="22"/>
        <v>731.5</v>
      </c>
      <c r="BO26" s="210">
        <f t="shared" si="22"/>
        <v>752.4</v>
      </c>
      <c r="BP26" s="210">
        <f t="shared" si="22"/>
        <v>773.3</v>
      </c>
      <c r="BQ26" s="210">
        <f t="shared" si="22"/>
        <v>794.2</v>
      </c>
      <c r="BR26" s="210">
        <f t="shared" si="22"/>
        <v>815.1</v>
      </c>
      <c r="BS26" s="210">
        <f t="shared" si="22"/>
        <v>836</v>
      </c>
      <c r="BT26" s="210">
        <f t="shared" si="22"/>
        <v>959.77777777777783</v>
      </c>
      <c r="BU26" s="210">
        <f t="shared" si="22"/>
        <v>1083.5555555555557</v>
      </c>
      <c r="BV26" s="210">
        <f t="shared" si="22"/>
        <v>1207.3333333333333</v>
      </c>
      <c r="BW26" s="210">
        <f t="shared" si="22"/>
        <v>1331.1111111111111</v>
      </c>
      <c r="BX26" s="210">
        <f t="shared" si="23"/>
        <v>1454.8888888888889</v>
      </c>
      <c r="BY26" s="210">
        <f t="shared" si="23"/>
        <v>1578.6666666666665</v>
      </c>
      <c r="BZ26" s="210">
        <f t="shared" si="23"/>
        <v>1702.4444444444443</v>
      </c>
      <c r="CA26" s="210">
        <f t="shared" si="23"/>
        <v>1826.2222222222222</v>
      </c>
      <c r="CB26" s="210">
        <f t="shared" si="23"/>
        <v>1950</v>
      </c>
      <c r="CC26" s="210">
        <f t="shared" si="23"/>
        <v>2073.7777777777778</v>
      </c>
      <c r="CD26" s="210">
        <f t="shared" si="23"/>
        <v>2197.5555555555557</v>
      </c>
      <c r="CE26" s="210">
        <f t="shared" si="23"/>
        <v>2321.333333333333</v>
      </c>
      <c r="CF26" s="210">
        <f t="shared" si="23"/>
        <v>2445.1111111111113</v>
      </c>
      <c r="CG26" s="210">
        <f t="shared" si="23"/>
        <v>2568.8888888888887</v>
      </c>
      <c r="CH26" s="210">
        <f t="shared" si="24"/>
        <v>2692.666666666667</v>
      </c>
      <c r="CI26" s="210">
        <f t="shared" si="24"/>
        <v>2816.4444444444443</v>
      </c>
      <c r="CJ26" s="210">
        <f t="shared" si="24"/>
        <v>2940.2222222222222</v>
      </c>
      <c r="CK26" s="210">
        <f t="shared" si="24"/>
        <v>3064</v>
      </c>
      <c r="CL26" s="210">
        <f t="shared" si="24"/>
        <v>3187.7777777777778</v>
      </c>
      <c r="CM26" s="210">
        <f t="shared" si="24"/>
        <v>3311.5555555555557</v>
      </c>
      <c r="CN26" s="210">
        <f t="shared" si="24"/>
        <v>3435.3333333333335</v>
      </c>
      <c r="CO26" s="210">
        <f t="shared" si="24"/>
        <v>3559.1111111111113</v>
      </c>
      <c r="CP26" s="210">
        <f t="shared" si="24"/>
        <v>3696.5722222222221</v>
      </c>
      <c r="CQ26" s="210">
        <f t="shared" si="24"/>
        <v>3847.7166666666667</v>
      </c>
      <c r="CR26" s="210">
        <f t="shared" si="25"/>
        <v>3998.8611111111109</v>
      </c>
      <c r="CS26" s="210">
        <f t="shared" si="25"/>
        <v>4150.0055555555555</v>
      </c>
      <c r="CT26" s="210">
        <f t="shared" si="25"/>
        <v>4301.1499999999996</v>
      </c>
      <c r="CU26" s="210">
        <f t="shared" si="25"/>
        <v>4452.2944444444438</v>
      </c>
      <c r="CV26" s="210">
        <f t="shared" si="25"/>
        <v>4603.438888888888</v>
      </c>
      <c r="CW26" s="210">
        <f t="shared" si="25"/>
        <v>4754.5833333333321</v>
      </c>
      <c r="CX26" s="210">
        <f t="shared" si="25"/>
        <v>4905.7277777777772</v>
      </c>
      <c r="CY26" s="210">
        <f t="shared" si="25"/>
        <v>5056.8722222222214</v>
      </c>
      <c r="CZ26" s="210">
        <f t="shared" si="25"/>
        <v>5132.4444444444434</v>
      </c>
      <c r="DA26" s="210">
        <f t="shared" si="25"/>
        <v>5132.4444444444434</v>
      </c>
    </row>
    <row r="27" spans="1:105">
      <c r="A27" s="201" t="str">
        <f>Income!A74</f>
        <v>Animal products consumed</v>
      </c>
      <c r="B27" s="203">
        <f>Income!B74</f>
        <v>188.88628953908511</v>
      </c>
      <c r="C27" s="203">
        <f>Income!C74</f>
        <v>291.91926659903811</v>
      </c>
      <c r="D27" s="203">
        <f>Income!D74</f>
        <v>503.01017797997002</v>
      </c>
      <c r="E27" s="203">
        <f>Income!E74</f>
        <v>1310.1410317375498</v>
      </c>
      <c r="F27" s="210">
        <f t="shared" si="16"/>
        <v>188.88628953908511</v>
      </c>
      <c r="G27" s="210">
        <f t="shared" si="16"/>
        <v>188.88628953908511</v>
      </c>
      <c r="H27" s="210">
        <f t="shared" si="16"/>
        <v>188.88628953908511</v>
      </c>
      <c r="I27" s="210">
        <f t="shared" si="16"/>
        <v>188.88628953908511</v>
      </c>
      <c r="J27" s="210">
        <f t="shared" si="16"/>
        <v>188.88628953908511</v>
      </c>
      <c r="K27" s="210">
        <f t="shared" si="16"/>
        <v>188.88628953908511</v>
      </c>
      <c r="L27" s="210">
        <f t="shared" si="16"/>
        <v>188.88628953908511</v>
      </c>
      <c r="M27" s="210">
        <f t="shared" si="16"/>
        <v>188.88628953908511</v>
      </c>
      <c r="N27" s="210">
        <f t="shared" si="16"/>
        <v>188.88628953908511</v>
      </c>
      <c r="O27" s="210">
        <f t="shared" si="16"/>
        <v>188.88628953908511</v>
      </c>
      <c r="P27" s="210">
        <f t="shared" si="17"/>
        <v>188.88628953908511</v>
      </c>
      <c r="Q27" s="210">
        <f t="shared" si="17"/>
        <v>188.88628953908511</v>
      </c>
      <c r="R27" s="210">
        <f t="shared" si="17"/>
        <v>188.88628953908511</v>
      </c>
      <c r="S27" s="210">
        <f t="shared" si="17"/>
        <v>188.88628953908511</v>
      </c>
      <c r="T27" s="210">
        <f t="shared" si="17"/>
        <v>188.88628953908511</v>
      </c>
      <c r="U27" s="210">
        <f t="shared" si="17"/>
        <v>188.88628953908511</v>
      </c>
      <c r="V27" s="210">
        <f t="shared" si="17"/>
        <v>188.88628953908511</v>
      </c>
      <c r="W27" s="210">
        <f t="shared" si="17"/>
        <v>188.88628953908511</v>
      </c>
      <c r="X27" s="210">
        <f t="shared" si="17"/>
        <v>188.88628953908511</v>
      </c>
      <c r="Y27" s="210">
        <f t="shared" si="17"/>
        <v>188.88628953908511</v>
      </c>
      <c r="Z27" s="210">
        <f t="shared" si="18"/>
        <v>188.88628953908511</v>
      </c>
      <c r="AA27" s="210">
        <f t="shared" si="18"/>
        <v>188.88628953908511</v>
      </c>
      <c r="AB27" s="210">
        <f t="shared" si="18"/>
        <v>188.88628953908511</v>
      </c>
      <c r="AC27" s="210">
        <f t="shared" si="18"/>
        <v>188.88628953908511</v>
      </c>
      <c r="AD27" s="210">
        <f t="shared" si="18"/>
        <v>188.88628953908511</v>
      </c>
      <c r="AE27" s="210">
        <f t="shared" si="18"/>
        <v>188.88628953908511</v>
      </c>
      <c r="AF27" s="210">
        <f t="shared" si="18"/>
        <v>191.46211396558394</v>
      </c>
      <c r="AG27" s="210">
        <f t="shared" si="18"/>
        <v>194.03793839208276</v>
      </c>
      <c r="AH27" s="210">
        <f t="shared" si="18"/>
        <v>196.61376281858159</v>
      </c>
      <c r="AI27" s="210">
        <f t="shared" si="18"/>
        <v>199.18958724508042</v>
      </c>
      <c r="AJ27" s="210">
        <f t="shared" si="19"/>
        <v>201.76541167157924</v>
      </c>
      <c r="AK27" s="210">
        <f t="shared" si="19"/>
        <v>204.34123609807807</v>
      </c>
      <c r="AL27" s="210">
        <f t="shared" si="19"/>
        <v>206.9170605245769</v>
      </c>
      <c r="AM27" s="210">
        <f t="shared" si="19"/>
        <v>209.49288495107572</v>
      </c>
      <c r="AN27" s="210">
        <f t="shared" si="19"/>
        <v>212.06870937757455</v>
      </c>
      <c r="AO27" s="210">
        <f t="shared" si="19"/>
        <v>214.64453380407338</v>
      </c>
      <c r="AP27" s="210">
        <f t="shared" si="19"/>
        <v>217.22035823057217</v>
      </c>
      <c r="AQ27" s="210">
        <f t="shared" si="19"/>
        <v>219.796182657071</v>
      </c>
      <c r="AR27" s="210">
        <f t="shared" si="19"/>
        <v>222.37200708356983</v>
      </c>
      <c r="AS27" s="210">
        <f t="shared" si="19"/>
        <v>224.94783151006865</v>
      </c>
      <c r="AT27" s="210">
        <f t="shared" si="20"/>
        <v>227.52365593656748</v>
      </c>
      <c r="AU27" s="210">
        <f t="shared" si="20"/>
        <v>230.09948036306631</v>
      </c>
      <c r="AV27" s="210">
        <f t="shared" si="20"/>
        <v>232.67530478956513</v>
      </c>
      <c r="AW27" s="210">
        <f t="shared" si="20"/>
        <v>235.25112921606396</v>
      </c>
      <c r="AX27" s="210">
        <f t="shared" si="20"/>
        <v>237.82695364256278</v>
      </c>
      <c r="AY27" s="210">
        <f t="shared" si="20"/>
        <v>240.40277806906161</v>
      </c>
      <c r="AZ27" s="210">
        <f t="shared" si="20"/>
        <v>242.97860249556044</v>
      </c>
      <c r="BA27" s="210">
        <f t="shared" si="20"/>
        <v>245.55442692205926</v>
      </c>
      <c r="BB27" s="210">
        <f t="shared" si="20"/>
        <v>248.13025134855809</v>
      </c>
      <c r="BC27" s="210">
        <f t="shared" si="20"/>
        <v>250.70607577505692</v>
      </c>
      <c r="BD27" s="210">
        <f t="shared" si="21"/>
        <v>253.28190020155574</v>
      </c>
      <c r="BE27" s="210">
        <f t="shared" si="21"/>
        <v>255.85772462805457</v>
      </c>
      <c r="BF27" s="210">
        <f t="shared" si="21"/>
        <v>258.4335490545534</v>
      </c>
      <c r="BG27" s="210">
        <f t="shared" si="21"/>
        <v>261.00937348105219</v>
      </c>
      <c r="BH27" s="210">
        <f t="shared" si="21"/>
        <v>263.58519790755105</v>
      </c>
      <c r="BI27" s="210">
        <f t="shared" si="21"/>
        <v>266.16102233404985</v>
      </c>
      <c r="BJ27" s="210">
        <f t="shared" si="21"/>
        <v>268.7368467605487</v>
      </c>
      <c r="BK27" s="210">
        <f t="shared" si="21"/>
        <v>271.3126711870475</v>
      </c>
      <c r="BL27" s="210">
        <f t="shared" si="21"/>
        <v>273.8884956135463</v>
      </c>
      <c r="BM27" s="210">
        <f t="shared" si="21"/>
        <v>276.46432004004515</v>
      </c>
      <c r="BN27" s="210">
        <f t="shared" si="22"/>
        <v>279.04014446654401</v>
      </c>
      <c r="BO27" s="210">
        <f t="shared" si="22"/>
        <v>281.6159688930428</v>
      </c>
      <c r="BP27" s="210">
        <f t="shared" si="22"/>
        <v>284.1917933195416</v>
      </c>
      <c r="BQ27" s="210">
        <f t="shared" si="22"/>
        <v>286.76761774604046</v>
      </c>
      <c r="BR27" s="210">
        <f t="shared" si="22"/>
        <v>289.34344217253931</v>
      </c>
      <c r="BS27" s="210">
        <f t="shared" si="22"/>
        <v>291.91926659903811</v>
      </c>
      <c r="BT27" s="210">
        <f t="shared" si="22"/>
        <v>301.30108488263511</v>
      </c>
      <c r="BU27" s="210">
        <f t="shared" si="22"/>
        <v>310.68290316623205</v>
      </c>
      <c r="BV27" s="210">
        <f t="shared" si="22"/>
        <v>320.06472144982905</v>
      </c>
      <c r="BW27" s="210">
        <f t="shared" si="22"/>
        <v>329.44653973342599</v>
      </c>
      <c r="BX27" s="210">
        <f t="shared" si="23"/>
        <v>338.82835801702299</v>
      </c>
      <c r="BY27" s="210">
        <f t="shared" si="23"/>
        <v>348.21017630061993</v>
      </c>
      <c r="BZ27" s="210">
        <f t="shared" si="23"/>
        <v>357.59199458421693</v>
      </c>
      <c r="CA27" s="210">
        <f t="shared" si="23"/>
        <v>366.97381286781388</v>
      </c>
      <c r="CB27" s="210">
        <f t="shared" si="23"/>
        <v>376.35563115141088</v>
      </c>
      <c r="CC27" s="210">
        <f t="shared" si="23"/>
        <v>385.73744943500787</v>
      </c>
      <c r="CD27" s="210">
        <f t="shared" si="23"/>
        <v>395.11926771860482</v>
      </c>
      <c r="CE27" s="210">
        <f t="shared" si="23"/>
        <v>404.50108600220182</v>
      </c>
      <c r="CF27" s="210">
        <f t="shared" si="23"/>
        <v>413.88290428579876</v>
      </c>
      <c r="CG27" s="210">
        <f t="shared" si="23"/>
        <v>423.26472256939576</v>
      </c>
      <c r="CH27" s="210">
        <f t="shared" si="24"/>
        <v>432.6465408529927</v>
      </c>
      <c r="CI27" s="210">
        <f t="shared" si="24"/>
        <v>442.0283591365897</v>
      </c>
      <c r="CJ27" s="210">
        <f t="shared" si="24"/>
        <v>451.41017742018664</v>
      </c>
      <c r="CK27" s="210">
        <f t="shared" si="24"/>
        <v>460.79199570378364</v>
      </c>
      <c r="CL27" s="210">
        <f t="shared" si="24"/>
        <v>470.17381398738064</v>
      </c>
      <c r="CM27" s="210">
        <f t="shared" si="24"/>
        <v>479.55563227097758</v>
      </c>
      <c r="CN27" s="210">
        <f t="shared" si="24"/>
        <v>488.93745055457453</v>
      </c>
      <c r="CO27" s="210">
        <f t="shared" si="24"/>
        <v>498.31926883817152</v>
      </c>
      <c r="CP27" s="210">
        <f t="shared" si="24"/>
        <v>543.36672066784899</v>
      </c>
      <c r="CQ27" s="210">
        <f t="shared" si="24"/>
        <v>624.07980604360705</v>
      </c>
      <c r="CR27" s="210">
        <f t="shared" si="25"/>
        <v>704.79289141936499</v>
      </c>
      <c r="CS27" s="210">
        <f t="shared" si="25"/>
        <v>785.50597679512293</v>
      </c>
      <c r="CT27" s="210">
        <f t="shared" si="25"/>
        <v>866.21906217088099</v>
      </c>
      <c r="CU27" s="210">
        <f t="shared" si="25"/>
        <v>946.93214754663904</v>
      </c>
      <c r="CV27" s="210">
        <f t="shared" si="25"/>
        <v>1027.6452329223969</v>
      </c>
      <c r="CW27" s="210">
        <f t="shared" si="25"/>
        <v>1108.3583182981549</v>
      </c>
      <c r="CX27" s="210">
        <f t="shared" si="25"/>
        <v>1189.071403673913</v>
      </c>
      <c r="CY27" s="210">
        <f t="shared" si="25"/>
        <v>1269.7844890496708</v>
      </c>
      <c r="CZ27" s="210">
        <f t="shared" si="25"/>
        <v>1310.1410317375498</v>
      </c>
      <c r="DA27" s="210">
        <f t="shared" si="25"/>
        <v>1310.1410317375498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500</v>
      </c>
      <c r="D29" s="203">
        <f>Income!D76</f>
        <v>3500</v>
      </c>
      <c r="E29" s="203">
        <f>Income!E76</f>
        <v>9822.2222222222226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12.5</v>
      </c>
      <c r="AG29" s="210">
        <f t="shared" si="18"/>
        <v>25</v>
      </c>
      <c r="AH29" s="210">
        <f t="shared" si="18"/>
        <v>37.5</v>
      </c>
      <c r="AI29" s="210">
        <f t="shared" si="18"/>
        <v>50</v>
      </c>
      <c r="AJ29" s="210">
        <f t="shared" si="19"/>
        <v>62.5</v>
      </c>
      <c r="AK29" s="210">
        <f t="shared" si="19"/>
        <v>75</v>
      </c>
      <c r="AL29" s="210">
        <f t="shared" si="19"/>
        <v>87.5</v>
      </c>
      <c r="AM29" s="210">
        <f t="shared" si="19"/>
        <v>100</v>
      </c>
      <c r="AN29" s="210">
        <f t="shared" si="19"/>
        <v>112.5</v>
      </c>
      <c r="AO29" s="210">
        <f t="shared" si="19"/>
        <v>125</v>
      </c>
      <c r="AP29" s="210">
        <f t="shared" si="19"/>
        <v>137.5</v>
      </c>
      <c r="AQ29" s="210">
        <f t="shared" si="19"/>
        <v>150</v>
      </c>
      <c r="AR29" s="210">
        <f t="shared" si="19"/>
        <v>162.5</v>
      </c>
      <c r="AS29" s="210">
        <f t="shared" si="19"/>
        <v>175</v>
      </c>
      <c r="AT29" s="210">
        <f t="shared" si="20"/>
        <v>187.5</v>
      </c>
      <c r="AU29" s="210">
        <f t="shared" si="20"/>
        <v>200</v>
      </c>
      <c r="AV29" s="210">
        <f t="shared" si="20"/>
        <v>212.5</v>
      </c>
      <c r="AW29" s="210">
        <f t="shared" si="20"/>
        <v>225</v>
      </c>
      <c r="AX29" s="210">
        <f t="shared" si="20"/>
        <v>237.5</v>
      </c>
      <c r="AY29" s="210">
        <f t="shared" si="20"/>
        <v>250</v>
      </c>
      <c r="AZ29" s="210">
        <f t="shared" si="20"/>
        <v>262.5</v>
      </c>
      <c r="BA29" s="210">
        <f t="shared" si="20"/>
        <v>275</v>
      </c>
      <c r="BB29" s="210">
        <f t="shared" si="20"/>
        <v>287.5</v>
      </c>
      <c r="BC29" s="210">
        <f t="shared" si="20"/>
        <v>300</v>
      </c>
      <c r="BD29" s="210">
        <f t="shared" si="21"/>
        <v>312.5</v>
      </c>
      <c r="BE29" s="210">
        <f t="shared" si="21"/>
        <v>325</v>
      </c>
      <c r="BF29" s="210">
        <f t="shared" si="21"/>
        <v>337.5</v>
      </c>
      <c r="BG29" s="210">
        <f t="shared" si="21"/>
        <v>350</v>
      </c>
      <c r="BH29" s="210">
        <f t="shared" si="21"/>
        <v>362.5</v>
      </c>
      <c r="BI29" s="210">
        <f t="shared" si="21"/>
        <v>375</v>
      </c>
      <c r="BJ29" s="210">
        <f t="shared" si="21"/>
        <v>387.5</v>
      </c>
      <c r="BK29" s="210">
        <f t="shared" si="21"/>
        <v>400</v>
      </c>
      <c r="BL29" s="210">
        <f t="shared" si="21"/>
        <v>412.5</v>
      </c>
      <c r="BM29" s="210">
        <f t="shared" si="21"/>
        <v>425</v>
      </c>
      <c r="BN29" s="210">
        <f t="shared" si="22"/>
        <v>437.5</v>
      </c>
      <c r="BO29" s="210">
        <f t="shared" si="22"/>
        <v>450</v>
      </c>
      <c r="BP29" s="210">
        <f t="shared" si="22"/>
        <v>462.5</v>
      </c>
      <c r="BQ29" s="210">
        <f t="shared" si="22"/>
        <v>475</v>
      </c>
      <c r="BR29" s="210">
        <f t="shared" si="22"/>
        <v>487.5</v>
      </c>
      <c r="BS29" s="210">
        <f t="shared" si="22"/>
        <v>500</v>
      </c>
      <c r="BT29" s="210">
        <f t="shared" si="22"/>
        <v>633.33333333333337</v>
      </c>
      <c r="BU29" s="210">
        <f t="shared" si="22"/>
        <v>766.66666666666674</v>
      </c>
      <c r="BV29" s="210">
        <f t="shared" si="22"/>
        <v>900</v>
      </c>
      <c r="BW29" s="210">
        <f t="shared" si="22"/>
        <v>1033.3333333333335</v>
      </c>
      <c r="BX29" s="210">
        <f t="shared" si="23"/>
        <v>1166.6666666666665</v>
      </c>
      <c r="BY29" s="210">
        <f t="shared" si="23"/>
        <v>1300</v>
      </c>
      <c r="BZ29" s="210">
        <f t="shared" si="23"/>
        <v>1433.3333333333335</v>
      </c>
      <c r="CA29" s="210">
        <f t="shared" si="23"/>
        <v>1566.6666666666667</v>
      </c>
      <c r="CB29" s="210">
        <f t="shared" si="23"/>
        <v>1700</v>
      </c>
      <c r="CC29" s="210">
        <f t="shared" si="23"/>
        <v>1833.3333333333333</v>
      </c>
      <c r="CD29" s="210">
        <f t="shared" si="23"/>
        <v>1966.6666666666667</v>
      </c>
      <c r="CE29" s="210">
        <f t="shared" si="23"/>
        <v>2100</v>
      </c>
      <c r="CF29" s="210">
        <f t="shared" si="23"/>
        <v>2233.333333333333</v>
      </c>
      <c r="CG29" s="210">
        <f t="shared" si="23"/>
        <v>2366.666666666667</v>
      </c>
      <c r="CH29" s="210">
        <f t="shared" si="24"/>
        <v>2500</v>
      </c>
      <c r="CI29" s="210">
        <f t="shared" si="24"/>
        <v>2633.3333333333335</v>
      </c>
      <c r="CJ29" s="210">
        <f t="shared" si="24"/>
        <v>2766.6666666666665</v>
      </c>
      <c r="CK29" s="210">
        <f t="shared" si="24"/>
        <v>2900</v>
      </c>
      <c r="CL29" s="210">
        <f t="shared" si="24"/>
        <v>3033.3333333333335</v>
      </c>
      <c r="CM29" s="210">
        <f t="shared" si="24"/>
        <v>3166.6666666666665</v>
      </c>
      <c r="CN29" s="210">
        <f t="shared" si="24"/>
        <v>3300</v>
      </c>
      <c r="CO29" s="210">
        <f t="shared" si="24"/>
        <v>3433.3333333333335</v>
      </c>
      <c r="CP29" s="210">
        <f t="shared" si="24"/>
        <v>3816.1111111111113</v>
      </c>
      <c r="CQ29" s="210">
        <f t="shared" si="24"/>
        <v>4448.333333333333</v>
      </c>
      <c r="CR29" s="210">
        <f t="shared" si="25"/>
        <v>5080.5555555555557</v>
      </c>
      <c r="CS29" s="210">
        <f t="shared" si="25"/>
        <v>5712.7777777777783</v>
      </c>
      <c r="CT29" s="210">
        <f t="shared" si="25"/>
        <v>6345</v>
      </c>
      <c r="CU29" s="210">
        <f t="shared" si="25"/>
        <v>6977.2222222222226</v>
      </c>
      <c r="CV29" s="210">
        <f t="shared" si="25"/>
        <v>7609.4444444444443</v>
      </c>
      <c r="CW29" s="210">
        <f t="shared" si="25"/>
        <v>8241.6666666666679</v>
      </c>
      <c r="CX29" s="210">
        <f t="shared" si="25"/>
        <v>8873.8888888888887</v>
      </c>
      <c r="CY29" s="210">
        <f t="shared" si="25"/>
        <v>9506.1111111111113</v>
      </c>
      <c r="CZ29" s="210">
        <f t="shared" si="25"/>
        <v>9822.2222222222226</v>
      </c>
      <c r="DA29" s="210">
        <f t="shared" si="25"/>
        <v>9822.2222222222226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99.006477745203938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4.9503238872601969</v>
      </c>
      <c r="CQ30" s="210">
        <f t="shared" si="24"/>
        <v>14.850971661780591</v>
      </c>
      <c r="CR30" s="210">
        <f t="shared" si="25"/>
        <v>24.751619436300984</v>
      </c>
      <c r="CS30" s="210">
        <f t="shared" si="25"/>
        <v>34.652267210821378</v>
      </c>
      <c r="CT30" s="210">
        <f t="shared" si="25"/>
        <v>44.552914985341772</v>
      </c>
      <c r="CU30" s="210">
        <f t="shared" si="25"/>
        <v>54.453562759862166</v>
      </c>
      <c r="CV30" s="210">
        <f t="shared" si="25"/>
        <v>64.35421053438256</v>
      </c>
      <c r="CW30" s="210">
        <f t="shared" si="25"/>
        <v>74.254858308902953</v>
      </c>
      <c r="CX30" s="210">
        <f t="shared" si="25"/>
        <v>84.155506083423347</v>
      </c>
      <c r="CY30" s="210">
        <f t="shared" si="25"/>
        <v>94.056153857943741</v>
      </c>
      <c r="CZ30" s="210">
        <f t="shared" si="25"/>
        <v>99.006477745203938</v>
      </c>
      <c r="DA30" s="210">
        <f t="shared" si="25"/>
        <v>99.006477745203938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1749.301602262017</v>
      </c>
      <c r="D31" s="203">
        <f>Income!D78</f>
        <v>752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43.732540056550427</v>
      </c>
      <c r="AG31" s="210">
        <f t="shared" si="18"/>
        <v>87.465080113100854</v>
      </c>
      <c r="AH31" s="210">
        <f t="shared" si="18"/>
        <v>131.19762016965129</v>
      </c>
      <c r="AI31" s="210">
        <f t="shared" si="18"/>
        <v>174.93016022620171</v>
      </c>
      <c r="AJ31" s="210">
        <f t="shared" si="19"/>
        <v>218.66270028275213</v>
      </c>
      <c r="AK31" s="210">
        <f t="shared" si="19"/>
        <v>262.39524033930257</v>
      </c>
      <c r="AL31" s="210">
        <f t="shared" si="19"/>
        <v>306.12778039585294</v>
      </c>
      <c r="AM31" s="210">
        <f t="shared" si="19"/>
        <v>349.86032045240341</v>
      </c>
      <c r="AN31" s="210">
        <f t="shared" si="19"/>
        <v>393.59286050895383</v>
      </c>
      <c r="AO31" s="210">
        <f t="shared" si="19"/>
        <v>437.32540056550425</v>
      </c>
      <c r="AP31" s="210">
        <f t="shared" si="19"/>
        <v>481.05794062205467</v>
      </c>
      <c r="AQ31" s="210">
        <f t="shared" si="19"/>
        <v>524.79048067860515</v>
      </c>
      <c r="AR31" s="210">
        <f t="shared" si="19"/>
        <v>568.52302073515557</v>
      </c>
      <c r="AS31" s="210">
        <f t="shared" si="19"/>
        <v>612.25556079170588</v>
      </c>
      <c r="AT31" s="210">
        <f t="shared" si="20"/>
        <v>655.98810084825641</v>
      </c>
      <c r="AU31" s="210">
        <f t="shared" si="20"/>
        <v>699.72064090480683</v>
      </c>
      <c r="AV31" s="210">
        <f t="shared" si="20"/>
        <v>743.45318096135725</v>
      </c>
      <c r="AW31" s="210">
        <f t="shared" si="20"/>
        <v>787.18572101790767</v>
      </c>
      <c r="AX31" s="210">
        <f t="shared" si="20"/>
        <v>830.91826107445809</v>
      </c>
      <c r="AY31" s="210">
        <f t="shared" si="20"/>
        <v>874.65080113100851</v>
      </c>
      <c r="AZ31" s="210">
        <f t="shared" si="20"/>
        <v>918.38334118755904</v>
      </c>
      <c r="BA31" s="210">
        <f t="shared" si="20"/>
        <v>962.11588124410935</v>
      </c>
      <c r="BB31" s="210">
        <f t="shared" si="20"/>
        <v>1005.8484213006598</v>
      </c>
      <c r="BC31" s="210">
        <f t="shared" si="20"/>
        <v>1049.5809613572103</v>
      </c>
      <c r="BD31" s="210">
        <f t="shared" si="21"/>
        <v>1093.3135014137606</v>
      </c>
      <c r="BE31" s="210">
        <f t="shared" si="21"/>
        <v>1137.0460414703111</v>
      </c>
      <c r="BF31" s="210">
        <f t="shared" si="21"/>
        <v>1180.7785815268614</v>
      </c>
      <c r="BG31" s="210">
        <f t="shared" si="21"/>
        <v>1224.5111215834118</v>
      </c>
      <c r="BH31" s="210">
        <f t="shared" si="21"/>
        <v>1268.2436616399623</v>
      </c>
      <c r="BI31" s="210">
        <f t="shared" si="21"/>
        <v>1311.9762016965128</v>
      </c>
      <c r="BJ31" s="210">
        <f t="shared" si="21"/>
        <v>1355.7087417530634</v>
      </c>
      <c r="BK31" s="210">
        <f t="shared" si="21"/>
        <v>1399.4412818096137</v>
      </c>
      <c r="BL31" s="210">
        <f t="shared" si="21"/>
        <v>1443.173821866164</v>
      </c>
      <c r="BM31" s="210">
        <f t="shared" si="21"/>
        <v>1486.9063619227145</v>
      </c>
      <c r="BN31" s="210">
        <f t="shared" si="22"/>
        <v>1530.6389019792648</v>
      </c>
      <c r="BO31" s="210">
        <f t="shared" si="22"/>
        <v>1574.3714420358153</v>
      </c>
      <c r="BP31" s="210">
        <f t="shared" si="22"/>
        <v>1618.1039820923656</v>
      </c>
      <c r="BQ31" s="210">
        <f t="shared" si="22"/>
        <v>1661.8365221489162</v>
      </c>
      <c r="BR31" s="210">
        <f t="shared" si="22"/>
        <v>1705.5690622054667</v>
      </c>
      <c r="BS31" s="210">
        <f t="shared" si="22"/>
        <v>1749.301602262017</v>
      </c>
      <c r="BT31" s="210">
        <f t="shared" si="22"/>
        <v>1704.9770866059273</v>
      </c>
      <c r="BU31" s="210">
        <f t="shared" si="22"/>
        <v>1660.6525709498378</v>
      </c>
      <c r="BV31" s="210">
        <f t="shared" si="22"/>
        <v>1616.3280552937481</v>
      </c>
      <c r="BW31" s="210">
        <f t="shared" si="22"/>
        <v>1572.0035396376584</v>
      </c>
      <c r="BX31" s="210">
        <f t="shared" si="23"/>
        <v>1527.6790239815689</v>
      </c>
      <c r="BY31" s="210">
        <f t="shared" si="23"/>
        <v>1483.3545083254792</v>
      </c>
      <c r="BZ31" s="210">
        <f t="shared" si="23"/>
        <v>1439.0299926693895</v>
      </c>
      <c r="CA31" s="210">
        <f t="shared" si="23"/>
        <v>1394.7054770133</v>
      </c>
      <c r="CB31" s="210">
        <f t="shared" si="23"/>
        <v>1350.3809613572103</v>
      </c>
      <c r="CC31" s="210">
        <f t="shared" si="23"/>
        <v>1306.0564457011205</v>
      </c>
      <c r="CD31" s="210">
        <f t="shared" si="23"/>
        <v>1261.7319300450308</v>
      </c>
      <c r="CE31" s="210">
        <f t="shared" si="23"/>
        <v>1217.4074143889411</v>
      </c>
      <c r="CF31" s="210">
        <f t="shared" si="23"/>
        <v>1173.0828987328516</v>
      </c>
      <c r="CG31" s="210">
        <f t="shared" si="23"/>
        <v>1128.7583830767621</v>
      </c>
      <c r="CH31" s="210">
        <f t="shared" si="24"/>
        <v>1084.4338674206724</v>
      </c>
      <c r="CI31" s="210">
        <f t="shared" si="24"/>
        <v>1040.1093517645827</v>
      </c>
      <c r="CJ31" s="210">
        <f t="shared" si="24"/>
        <v>995.78483610849298</v>
      </c>
      <c r="CK31" s="210">
        <f t="shared" si="24"/>
        <v>951.46032045240338</v>
      </c>
      <c r="CL31" s="210">
        <f t="shared" si="24"/>
        <v>907.13580479631378</v>
      </c>
      <c r="CM31" s="210">
        <f t="shared" si="24"/>
        <v>862.81128914022418</v>
      </c>
      <c r="CN31" s="210">
        <f t="shared" si="24"/>
        <v>818.48677348413446</v>
      </c>
      <c r="CO31" s="210">
        <f t="shared" si="24"/>
        <v>774.16225782804486</v>
      </c>
      <c r="CP31" s="210">
        <f t="shared" si="24"/>
        <v>714.4</v>
      </c>
      <c r="CQ31" s="210">
        <f t="shared" si="24"/>
        <v>639.20000000000005</v>
      </c>
      <c r="CR31" s="210">
        <f t="shared" si="25"/>
        <v>564</v>
      </c>
      <c r="CS31" s="210">
        <f t="shared" si="25"/>
        <v>488.8</v>
      </c>
      <c r="CT31" s="210">
        <f t="shared" si="25"/>
        <v>413.6</v>
      </c>
      <c r="CU31" s="210">
        <f t="shared" si="25"/>
        <v>338.4</v>
      </c>
      <c r="CV31" s="210">
        <f t="shared" si="25"/>
        <v>263.2</v>
      </c>
      <c r="CW31" s="210">
        <f t="shared" si="25"/>
        <v>188</v>
      </c>
      <c r="CX31" s="210">
        <f t="shared" si="25"/>
        <v>112.79999999999995</v>
      </c>
      <c r="CY31" s="210">
        <f t="shared" si="25"/>
        <v>37.600000000000023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30897.777777777777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1544.8888888888889</v>
      </c>
      <c r="CQ32" s="210">
        <f t="shared" si="24"/>
        <v>4634.6666666666661</v>
      </c>
      <c r="CR32" s="210">
        <f t="shared" si="25"/>
        <v>7724.4444444444434</v>
      </c>
      <c r="CS32" s="210">
        <f t="shared" si="25"/>
        <v>10814.222222222223</v>
      </c>
      <c r="CT32" s="210">
        <f t="shared" si="25"/>
        <v>13904</v>
      </c>
      <c r="CU32" s="210">
        <f t="shared" si="25"/>
        <v>16993.777777777777</v>
      </c>
      <c r="CV32" s="210">
        <f t="shared" si="25"/>
        <v>20083.555555555555</v>
      </c>
      <c r="CW32" s="210">
        <f t="shared" si="25"/>
        <v>23173.333333333336</v>
      </c>
      <c r="CX32" s="210">
        <f t="shared" si="25"/>
        <v>26263.111111111113</v>
      </c>
      <c r="CY32" s="210">
        <f t="shared" si="25"/>
        <v>29352.888888888887</v>
      </c>
      <c r="CZ32" s="210">
        <f t="shared" si="25"/>
        <v>30897.777777777777</v>
      </c>
      <c r="DA32" s="210">
        <f t="shared" si="25"/>
        <v>30897.777777777777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429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19.066666666666666</v>
      </c>
      <c r="BU33" s="210">
        <f t="shared" si="22"/>
        <v>38.133333333333333</v>
      </c>
      <c r="BV33" s="210">
        <f t="shared" si="22"/>
        <v>57.2</v>
      </c>
      <c r="BW33" s="210">
        <f t="shared" si="22"/>
        <v>76.266666666666666</v>
      </c>
      <c r="BX33" s="210">
        <f t="shared" si="23"/>
        <v>95.333333333333329</v>
      </c>
      <c r="BY33" s="210">
        <f t="shared" si="23"/>
        <v>114.4</v>
      </c>
      <c r="BZ33" s="210">
        <f t="shared" si="23"/>
        <v>133.46666666666667</v>
      </c>
      <c r="CA33" s="210">
        <f t="shared" si="23"/>
        <v>152.53333333333333</v>
      </c>
      <c r="CB33" s="210">
        <f t="shared" si="23"/>
        <v>171.6</v>
      </c>
      <c r="CC33" s="210">
        <f t="shared" si="23"/>
        <v>190.66666666666666</v>
      </c>
      <c r="CD33" s="210">
        <f t="shared" si="23"/>
        <v>209.73333333333332</v>
      </c>
      <c r="CE33" s="210">
        <f t="shared" si="23"/>
        <v>228.8</v>
      </c>
      <c r="CF33" s="210">
        <f t="shared" si="23"/>
        <v>247.86666666666667</v>
      </c>
      <c r="CG33" s="210">
        <f t="shared" si="23"/>
        <v>266.93333333333334</v>
      </c>
      <c r="CH33" s="210">
        <f t="shared" si="24"/>
        <v>286</v>
      </c>
      <c r="CI33" s="210">
        <f t="shared" si="24"/>
        <v>305.06666666666666</v>
      </c>
      <c r="CJ33" s="210">
        <f t="shared" si="24"/>
        <v>324.13333333333333</v>
      </c>
      <c r="CK33" s="210">
        <f t="shared" si="24"/>
        <v>343.2</v>
      </c>
      <c r="CL33" s="210">
        <f t="shared" si="24"/>
        <v>362.26666666666665</v>
      </c>
      <c r="CM33" s="210">
        <f t="shared" si="24"/>
        <v>381.33333333333331</v>
      </c>
      <c r="CN33" s="210">
        <f t="shared" si="24"/>
        <v>400.4</v>
      </c>
      <c r="CO33" s="210">
        <f t="shared" si="24"/>
        <v>419.46666666666664</v>
      </c>
      <c r="CP33" s="210">
        <f t="shared" si="24"/>
        <v>407.55</v>
      </c>
      <c r="CQ33" s="210">
        <f t="shared" si="24"/>
        <v>364.65</v>
      </c>
      <c r="CR33" s="210">
        <f t="shared" si="25"/>
        <v>321.75</v>
      </c>
      <c r="CS33" s="210">
        <f t="shared" si="25"/>
        <v>278.85000000000002</v>
      </c>
      <c r="CT33" s="210">
        <f t="shared" si="25"/>
        <v>235.95</v>
      </c>
      <c r="CU33" s="210">
        <f t="shared" si="25"/>
        <v>193.05</v>
      </c>
      <c r="CV33" s="210">
        <f t="shared" si="25"/>
        <v>150.14999999999998</v>
      </c>
      <c r="CW33" s="210">
        <f t="shared" si="25"/>
        <v>107.25</v>
      </c>
      <c r="CX33" s="210">
        <f t="shared" si="25"/>
        <v>64.350000000000023</v>
      </c>
      <c r="CY33" s="210">
        <f t="shared" si="25"/>
        <v>21.449999999999989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2160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0</v>
      </c>
      <c r="BR34" s="210">
        <f t="shared" si="22"/>
        <v>0</v>
      </c>
      <c r="BS34" s="210">
        <f t="shared" si="22"/>
        <v>0</v>
      </c>
      <c r="BT34" s="210">
        <f t="shared" si="22"/>
        <v>96</v>
      </c>
      <c r="BU34" s="210">
        <f t="shared" si="22"/>
        <v>192</v>
      </c>
      <c r="BV34" s="210">
        <f t="shared" si="22"/>
        <v>288</v>
      </c>
      <c r="BW34" s="210">
        <f t="shared" si="22"/>
        <v>384</v>
      </c>
      <c r="BX34" s="210">
        <f t="shared" si="23"/>
        <v>480</v>
      </c>
      <c r="BY34" s="210">
        <f t="shared" si="23"/>
        <v>576</v>
      </c>
      <c r="BZ34" s="210">
        <f t="shared" si="23"/>
        <v>672</v>
      </c>
      <c r="CA34" s="210">
        <f t="shared" si="23"/>
        <v>768</v>
      </c>
      <c r="CB34" s="210">
        <f t="shared" si="23"/>
        <v>864</v>
      </c>
      <c r="CC34" s="210">
        <f t="shared" si="23"/>
        <v>960</v>
      </c>
      <c r="CD34" s="210">
        <f t="shared" si="23"/>
        <v>1056</v>
      </c>
      <c r="CE34" s="210">
        <f t="shared" si="23"/>
        <v>1152</v>
      </c>
      <c r="CF34" s="210">
        <f t="shared" si="23"/>
        <v>1248</v>
      </c>
      <c r="CG34" s="210">
        <f t="shared" si="23"/>
        <v>1344</v>
      </c>
      <c r="CH34" s="210">
        <f t="shared" si="24"/>
        <v>1440</v>
      </c>
      <c r="CI34" s="210">
        <f t="shared" si="24"/>
        <v>1536</v>
      </c>
      <c r="CJ34" s="210">
        <f t="shared" si="24"/>
        <v>1632</v>
      </c>
      <c r="CK34" s="210">
        <f t="shared" si="24"/>
        <v>1728</v>
      </c>
      <c r="CL34" s="210">
        <f t="shared" si="24"/>
        <v>1824</v>
      </c>
      <c r="CM34" s="210">
        <f t="shared" si="24"/>
        <v>1920</v>
      </c>
      <c r="CN34" s="210">
        <f t="shared" si="24"/>
        <v>2016</v>
      </c>
      <c r="CO34" s="210">
        <f t="shared" si="24"/>
        <v>2112</v>
      </c>
      <c r="CP34" s="210">
        <f t="shared" si="24"/>
        <v>2052</v>
      </c>
      <c r="CQ34" s="210">
        <f t="shared" si="24"/>
        <v>1836</v>
      </c>
      <c r="CR34" s="210">
        <f t="shared" si="25"/>
        <v>1620</v>
      </c>
      <c r="CS34" s="210">
        <f t="shared" si="25"/>
        <v>1404</v>
      </c>
      <c r="CT34" s="210">
        <f t="shared" si="25"/>
        <v>1188</v>
      </c>
      <c r="CU34" s="210">
        <f t="shared" si="25"/>
        <v>972</v>
      </c>
      <c r="CV34" s="210">
        <f t="shared" si="25"/>
        <v>756</v>
      </c>
      <c r="CW34" s="210">
        <f t="shared" si="25"/>
        <v>540</v>
      </c>
      <c r="CX34" s="210">
        <f t="shared" si="25"/>
        <v>324</v>
      </c>
      <c r="CY34" s="210">
        <f t="shared" si="25"/>
        <v>108</v>
      </c>
      <c r="CZ34" s="210">
        <f t="shared" si="25"/>
        <v>0</v>
      </c>
      <c r="DA34" s="210">
        <f t="shared" si="25"/>
        <v>0</v>
      </c>
    </row>
    <row r="35" spans="1:105">
      <c r="A35" s="201" t="str">
        <f>Income!A83</f>
        <v>Food transfer - official</v>
      </c>
      <c r="B35" s="203">
        <f>Income!B83</f>
        <v>1006.8667886195384</v>
      </c>
      <c r="C35" s="203">
        <f>Income!C83</f>
        <v>1006.8667886195384</v>
      </c>
      <c r="D35" s="203">
        <f>Income!D83</f>
        <v>1006.8667886195384</v>
      </c>
      <c r="E35" s="203">
        <f>Income!E83</f>
        <v>894.99270099514524</v>
      </c>
      <c r="F35" s="210">
        <f t="shared" si="16"/>
        <v>1006.8667886195384</v>
      </c>
      <c r="G35" s="210">
        <f t="shared" si="16"/>
        <v>1006.8667886195384</v>
      </c>
      <c r="H35" s="210">
        <f t="shared" si="16"/>
        <v>1006.8667886195384</v>
      </c>
      <c r="I35" s="210">
        <f t="shared" si="16"/>
        <v>1006.8667886195384</v>
      </c>
      <c r="J35" s="210">
        <f t="shared" si="16"/>
        <v>1006.8667886195384</v>
      </c>
      <c r="K35" s="210">
        <f t="shared" si="16"/>
        <v>1006.8667886195384</v>
      </c>
      <c r="L35" s="210">
        <f t="shared" si="16"/>
        <v>1006.8667886195384</v>
      </c>
      <c r="M35" s="210">
        <f t="shared" si="16"/>
        <v>1006.8667886195384</v>
      </c>
      <c r="N35" s="210">
        <f t="shared" si="16"/>
        <v>1006.8667886195384</v>
      </c>
      <c r="O35" s="210">
        <f t="shared" si="16"/>
        <v>1006.8667886195384</v>
      </c>
      <c r="P35" s="210">
        <f t="shared" si="17"/>
        <v>1006.8667886195384</v>
      </c>
      <c r="Q35" s="210">
        <f t="shared" si="17"/>
        <v>1006.8667886195384</v>
      </c>
      <c r="R35" s="210">
        <f t="shared" si="17"/>
        <v>1006.8667886195384</v>
      </c>
      <c r="S35" s="210">
        <f t="shared" si="17"/>
        <v>1006.8667886195384</v>
      </c>
      <c r="T35" s="210">
        <f t="shared" si="17"/>
        <v>1006.8667886195384</v>
      </c>
      <c r="U35" s="210">
        <f t="shared" si="17"/>
        <v>1006.8667886195384</v>
      </c>
      <c r="V35" s="210">
        <f t="shared" si="17"/>
        <v>1006.8667886195384</v>
      </c>
      <c r="W35" s="210">
        <f t="shared" si="17"/>
        <v>1006.8667886195384</v>
      </c>
      <c r="X35" s="210">
        <f t="shared" si="17"/>
        <v>1006.8667886195384</v>
      </c>
      <c r="Y35" s="210">
        <f t="shared" si="17"/>
        <v>1006.8667886195384</v>
      </c>
      <c r="Z35" s="210">
        <f t="shared" si="18"/>
        <v>1006.8667886195384</v>
      </c>
      <c r="AA35" s="210">
        <f t="shared" si="18"/>
        <v>1006.8667886195384</v>
      </c>
      <c r="AB35" s="210">
        <f t="shared" si="18"/>
        <v>1006.8667886195384</v>
      </c>
      <c r="AC35" s="210">
        <f t="shared" si="18"/>
        <v>1006.8667886195384</v>
      </c>
      <c r="AD35" s="210">
        <f t="shared" si="18"/>
        <v>1006.8667886195384</v>
      </c>
      <c r="AE35" s="210">
        <f t="shared" si="18"/>
        <v>1006.8667886195384</v>
      </c>
      <c r="AF35" s="210">
        <f t="shared" si="18"/>
        <v>1006.8667886195384</v>
      </c>
      <c r="AG35" s="210">
        <f t="shared" si="18"/>
        <v>1006.8667886195384</v>
      </c>
      <c r="AH35" s="210">
        <f t="shared" si="18"/>
        <v>1006.8667886195384</v>
      </c>
      <c r="AI35" s="210">
        <f t="shared" si="18"/>
        <v>1006.8667886195384</v>
      </c>
      <c r="AJ35" s="210">
        <f t="shared" si="19"/>
        <v>1006.8667886195384</v>
      </c>
      <c r="AK35" s="210">
        <f t="shared" si="19"/>
        <v>1006.8667886195384</v>
      </c>
      <c r="AL35" s="210">
        <f t="shared" si="19"/>
        <v>1006.8667886195384</v>
      </c>
      <c r="AM35" s="210">
        <f t="shared" si="19"/>
        <v>1006.8667886195384</v>
      </c>
      <c r="AN35" s="210">
        <f t="shared" si="19"/>
        <v>1006.8667886195384</v>
      </c>
      <c r="AO35" s="210">
        <f t="shared" si="19"/>
        <v>1006.8667886195384</v>
      </c>
      <c r="AP35" s="210">
        <f t="shared" si="19"/>
        <v>1006.8667886195384</v>
      </c>
      <c r="AQ35" s="210">
        <f t="shared" si="19"/>
        <v>1006.8667886195384</v>
      </c>
      <c r="AR35" s="210">
        <f t="shared" si="19"/>
        <v>1006.8667886195384</v>
      </c>
      <c r="AS35" s="210">
        <f t="shared" si="19"/>
        <v>1006.8667886195384</v>
      </c>
      <c r="AT35" s="210">
        <f t="shared" si="20"/>
        <v>1006.8667886195384</v>
      </c>
      <c r="AU35" s="210">
        <f t="shared" si="20"/>
        <v>1006.8667886195384</v>
      </c>
      <c r="AV35" s="210">
        <f t="shared" si="20"/>
        <v>1006.8667886195384</v>
      </c>
      <c r="AW35" s="210">
        <f t="shared" si="20"/>
        <v>1006.8667886195384</v>
      </c>
      <c r="AX35" s="210">
        <f t="shared" si="20"/>
        <v>1006.8667886195384</v>
      </c>
      <c r="AY35" s="210">
        <f t="shared" si="20"/>
        <v>1006.8667886195384</v>
      </c>
      <c r="AZ35" s="210">
        <f t="shared" si="20"/>
        <v>1006.8667886195384</v>
      </c>
      <c r="BA35" s="210">
        <f t="shared" si="20"/>
        <v>1006.8667886195384</v>
      </c>
      <c r="BB35" s="210">
        <f t="shared" si="20"/>
        <v>1006.8667886195384</v>
      </c>
      <c r="BC35" s="210">
        <f t="shared" si="20"/>
        <v>1006.8667886195384</v>
      </c>
      <c r="BD35" s="210">
        <f t="shared" si="21"/>
        <v>1006.8667886195384</v>
      </c>
      <c r="BE35" s="210">
        <f t="shared" si="21"/>
        <v>1006.8667886195384</v>
      </c>
      <c r="BF35" s="210">
        <f t="shared" si="21"/>
        <v>1006.8667886195384</v>
      </c>
      <c r="BG35" s="210">
        <f t="shared" si="21"/>
        <v>1006.8667886195384</v>
      </c>
      <c r="BH35" s="210">
        <f t="shared" si="21"/>
        <v>1006.8667886195384</v>
      </c>
      <c r="BI35" s="210">
        <f t="shared" si="21"/>
        <v>1006.8667886195384</v>
      </c>
      <c r="BJ35" s="210">
        <f t="shared" si="21"/>
        <v>1006.8667886195384</v>
      </c>
      <c r="BK35" s="210">
        <f t="shared" si="21"/>
        <v>1006.8667886195384</v>
      </c>
      <c r="BL35" s="210">
        <f t="shared" si="21"/>
        <v>1006.8667886195384</v>
      </c>
      <c r="BM35" s="210">
        <f t="shared" si="21"/>
        <v>1006.8667886195384</v>
      </c>
      <c r="BN35" s="210">
        <f t="shared" si="22"/>
        <v>1006.8667886195384</v>
      </c>
      <c r="BO35" s="210">
        <f t="shared" si="22"/>
        <v>1006.8667886195384</v>
      </c>
      <c r="BP35" s="210">
        <f t="shared" si="22"/>
        <v>1006.8667886195384</v>
      </c>
      <c r="BQ35" s="210">
        <f t="shared" si="22"/>
        <v>1006.8667886195384</v>
      </c>
      <c r="BR35" s="210">
        <f t="shared" si="22"/>
        <v>1006.8667886195384</v>
      </c>
      <c r="BS35" s="210">
        <f t="shared" si="22"/>
        <v>1006.8667886195384</v>
      </c>
      <c r="BT35" s="210">
        <f t="shared" si="22"/>
        <v>1006.8667886195384</v>
      </c>
      <c r="BU35" s="210">
        <f t="shared" si="22"/>
        <v>1006.8667886195384</v>
      </c>
      <c r="BV35" s="210">
        <f t="shared" si="22"/>
        <v>1006.8667886195384</v>
      </c>
      <c r="BW35" s="210">
        <f t="shared" si="22"/>
        <v>1006.8667886195384</v>
      </c>
      <c r="BX35" s="210">
        <f t="shared" si="23"/>
        <v>1006.8667886195384</v>
      </c>
      <c r="BY35" s="210">
        <f t="shared" si="23"/>
        <v>1006.8667886195384</v>
      </c>
      <c r="BZ35" s="210">
        <f t="shared" si="23"/>
        <v>1006.8667886195384</v>
      </c>
      <c r="CA35" s="210">
        <f t="shared" si="23"/>
        <v>1006.8667886195384</v>
      </c>
      <c r="CB35" s="210">
        <f t="shared" si="23"/>
        <v>1006.8667886195384</v>
      </c>
      <c r="CC35" s="210">
        <f t="shared" si="23"/>
        <v>1006.8667886195384</v>
      </c>
      <c r="CD35" s="210">
        <f t="shared" si="23"/>
        <v>1006.8667886195384</v>
      </c>
      <c r="CE35" s="210">
        <f t="shared" si="23"/>
        <v>1006.8667886195384</v>
      </c>
      <c r="CF35" s="210">
        <f t="shared" si="23"/>
        <v>1006.8667886195384</v>
      </c>
      <c r="CG35" s="210">
        <f t="shared" si="23"/>
        <v>1006.8667886195384</v>
      </c>
      <c r="CH35" s="210">
        <f t="shared" si="24"/>
        <v>1006.8667886195384</v>
      </c>
      <c r="CI35" s="210">
        <f t="shared" si="24"/>
        <v>1006.8667886195384</v>
      </c>
      <c r="CJ35" s="210">
        <f t="shared" si="24"/>
        <v>1006.8667886195384</v>
      </c>
      <c r="CK35" s="210">
        <f t="shared" si="24"/>
        <v>1006.8667886195384</v>
      </c>
      <c r="CL35" s="210">
        <f t="shared" si="24"/>
        <v>1006.8667886195384</v>
      </c>
      <c r="CM35" s="210">
        <f t="shared" si="24"/>
        <v>1006.8667886195384</v>
      </c>
      <c r="CN35" s="210">
        <f t="shared" si="24"/>
        <v>1006.8667886195384</v>
      </c>
      <c r="CO35" s="210">
        <f t="shared" si="24"/>
        <v>1006.8667886195384</v>
      </c>
      <c r="CP35" s="210">
        <f t="shared" si="24"/>
        <v>1001.2730842383187</v>
      </c>
      <c r="CQ35" s="210">
        <f t="shared" si="24"/>
        <v>990.08567547587938</v>
      </c>
      <c r="CR35" s="210">
        <f t="shared" si="25"/>
        <v>978.89826671344008</v>
      </c>
      <c r="CS35" s="210">
        <f t="shared" si="25"/>
        <v>967.71085795100078</v>
      </c>
      <c r="CT35" s="210">
        <f t="shared" si="25"/>
        <v>956.52344918856147</v>
      </c>
      <c r="CU35" s="210">
        <f t="shared" si="25"/>
        <v>945.33604042612217</v>
      </c>
      <c r="CV35" s="210">
        <f t="shared" si="25"/>
        <v>934.14863166368286</v>
      </c>
      <c r="CW35" s="210">
        <f t="shared" si="25"/>
        <v>922.96122290124356</v>
      </c>
      <c r="CX35" s="210">
        <f t="shared" si="25"/>
        <v>911.77381413880425</v>
      </c>
      <c r="CY35" s="210">
        <f t="shared" si="25"/>
        <v>900.58640537636495</v>
      </c>
      <c r="CZ35" s="210">
        <f t="shared" si="25"/>
        <v>894.99270099514524</v>
      </c>
      <c r="DA35" s="210">
        <f t="shared" si="25"/>
        <v>894.99270099514524</v>
      </c>
    </row>
    <row r="36" spans="1:105">
      <c r="A36" s="201" t="str">
        <f>Income!A85</f>
        <v>Cash transfer - official</v>
      </c>
      <c r="B36" s="203">
        <f>Income!B85</f>
        <v>22020</v>
      </c>
      <c r="C36" s="203">
        <f>Income!C85</f>
        <v>22020</v>
      </c>
      <c r="D36" s="203">
        <f>Income!D85</f>
        <v>22020</v>
      </c>
      <c r="E36" s="203">
        <f>Income!E85</f>
        <v>5477.333333333333</v>
      </c>
      <c r="F36" s="210">
        <f t="shared" si="16"/>
        <v>22020</v>
      </c>
      <c r="G36" s="210">
        <f t="shared" si="16"/>
        <v>22020</v>
      </c>
      <c r="H36" s="210">
        <f t="shared" si="16"/>
        <v>22020</v>
      </c>
      <c r="I36" s="210">
        <f t="shared" si="16"/>
        <v>22020</v>
      </c>
      <c r="J36" s="210">
        <f t="shared" si="16"/>
        <v>22020</v>
      </c>
      <c r="K36" s="210">
        <f t="shared" si="16"/>
        <v>22020</v>
      </c>
      <c r="L36" s="210">
        <f t="shared" si="16"/>
        <v>22020</v>
      </c>
      <c r="M36" s="210">
        <f t="shared" si="16"/>
        <v>22020</v>
      </c>
      <c r="N36" s="210">
        <f t="shared" si="16"/>
        <v>22020</v>
      </c>
      <c r="O36" s="210">
        <f t="shared" si="16"/>
        <v>22020</v>
      </c>
      <c r="P36" s="210">
        <f t="shared" si="16"/>
        <v>22020</v>
      </c>
      <c r="Q36" s="210">
        <f t="shared" si="16"/>
        <v>22020</v>
      </c>
      <c r="R36" s="210">
        <f t="shared" si="16"/>
        <v>22020</v>
      </c>
      <c r="S36" s="210">
        <f t="shared" si="16"/>
        <v>22020</v>
      </c>
      <c r="T36" s="210">
        <f t="shared" si="16"/>
        <v>22020</v>
      </c>
      <c r="U36" s="210">
        <f t="shared" si="16"/>
        <v>22020</v>
      </c>
      <c r="V36" s="210">
        <f t="shared" si="17"/>
        <v>22020</v>
      </c>
      <c r="W36" s="210">
        <f t="shared" si="17"/>
        <v>22020</v>
      </c>
      <c r="X36" s="210">
        <f t="shared" si="17"/>
        <v>22020</v>
      </c>
      <c r="Y36" s="210">
        <f t="shared" si="17"/>
        <v>22020</v>
      </c>
      <c r="Z36" s="210">
        <f t="shared" si="17"/>
        <v>22020</v>
      </c>
      <c r="AA36" s="210">
        <f t="shared" si="17"/>
        <v>22020</v>
      </c>
      <c r="AB36" s="210">
        <f t="shared" si="17"/>
        <v>22020</v>
      </c>
      <c r="AC36" s="210">
        <f t="shared" si="17"/>
        <v>22020</v>
      </c>
      <c r="AD36" s="210">
        <f t="shared" si="17"/>
        <v>22020</v>
      </c>
      <c r="AE36" s="210">
        <f t="shared" si="17"/>
        <v>22020</v>
      </c>
      <c r="AF36" s="210">
        <f t="shared" si="18"/>
        <v>22020</v>
      </c>
      <c r="AG36" s="210">
        <f t="shared" si="18"/>
        <v>22020</v>
      </c>
      <c r="AH36" s="210">
        <f t="shared" si="18"/>
        <v>22020</v>
      </c>
      <c r="AI36" s="210">
        <f t="shared" si="18"/>
        <v>22020</v>
      </c>
      <c r="AJ36" s="210">
        <f t="shared" si="18"/>
        <v>22020</v>
      </c>
      <c r="AK36" s="210">
        <f t="shared" si="18"/>
        <v>22020</v>
      </c>
      <c r="AL36" s="210">
        <f t="shared" si="18"/>
        <v>22020</v>
      </c>
      <c r="AM36" s="210">
        <f t="shared" si="18"/>
        <v>22020</v>
      </c>
      <c r="AN36" s="210">
        <f t="shared" si="18"/>
        <v>22020</v>
      </c>
      <c r="AO36" s="210">
        <f t="shared" si="18"/>
        <v>22020</v>
      </c>
      <c r="AP36" s="210">
        <f t="shared" si="19"/>
        <v>22020</v>
      </c>
      <c r="AQ36" s="210">
        <f t="shared" si="19"/>
        <v>22020</v>
      </c>
      <c r="AR36" s="210">
        <f t="shared" si="19"/>
        <v>22020</v>
      </c>
      <c r="AS36" s="210">
        <f t="shared" si="19"/>
        <v>22020</v>
      </c>
      <c r="AT36" s="210">
        <f t="shared" si="19"/>
        <v>22020</v>
      </c>
      <c r="AU36" s="210">
        <f t="shared" si="19"/>
        <v>22020</v>
      </c>
      <c r="AV36" s="210">
        <f t="shared" si="19"/>
        <v>22020</v>
      </c>
      <c r="AW36" s="210">
        <f t="shared" si="19"/>
        <v>22020</v>
      </c>
      <c r="AX36" s="210">
        <f t="shared" si="19"/>
        <v>22020</v>
      </c>
      <c r="AY36" s="210">
        <f t="shared" si="19"/>
        <v>22020</v>
      </c>
      <c r="AZ36" s="210">
        <f t="shared" si="20"/>
        <v>22020</v>
      </c>
      <c r="BA36" s="210">
        <f t="shared" si="20"/>
        <v>22020</v>
      </c>
      <c r="BB36" s="210">
        <f t="shared" si="20"/>
        <v>22020</v>
      </c>
      <c r="BC36" s="210">
        <f t="shared" si="20"/>
        <v>22020</v>
      </c>
      <c r="BD36" s="210">
        <f t="shared" si="20"/>
        <v>22020</v>
      </c>
      <c r="BE36" s="210">
        <f t="shared" si="20"/>
        <v>22020</v>
      </c>
      <c r="BF36" s="210">
        <f t="shared" si="20"/>
        <v>22020</v>
      </c>
      <c r="BG36" s="210">
        <f t="shared" si="20"/>
        <v>22020</v>
      </c>
      <c r="BH36" s="210">
        <f t="shared" si="20"/>
        <v>22020</v>
      </c>
      <c r="BI36" s="210">
        <f t="shared" si="20"/>
        <v>22020</v>
      </c>
      <c r="BJ36" s="210">
        <f t="shared" si="21"/>
        <v>22020</v>
      </c>
      <c r="BK36" s="210">
        <f t="shared" si="21"/>
        <v>22020</v>
      </c>
      <c r="BL36" s="210">
        <f t="shared" si="21"/>
        <v>22020</v>
      </c>
      <c r="BM36" s="210">
        <f t="shared" si="21"/>
        <v>22020</v>
      </c>
      <c r="BN36" s="210">
        <f t="shared" si="21"/>
        <v>22020</v>
      </c>
      <c r="BO36" s="210">
        <f t="shared" si="21"/>
        <v>22020</v>
      </c>
      <c r="BP36" s="210">
        <f t="shared" si="21"/>
        <v>22020</v>
      </c>
      <c r="BQ36" s="210">
        <f t="shared" si="21"/>
        <v>22020</v>
      </c>
      <c r="BR36" s="210">
        <f t="shared" si="21"/>
        <v>22020</v>
      </c>
      <c r="BS36" s="210">
        <f t="shared" si="21"/>
        <v>22020</v>
      </c>
      <c r="BT36" s="210">
        <f t="shared" si="22"/>
        <v>22020</v>
      </c>
      <c r="BU36" s="210">
        <f t="shared" si="22"/>
        <v>22020</v>
      </c>
      <c r="BV36" s="210">
        <f t="shared" si="22"/>
        <v>22020</v>
      </c>
      <c r="BW36" s="210">
        <f t="shared" si="22"/>
        <v>22020</v>
      </c>
      <c r="BX36" s="210">
        <f t="shared" si="22"/>
        <v>22020</v>
      </c>
      <c r="BY36" s="210">
        <f t="shared" si="22"/>
        <v>22020</v>
      </c>
      <c r="BZ36" s="210">
        <f t="shared" si="22"/>
        <v>22020</v>
      </c>
      <c r="CA36" s="210">
        <f t="shared" si="22"/>
        <v>22020</v>
      </c>
      <c r="CB36" s="210">
        <f t="shared" si="22"/>
        <v>22020</v>
      </c>
      <c r="CC36" s="210">
        <f t="shared" si="22"/>
        <v>22020</v>
      </c>
      <c r="CD36" s="210">
        <f t="shared" si="23"/>
        <v>22020</v>
      </c>
      <c r="CE36" s="210">
        <f t="shared" si="23"/>
        <v>22020</v>
      </c>
      <c r="CF36" s="210">
        <f t="shared" si="23"/>
        <v>22020</v>
      </c>
      <c r="CG36" s="210">
        <f t="shared" si="23"/>
        <v>22020</v>
      </c>
      <c r="CH36" s="210">
        <f t="shared" si="23"/>
        <v>22020</v>
      </c>
      <c r="CI36" s="210">
        <f t="shared" si="23"/>
        <v>22020</v>
      </c>
      <c r="CJ36" s="210">
        <f t="shared" si="23"/>
        <v>22020</v>
      </c>
      <c r="CK36" s="210">
        <f t="shared" si="23"/>
        <v>22020</v>
      </c>
      <c r="CL36" s="210">
        <f t="shared" si="23"/>
        <v>22020</v>
      </c>
      <c r="CM36" s="210">
        <f t="shared" si="23"/>
        <v>22020</v>
      </c>
      <c r="CN36" s="210">
        <f t="shared" si="24"/>
        <v>22020</v>
      </c>
      <c r="CO36" s="210">
        <f t="shared" si="24"/>
        <v>22020</v>
      </c>
      <c r="CP36" s="210">
        <f t="shared" si="24"/>
        <v>21192.866666666665</v>
      </c>
      <c r="CQ36" s="210">
        <f t="shared" si="24"/>
        <v>19538.599999999999</v>
      </c>
      <c r="CR36" s="210">
        <f t="shared" si="24"/>
        <v>17884.333333333332</v>
      </c>
      <c r="CS36" s="210">
        <f t="shared" si="24"/>
        <v>16230.066666666666</v>
      </c>
      <c r="CT36" s="210">
        <f t="shared" si="24"/>
        <v>14575.8</v>
      </c>
      <c r="CU36" s="210">
        <f t="shared" si="24"/>
        <v>12921.533333333333</v>
      </c>
      <c r="CV36" s="210">
        <f t="shared" si="24"/>
        <v>11267.266666666666</v>
      </c>
      <c r="CW36" s="210">
        <f t="shared" si="24"/>
        <v>9612.9999999999982</v>
      </c>
      <c r="CX36" s="210">
        <f t="shared" si="25"/>
        <v>7958.7333333333318</v>
      </c>
      <c r="CY36" s="210">
        <f t="shared" si="25"/>
        <v>6304.4666666666653</v>
      </c>
      <c r="CZ36" s="210">
        <f t="shared" si="25"/>
        <v>5477.333333333333</v>
      </c>
      <c r="DA36" s="210">
        <f t="shared" si="25"/>
        <v>5477.333333333333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25886.481970899989</v>
      </c>
      <c r="C38" s="203">
        <f>Income!C88</f>
        <v>29361.559217710233</v>
      </c>
      <c r="D38" s="203">
        <f>Income!D88</f>
        <v>40423.893778024401</v>
      </c>
      <c r="E38" s="203">
        <f>Income!E88</f>
        <v>58465.818571525422</v>
      </c>
      <c r="F38" s="204">
        <f t="shared" ref="F38:AK38" si="26">SUM(F25:F37)</f>
        <v>25886.481970899989</v>
      </c>
      <c r="G38" s="204">
        <f t="shared" si="26"/>
        <v>25886.481970899989</v>
      </c>
      <c r="H38" s="204">
        <f t="shared" si="26"/>
        <v>25886.481970899989</v>
      </c>
      <c r="I38" s="204">
        <f t="shared" si="26"/>
        <v>25886.481970899989</v>
      </c>
      <c r="J38" s="204">
        <f t="shared" si="26"/>
        <v>25886.481970899989</v>
      </c>
      <c r="K38" s="204">
        <f t="shared" si="26"/>
        <v>25886.481970899989</v>
      </c>
      <c r="L38" s="204">
        <f t="shared" si="26"/>
        <v>25886.481970899989</v>
      </c>
      <c r="M38" s="204">
        <f t="shared" si="26"/>
        <v>25886.481970899989</v>
      </c>
      <c r="N38" s="204">
        <f t="shared" si="26"/>
        <v>25886.481970899989</v>
      </c>
      <c r="O38" s="204">
        <f t="shared" si="26"/>
        <v>25886.481970899989</v>
      </c>
      <c r="P38" s="204">
        <f t="shared" si="26"/>
        <v>25886.481970899989</v>
      </c>
      <c r="Q38" s="204">
        <f t="shared" si="26"/>
        <v>25886.481970899989</v>
      </c>
      <c r="R38" s="204">
        <f t="shared" si="26"/>
        <v>25886.481970899989</v>
      </c>
      <c r="S38" s="204">
        <f t="shared" si="26"/>
        <v>25886.481970899989</v>
      </c>
      <c r="T38" s="204">
        <f t="shared" si="26"/>
        <v>25886.481970899989</v>
      </c>
      <c r="U38" s="204">
        <f t="shared" si="26"/>
        <v>25886.481970899989</v>
      </c>
      <c r="V38" s="204">
        <f t="shared" si="26"/>
        <v>25886.481970899989</v>
      </c>
      <c r="W38" s="204">
        <f t="shared" si="26"/>
        <v>25886.481970899989</v>
      </c>
      <c r="X38" s="204">
        <f t="shared" si="26"/>
        <v>25886.481970899989</v>
      </c>
      <c r="Y38" s="204">
        <f t="shared" si="26"/>
        <v>25886.481970899989</v>
      </c>
      <c r="Z38" s="204">
        <f t="shared" si="26"/>
        <v>25886.481970899989</v>
      </c>
      <c r="AA38" s="204">
        <f t="shared" si="26"/>
        <v>25886.481970899989</v>
      </c>
      <c r="AB38" s="204">
        <f t="shared" si="26"/>
        <v>25886.481970899989</v>
      </c>
      <c r="AC38" s="204">
        <f t="shared" si="26"/>
        <v>25886.481970899989</v>
      </c>
      <c r="AD38" s="204">
        <f t="shared" si="26"/>
        <v>25886.481970899989</v>
      </c>
      <c r="AE38" s="204">
        <f t="shared" si="26"/>
        <v>25886.481970899989</v>
      </c>
      <c r="AF38" s="204">
        <f t="shared" si="26"/>
        <v>25973.358902070246</v>
      </c>
      <c r="AG38" s="204">
        <f t="shared" si="26"/>
        <v>26060.235833240502</v>
      </c>
      <c r="AH38" s="204">
        <f t="shared" si="26"/>
        <v>26147.112764410758</v>
      </c>
      <c r="AI38" s="204">
        <f t="shared" si="26"/>
        <v>26233.989695581015</v>
      </c>
      <c r="AJ38" s="204">
        <f t="shared" si="26"/>
        <v>26320.866626751271</v>
      </c>
      <c r="AK38" s="204">
        <f t="shared" si="26"/>
        <v>26407.743557921527</v>
      </c>
      <c r="AL38" s="204">
        <f t="shared" ref="AL38:BQ38" si="27">SUM(AL25:AL37)</f>
        <v>26494.620489091783</v>
      </c>
      <c r="AM38" s="204">
        <f t="shared" si="27"/>
        <v>26581.49742026204</v>
      </c>
      <c r="AN38" s="204">
        <f t="shared" si="27"/>
        <v>26668.374351432296</v>
      </c>
      <c r="AO38" s="204">
        <f t="shared" si="27"/>
        <v>26755.251282602552</v>
      </c>
      <c r="AP38" s="204">
        <f t="shared" si="27"/>
        <v>26842.128213772809</v>
      </c>
      <c r="AQ38" s="204">
        <f t="shared" si="27"/>
        <v>26929.005144943065</v>
      </c>
      <c r="AR38" s="204">
        <f t="shared" si="27"/>
        <v>27015.882076113317</v>
      </c>
      <c r="AS38" s="204">
        <f t="shared" si="27"/>
        <v>27102.759007283574</v>
      </c>
      <c r="AT38" s="204">
        <f t="shared" si="27"/>
        <v>27189.63593845383</v>
      </c>
      <c r="AU38" s="204">
        <f t="shared" si="27"/>
        <v>27276.512869624086</v>
      </c>
      <c r="AV38" s="204">
        <f t="shared" si="27"/>
        <v>27363.389800794343</v>
      </c>
      <c r="AW38" s="204">
        <f t="shared" si="27"/>
        <v>27450.266731964599</v>
      </c>
      <c r="AX38" s="204">
        <f t="shared" si="27"/>
        <v>27537.143663134855</v>
      </c>
      <c r="AY38" s="204">
        <f t="shared" si="27"/>
        <v>27624.020594305111</v>
      </c>
      <c r="AZ38" s="204">
        <f t="shared" si="27"/>
        <v>27710.897525475368</v>
      </c>
      <c r="BA38" s="204">
        <f t="shared" si="27"/>
        <v>27797.774456645624</v>
      </c>
      <c r="BB38" s="204">
        <f t="shared" si="27"/>
        <v>27884.65138781588</v>
      </c>
      <c r="BC38" s="204">
        <f t="shared" si="27"/>
        <v>27971.528318986137</v>
      </c>
      <c r="BD38" s="204">
        <f t="shared" si="27"/>
        <v>28058.405250156393</v>
      </c>
      <c r="BE38" s="204">
        <f t="shared" si="27"/>
        <v>28145.282181326649</v>
      </c>
      <c r="BF38" s="204">
        <f t="shared" si="27"/>
        <v>28232.159112496905</v>
      </c>
      <c r="BG38" s="204">
        <f t="shared" si="27"/>
        <v>28319.036043667162</v>
      </c>
      <c r="BH38" s="204">
        <f t="shared" si="27"/>
        <v>28405.912974837418</v>
      </c>
      <c r="BI38" s="204">
        <f t="shared" si="27"/>
        <v>28492.789906007674</v>
      </c>
      <c r="BJ38" s="204">
        <f t="shared" si="27"/>
        <v>28579.666837177931</v>
      </c>
      <c r="BK38" s="204">
        <f t="shared" si="27"/>
        <v>28666.543768348187</v>
      </c>
      <c r="BL38" s="204">
        <f t="shared" si="27"/>
        <v>28753.420699518443</v>
      </c>
      <c r="BM38" s="204">
        <f t="shared" si="27"/>
        <v>28840.297630688699</v>
      </c>
      <c r="BN38" s="204">
        <f t="shared" si="27"/>
        <v>28927.174561858956</v>
      </c>
      <c r="BO38" s="204">
        <f t="shared" si="27"/>
        <v>29014.051493029212</v>
      </c>
      <c r="BP38" s="204">
        <f t="shared" si="27"/>
        <v>29100.928424199468</v>
      </c>
      <c r="BQ38" s="204">
        <f t="shared" si="27"/>
        <v>29187.805355369725</v>
      </c>
      <c r="BR38" s="204">
        <f t="shared" ref="BR38:CW38" si="28">SUM(BR25:BR37)</f>
        <v>29274.682286539981</v>
      </c>
      <c r="BS38" s="204">
        <f t="shared" si="28"/>
        <v>29361.559217710233</v>
      </c>
      <c r="BT38" s="204">
        <f t="shared" si="28"/>
        <v>29750.295253300064</v>
      </c>
      <c r="BU38" s="204">
        <f t="shared" si="28"/>
        <v>30139.031288889899</v>
      </c>
      <c r="BV38" s="204">
        <f t="shared" si="28"/>
        <v>30527.767324479733</v>
      </c>
      <c r="BW38" s="204">
        <f t="shared" si="28"/>
        <v>30916.503360069561</v>
      </c>
      <c r="BX38" s="204">
        <f t="shared" si="28"/>
        <v>31305.239395659395</v>
      </c>
      <c r="BY38" s="204">
        <f t="shared" si="28"/>
        <v>31693.975431249222</v>
      </c>
      <c r="BZ38" s="204">
        <f t="shared" si="28"/>
        <v>32082.711466839057</v>
      </c>
      <c r="CA38" s="204">
        <f t="shared" si="28"/>
        <v>32471.447502428884</v>
      </c>
      <c r="CB38" s="204">
        <f t="shared" si="28"/>
        <v>32860.183538018719</v>
      </c>
      <c r="CC38" s="204">
        <f t="shared" si="28"/>
        <v>33248.919573608553</v>
      </c>
      <c r="CD38" s="204">
        <f t="shared" si="28"/>
        <v>33637.65560919838</v>
      </c>
      <c r="CE38" s="204">
        <f t="shared" si="28"/>
        <v>34026.391644788215</v>
      </c>
      <c r="CF38" s="204">
        <f t="shared" si="28"/>
        <v>34415.127680378042</v>
      </c>
      <c r="CG38" s="204">
        <f t="shared" si="28"/>
        <v>34803.863715967876</v>
      </c>
      <c r="CH38" s="204">
        <f t="shared" si="28"/>
        <v>35192.599751557704</v>
      </c>
      <c r="CI38" s="204">
        <f t="shared" si="28"/>
        <v>35581.335787147538</v>
      </c>
      <c r="CJ38" s="204">
        <f t="shared" si="28"/>
        <v>35970.071822737373</v>
      </c>
      <c r="CK38" s="204">
        <f t="shared" si="28"/>
        <v>36358.8078583272</v>
      </c>
      <c r="CL38" s="204">
        <f t="shared" si="28"/>
        <v>36747.543893917034</v>
      </c>
      <c r="CM38" s="204">
        <f t="shared" si="28"/>
        <v>37136.279929506869</v>
      </c>
      <c r="CN38" s="204">
        <f t="shared" si="28"/>
        <v>37525.015965096696</v>
      </c>
      <c r="CO38" s="204">
        <f t="shared" si="28"/>
        <v>37913.752000686531</v>
      </c>
      <c r="CP38" s="204">
        <f t="shared" si="28"/>
        <v>39092.550264788486</v>
      </c>
      <c r="CQ38" s="204">
        <f t="shared" si="28"/>
        <v>41061.410757402598</v>
      </c>
      <c r="CR38" s="204">
        <f t="shared" si="28"/>
        <v>43030.271250016696</v>
      </c>
      <c r="CS38" s="204">
        <f t="shared" si="28"/>
        <v>44999.131742630809</v>
      </c>
      <c r="CT38" s="204">
        <f t="shared" si="28"/>
        <v>46967.992235244907</v>
      </c>
      <c r="CU38" s="204">
        <f t="shared" si="28"/>
        <v>48936.852727859019</v>
      </c>
      <c r="CV38" s="204">
        <f t="shared" si="28"/>
        <v>50905.713220473117</v>
      </c>
      <c r="CW38" s="204">
        <f t="shared" si="28"/>
        <v>52874.573713087215</v>
      </c>
      <c r="CX38" s="204">
        <f>SUM(CX25:CX37)</f>
        <v>54843.43420570132</v>
      </c>
      <c r="CY38" s="204">
        <f>SUM(CY25:CY37)</f>
        <v>56812.294698315418</v>
      </c>
      <c r="CZ38" s="204">
        <f>SUM(CZ25:CZ37)</f>
        <v>57796.724944622474</v>
      </c>
      <c r="DA38" s="204">
        <f>SUM(DA25:DA37)</f>
        <v>57796.724944622474</v>
      </c>
    </row>
    <row r="39" spans="1:105">
      <c r="A39" s="201" t="str">
        <f>Income!A89</f>
        <v>Food Poverty line</v>
      </c>
      <c r="B39" s="203">
        <f>Income!B89</f>
        <v>20136.903793668345</v>
      </c>
      <c r="C39" s="203">
        <f>Income!C89</f>
        <v>20136.903793668345</v>
      </c>
      <c r="D39" s="203">
        <f>Income!D89</f>
        <v>20136.903793668345</v>
      </c>
      <c r="E39" s="203">
        <f>Income!E89</f>
        <v>20136.903793668345</v>
      </c>
      <c r="F39" s="204">
        <f t="shared" ref="F39:U39" si="29">IF(F$2&lt;=($B$2+$C$2+$D$2),IF(F$2&lt;=($B$2+$C$2),IF(F$2&lt;=$B$2,$B39,$C39),$D39),$E39)</f>
        <v>20136.903793668345</v>
      </c>
      <c r="G39" s="204">
        <f t="shared" si="29"/>
        <v>20136.903793668345</v>
      </c>
      <c r="H39" s="204">
        <f t="shared" si="29"/>
        <v>20136.903793668345</v>
      </c>
      <c r="I39" s="204">
        <f t="shared" si="29"/>
        <v>20136.903793668345</v>
      </c>
      <c r="J39" s="204">
        <f t="shared" si="29"/>
        <v>20136.903793668345</v>
      </c>
      <c r="K39" s="204">
        <f t="shared" si="29"/>
        <v>20136.903793668345</v>
      </c>
      <c r="L39" s="204">
        <f t="shared" si="29"/>
        <v>20136.903793668345</v>
      </c>
      <c r="M39" s="204">
        <f t="shared" si="29"/>
        <v>20136.903793668345</v>
      </c>
      <c r="N39" s="204">
        <f t="shared" si="29"/>
        <v>20136.903793668345</v>
      </c>
      <c r="O39" s="204">
        <f t="shared" si="29"/>
        <v>20136.903793668345</v>
      </c>
      <c r="P39" s="204">
        <f t="shared" si="29"/>
        <v>20136.903793668345</v>
      </c>
      <c r="Q39" s="204">
        <f t="shared" si="29"/>
        <v>20136.903793668345</v>
      </c>
      <c r="R39" s="204">
        <f t="shared" si="29"/>
        <v>20136.903793668345</v>
      </c>
      <c r="S39" s="204">
        <f t="shared" si="29"/>
        <v>20136.903793668345</v>
      </c>
      <c r="T39" s="204">
        <f t="shared" si="29"/>
        <v>20136.903793668345</v>
      </c>
      <c r="U39" s="204">
        <f t="shared" si="29"/>
        <v>20136.903793668345</v>
      </c>
      <c r="V39" s="204">
        <f t="shared" ref="V39:AK40" si="30">IF(V$2&lt;=($B$2+$C$2+$D$2),IF(V$2&lt;=($B$2+$C$2),IF(V$2&lt;=$B$2,$B39,$C39),$D39),$E39)</f>
        <v>20136.903793668345</v>
      </c>
      <c r="W39" s="204">
        <f t="shared" si="30"/>
        <v>20136.903793668345</v>
      </c>
      <c r="X39" s="204">
        <f t="shared" si="30"/>
        <v>20136.903793668345</v>
      </c>
      <c r="Y39" s="204">
        <f t="shared" si="30"/>
        <v>20136.903793668345</v>
      </c>
      <c r="Z39" s="204">
        <f t="shared" si="30"/>
        <v>20136.903793668345</v>
      </c>
      <c r="AA39" s="204">
        <f t="shared" si="30"/>
        <v>20136.903793668345</v>
      </c>
      <c r="AB39" s="204">
        <f t="shared" si="30"/>
        <v>20136.903793668345</v>
      </c>
      <c r="AC39" s="204">
        <f t="shared" si="30"/>
        <v>20136.903793668345</v>
      </c>
      <c r="AD39" s="204">
        <f t="shared" si="30"/>
        <v>20136.903793668345</v>
      </c>
      <c r="AE39" s="204">
        <f t="shared" si="30"/>
        <v>20136.903793668345</v>
      </c>
      <c r="AF39" s="204">
        <f t="shared" si="30"/>
        <v>20136.903793668345</v>
      </c>
      <c r="AG39" s="204">
        <f t="shared" si="30"/>
        <v>20136.903793668345</v>
      </c>
      <c r="AH39" s="204">
        <f t="shared" si="30"/>
        <v>20136.903793668345</v>
      </c>
      <c r="AI39" s="204">
        <f t="shared" si="30"/>
        <v>20136.903793668345</v>
      </c>
      <c r="AJ39" s="204">
        <f t="shared" si="30"/>
        <v>20136.903793668345</v>
      </c>
      <c r="AK39" s="204">
        <f t="shared" si="30"/>
        <v>20136.903793668345</v>
      </c>
      <c r="AL39" s="204">
        <f t="shared" ref="AL39:BA40" si="31">IF(AL$2&lt;=($B$2+$C$2+$D$2),IF(AL$2&lt;=($B$2+$C$2),IF(AL$2&lt;=$B$2,$B39,$C39),$D39),$E39)</f>
        <v>20136.903793668345</v>
      </c>
      <c r="AM39" s="204">
        <f t="shared" si="31"/>
        <v>20136.903793668345</v>
      </c>
      <c r="AN39" s="204">
        <f t="shared" si="31"/>
        <v>20136.903793668345</v>
      </c>
      <c r="AO39" s="204">
        <f t="shared" si="31"/>
        <v>20136.903793668345</v>
      </c>
      <c r="AP39" s="204">
        <f t="shared" si="31"/>
        <v>20136.903793668345</v>
      </c>
      <c r="AQ39" s="204">
        <f t="shared" si="31"/>
        <v>20136.903793668345</v>
      </c>
      <c r="AR39" s="204">
        <f t="shared" si="31"/>
        <v>20136.903793668345</v>
      </c>
      <c r="AS39" s="204">
        <f t="shared" si="31"/>
        <v>20136.903793668345</v>
      </c>
      <c r="AT39" s="204">
        <f t="shared" si="31"/>
        <v>20136.903793668345</v>
      </c>
      <c r="AU39" s="204">
        <f t="shared" si="31"/>
        <v>20136.903793668345</v>
      </c>
      <c r="AV39" s="204">
        <f t="shared" si="31"/>
        <v>20136.903793668345</v>
      </c>
      <c r="AW39" s="204">
        <f t="shared" si="31"/>
        <v>20136.903793668345</v>
      </c>
      <c r="AX39" s="204">
        <f t="shared" si="31"/>
        <v>20136.903793668345</v>
      </c>
      <c r="AY39" s="204">
        <f t="shared" si="31"/>
        <v>20136.903793668345</v>
      </c>
      <c r="AZ39" s="204">
        <f t="shared" si="31"/>
        <v>20136.903793668345</v>
      </c>
      <c r="BA39" s="204">
        <f t="shared" si="31"/>
        <v>20136.903793668345</v>
      </c>
      <c r="BB39" s="204">
        <f t="shared" ref="BB39:CD40" si="32">IF(BB$2&lt;=($B$2+$C$2+$D$2),IF(BB$2&lt;=($B$2+$C$2),IF(BB$2&lt;=$B$2,$B39,$C39),$D39),$E39)</f>
        <v>20136.903793668345</v>
      </c>
      <c r="BC39" s="204">
        <f t="shared" si="32"/>
        <v>20136.903793668345</v>
      </c>
      <c r="BD39" s="204">
        <f t="shared" si="32"/>
        <v>20136.903793668345</v>
      </c>
      <c r="BE39" s="204">
        <f t="shared" si="32"/>
        <v>20136.903793668345</v>
      </c>
      <c r="BF39" s="204">
        <f t="shared" si="32"/>
        <v>20136.903793668345</v>
      </c>
      <c r="BG39" s="204">
        <f t="shared" si="32"/>
        <v>20136.903793668345</v>
      </c>
      <c r="BH39" s="204">
        <f t="shared" si="32"/>
        <v>20136.903793668345</v>
      </c>
      <c r="BI39" s="204">
        <f t="shared" si="32"/>
        <v>20136.903793668345</v>
      </c>
      <c r="BJ39" s="204">
        <f t="shared" si="32"/>
        <v>20136.903793668345</v>
      </c>
      <c r="BK39" s="204">
        <f t="shared" si="32"/>
        <v>20136.903793668345</v>
      </c>
      <c r="BL39" s="204">
        <f t="shared" si="32"/>
        <v>20136.903793668345</v>
      </c>
      <c r="BM39" s="204">
        <f t="shared" si="32"/>
        <v>20136.903793668345</v>
      </c>
      <c r="BN39" s="204">
        <f t="shared" si="32"/>
        <v>20136.903793668345</v>
      </c>
      <c r="BO39" s="204">
        <f t="shared" si="32"/>
        <v>20136.903793668345</v>
      </c>
      <c r="BP39" s="204">
        <f t="shared" si="32"/>
        <v>20136.903793668345</v>
      </c>
      <c r="BQ39" s="204">
        <f t="shared" si="32"/>
        <v>20136.903793668345</v>
      </c>
      <c r="BR39" s="204">
        <f t="shared" si="32"/>
        <v>20136.903793668345</v>
      </c>
      <c r="BS39" s="204">
        <f t="shared" si="32"/>
        <v>20136.903793668345</v>
      </c>
      <c r="BT39" s="204">
        <f t="shared" si="32"/>
        <v>20136.903793668345</v>
      </c>
      <c r="BU39" s="204">
        <f t="shared" si="32"/>
        <v>20136.903793668345</v>
      </c>
      <c r="BV39" s="204">
        <f t="shared" si="32"/>
        <v>20136.903793668345</v>
      </c>
      <c r="BW39" s="204">
        <f t="shared" si="32"/>
        <v>20136.903793668345</v>
      </c>
      <c r="BX39" s="204">
        <f t="shared" si="32"/>
        <v>20136.903793668345</v>
      </c>
      <c r="BY39" s="204">
        <f t="shared" si="32"/>
        <v>20136.903793668345</v>
      </c>
      <c r="BZ39" s="204">
        <f t="shared" si="32"/>
        <v>20136.903793668345</v>
      </c>
      <c r="CA39" s="204">
        <f t="shared" si="32"/>
        <v>20136.903793668345</v>
      </c>
      <c r="CB39" s="204">
        <f t="shared" si="32"/>
        <v>20136.903793668345</v>
      </c>
      <c r="CC39" s="204">
        <f t="shared" si="32"/>
        <v>20136.903793668345</v>
      </c>
      <c r="CD39" s="204">
        <f t="shared" si="32"/>
        <v>20136.903793668345</v>
      </c>
      <c r="CE39" s="204">
        <f t="shared" ref="CE39:CR40" si="33">IF(CE$2&lt;=($B$2+$C$2+$D$2),IF(CE$2&lt;=($B$2+$C$2),IF(CE$2&lt;=$B$2,$B39,$C39),$D39),$E39)</f>
        <v>20136.903793668345</v>
      </c>
      <c r="CF39" s="204">
        <f t="shared" si="33"/>
        <v>20136.903793668345</v>
      </c>
      <c r="CG39" s="204">
        <f t="shared" si="33"/>
        <v>20136.903793668345</v>
      </c>
      <c r="CH39" s="204">
        <f t="shared" si="33"/>
        <v>20136.903793668345</v>
      </c>
      <c r="CI39" s="204">
        <f t="shared" si="33"/>
        <v>20136.903793668345</v>
      </c>
      <c r="CJ39" s="204">
        <f t="shared" si="33"/>
        <v>20136.903793668345</v>
      </c>
      <c r="CK39" s="204">
        <f t="shared" si="33"/>
        <v>20136.903793668345</v>
      </c>
      <c r="CL39" s="204">
        <f t="shared" si="33"/>
        <v>20136.903793668345</v>
      </c>
      <c r="CM39" s="204">
        <f t="shared" si="33"/>
        <v>20136.903793668345</v>
      </c>
      <c r="CN39" s="204">
        <f t="shared" si="33"/>
        <v>20136.903793668345</v>
      </c>
      <c r="CO39" s="204">
        <f t="shared" si="33"/>
        <v>20136.903793668345</v>
      </c>
      <c r="CP39" s="204">
        <f t="shared" si="33"/>
        <v>20136.903793668345</v>
      </c>
      <c r="CQ39" s="204">
        <f t="shared" si="33"/>
        <v>20136.903793668345</v>
      </c>
      <c r="CR39" s="204">
        <f t="shared" si="33"/>
        <v>20136.903793668345</v>
      </c>
      <c r="CS39" s="204">
        <f t="shared" ref="CS39:DA40" si="34">IF(CS$2&lt;=($B$2+$C$2+$D$2),IF(CS$2&lt;=($B$2+$C$2),IF(CS$2&lt;=$B$2,$B39,$C39),$D39),$E39)</f>
        <v>20136.903793668345</v>
      </c>
      <c r="CT39" s="204">
        <f t="shared" si="34"/>
        <v>20136.903793668345</v>
      </c>
      <c r="CU39" s="204">
        <f t="shared" si="34"/>
        <v>20136.903793668345</v>
      </c>
      <c r="CV39" s="204">
        <f t="shared" si="34"/>
        <v>20136.903793668345</v>
      </c>
      <c r="CW39" s="204">
        <f t="shared" si="34"/>
        <v>20136.903793668345</v>
      </c>
      <c r="CX39" s="204">
        <f t="shared" si="34"/>
        <v>20136.903793668345</v>
      </c>
      <c r="CY39" s="204">
        <f t="shared" si="34"/>
        <v>20136.903793668345</v>
      </c>
      <c r="CZ39" s="204">
        <f t="shared" si="34"/>
        <v>20136.903793668345</v>
      </c>
      <c r="DA39" s="204">
        <f t="shared" si="34"/>
        <v>20136.903793668345</v>
      </c>
    </row>
    <row r="40" spans="1:105">
      <c r="A40" s="201" t="str">
        <f>Income!A90</f>
        <v>Lower Bound Poverty line</v>
      </c>
      <c r="B40" s="203">
        <f>Income!B90</f>
        <v>34115.570460335017</v>
      </c>
      <c r="C40" s="203">
        <f>Income!C90</f>
        <v>34115.570460335017</v>
      </c>
      <c r="D40" s="203">
        <f>Income!D90</f>
        <v>34115.570460335017</v>
      </c>
      <c r="E40" s="203">
        <f>Income!E90</f>
        <v>34115.570460335017</v>
      </c>
      <c r="F40" s="204">
        <f t="shared" ref="F40:U40" si="35">IF(F$2&lt;=($B$2+$C$2+$D$2),IF(F$2&lt;=($B$2+$C$2),IF(F$2&lt;=$B$2,$B40,$C40),$D40),$E40)</f>
        <v>34115.570460335017</v>
      </c>
      <c r="G40" s="204">
        <f t="shared" si="35"/>
        <v>34115.570460335017</v>
      </c>
      <c r="H40" s="204">
        <f t="shared" si="35"/>
        <v>34115.570460335017</v>
      </c>
      <c r="I40" s="204">
        <f t="shared" si="35"/>
        <v>34115.570460335017</v>
      </c>
      <c r="J40" s="204">
        <f t="shared" si="35"/>
        <v>34115.570460335017</v>
      </c>
      <c r="K40" s="204">
        <f t="shared" si="35"/>
        <v>34115.570460335017</v>
      </c>
      <c r="L40" s="204">
        <f t="shared" si="35"/>
        <v>34115.570460335017</v>
      </c>
      <c r="M40" s="204">
        <f t="shared" si="35"/>
        <v>34115.570460335017</v>
      </c>
      <c r="N40" s="204">
        <f t="shared" si="35"/>
        <v>34115.570460335017</v>
      </c>
      <c r="O40" s="204">
        <f t="shared" si="35"/>
        <v>34115.570460335017</v>
      </c>
      <c r="P40" s="204">
        <f t="shared" si="35"/>
        <v>34115.570460335017</v>
      </c>
      <c r="Q40" s="204">
        <f t="shared" si="35"/>
        <v>34115.570460335017</v>
      </c>
      <c r="R40" s="204">
        <f t="shared" si="35"/>
        <v>34115.570460335017</v>
      </c>
      <c r="S40" s="204">
        <f t="shared" si="35"/>
        <v>34115.570460335017</v>
      </c>
      <c r="T40" s="204">
        <f t="shared" si="35"/>
        <v>34115.570460335017</v>
      </c>
      <c r="U40" s="204">
        <f t="shared" si="35"/>
        <v>34115.570460335017</v>
      </c>
      <c r="V40" s="204">
        <f t="shared" si="30"/>
        <v>34115.570460335017</v>
      </c>
      <c r="W40" s="204">
        <f t="shared" si="30"/>
        <v>34115.570460335017</v>
      </c>
      <c r="X40" s="204">
        <f t="shared" si="30"/>
        <v>34115.570460335017</v>
      </c>
      <c r="Y40" s="204">
        <f t="shared" si="30"/>
        <v>34115.570460335017</v>
      </c>
      <c r="Z40" s="204">
        <f t="shared" si="30"/>
        <v>34115.570460335017</v>
      </c>
      <c r="AA40" s="204">
        <f t="shared" si="30"/>
        <v>34115.570460335017</v>
      </c>
      <c r="AB40" s="204">
        <f t="shared" si="30"/>
        <v>34115.570460335017</v>
      </c>
      <c r="AC40" s="204">
        <f t="shared" si="30"/>
        <v>34115.570460335017</v>
      </c>
      <c r="AD40" s="204">
        <f t="shared" si="30"/>
        <v>34115.570460335017</v>
      </c>
      <c r="AE40" s="204">
        <f t="shared" si="30"/>
        <v>34115.570460335017</v>
      </c>
      <c r="AF40" s="204">
        <f t="shared" si="30"/>
        <v>34115.570460335017</v>
      </c>
      <c r="AG40" s="204">
        <f t="shared" si="30"/>
        <v>34115.570460335017</v>
      </c>
      <c r="AH40" s="204">
        <f t="shared" si="30"/>
        <v>34115.570460335017</v>
      </c>
      <c r="AI40" s="204">
        <f t="shared" si="30"/>
        <v>34115.570460335017</v>
      </c>
      <c r="AJ40" s="204">
        <f t="shared" si="30"/>
        <v>34115.570460335017</v>
      </c>
      <c r="AK40" s="204">
        <f t="shared" si="30"/>
        <v>34115.570460335017</v>
      </c>
      <c r="AL40" s="204">
        <f t="shared" si="31"/>
        <v>34115.570460335017</v>
      </c>
      <c r="AM40" s="204">
        <f t="shared" si="31"/>
        <v>34115.570460335017</v>
      </c>
      <c r="AN40" s="204">
        <f t="shared" si="31"/>
        <v>34115.570460335017</v>
      </c>
      <c r="AO40" s="204">
        <f t="shared" si="31"/>
        <v>34115.570460335017</v>
      </c>
      <c r="AP40" s="204">
        <f t="shared" si="31"/>
        <v>34115.570460335017</v>
      </c>
      <c r="AQ40" s="204">
        <f t="shared" si="31"/>
        <v>34115.570460335017</v>
      </c>
      <c r="AR40" s="204">
        <f t="shared" si="31"/>
        <v>34115.570460335017</v>
      </c>
      <c r="AS40" s="204">
        <f t="shared" si="31"/>
        <v>34115.570460335017</v>
      </c>
      <c r="AT40" s="204">
        <f t="shared" si="31"/>
        <v>34115.570460335017</v>
      </c>
      <c r="AU40" s="204">
        <f t="shared" si="31"/>
        <v>34115.570460335017</v>
      </c>
      <c r="AV40" s="204">
        <f t="shared" si="31"/>
        <v>34115.570460335017</v>
      </c>
      <c r="AW40" s="204">
        <f t="shared" si="31"/>
        <v>34115.570460335017</v>
      </c>
      <c r="AX40" s="204">
        <f t="shared" si="31"/>
        <v>34115.570460335017</v>
      </c>
      <c r="AY40" s="204">
        <f t="shared" si="31"/>
        <v>34115.570460335017</v>
      </c>
      <c r="AZ40" s="204">
        <f t="shared" si="31"/>
        <v>34115.570460335017</v>
      </c>
      <c r="BA40" s="204">
        <f t="shared" si="31"/>
        <v>34115.570460335017</v>
      </c>
      <c r="BB40" s="204">
        <f t="shared" si="32"/>
        <v>34115.570460335017</v>
      </c>
      <c r="BC40" s="204">
        <f t="shared" si="32"/>
        <v>34115.570460335017</v>
      </c>
      <c r="BD40" s="204">
        <f t="shared" si="32"/>
        <v>34115.570460335017</v>
      </c>
      <c r="BE40" s="204">
        <f t="shared" si="32"/>
        <v>34115.570460335017</v>
      </c>
      <c r="BF40" s="204">
        <f t="shared" si="32"/>
        <v>34115.570460335017</v>
      </c>
      <c r="BG40" s="204">
        <f t="shared" si="32"/>
        <v>34115.570460335017</v>
      </c>
      <c r="BH40" s="204">
        <f t="shared" si="32"/>
        <v>34115.570460335017</v>
      </c>
      <c r="BI40" s="204">
        <f t="shared" si="32"/>
        <v>34115.570460335017</v>
      </c>
      <c r="BJ40" s="204">
        <f t="shared" si="32"/>
        <v>34115.570460335017</v>
      </c>
      <c r="BK40" s="204">
        <f t="shared" si="32"/>
        <v>34115.570460335017</v>
      </c>
      <c r="BL40" s="204">
        <f t="shared" si="32"/>
        <v>34115.570460335017</v>
      </c>
      <c r="BM40" s="204">
        <f t="shared" si="32"/>
        <v>34115.570460335017</v>
      </c>
      <c r="BN40" s="204">
        <f t="shared" si="32"/>
        <v>34115.570460335017</v>
      </c>
      <c r="BO40" s="204">
        <f t="shared" si="32"/>
        <v>34115.570460335017</v>
      </c>
      <c r="BP40" s="204">
        <f t="shared" si="32"/>
        <v>34115.570460335017</v>
      </c>
      <c r="BQ40" s="204">
        <f t="shared" si="32"/>
        <v>34115.570460335017</v>
      </c>
      <c r="BR40" s="204">
        <f t="shared" si="32"/>
        <v>34115.570460335017</v>
      </c>
      <c r="BS40" s="204">
        <f t="shared" si="32"/>
        <v>34115.570460335017</v>
      </c>
      <c r="BT40" s="204">
        <f t="shared" si="32"/>
        <v>34115.570460335017</v>
      </c>
      <c r="BU40" s="204">
        <f t="shared" si="32"/>
        <v>34115.570460335017</v>
      </c>
      <c r="BV40" s="204">
        <f t="shared" si="32"/>
        <v>34115.570460335017</v>
      </c>
      <c r="BW40" s="204">
        <f t="shared" si="32"/>
        <v>34115.570460335017</v>
      </c>
      <c r="BX40" s="204">
        <f t="shared" si="32"/>
        <v>34115.570460335017</v>
      </c>
      <c r="BY40" s="204">
        <f t="shared" si="32"/>
        <v>34115.570460335017</v>
      </c>
      <c r="BZ40" s="204">
        <f t="shared" si="32"/>
        <v>34115.570460335017</v>
      </c>
      <c r="CA40" s="204">
        <f t="shared" si="32"/>
        <v>34115.570460335017</v>
      </c>
      <c r="CB40" s="204">
        <f t="shared" si="32"/>
        <v>34115.570460335017</v>
      </c>
      <c r="CC40" s="204">
        <f t="shared" si="32"/>
        <v>34115.570460335017</v>
      </c>
      <c r="CD40" s="204">
        <f t="shared" si="32"/>
        <v>34115.570460335017</v>
      </c>
      <c r="CE40" s="204">
        <f t="shared" si="33"/>
        <v>34115.570460335017</v>
      </c>
      <c r="CF40" s="204">
        <f t="shared" si="33"/>
        <v>34115.570460335017</v>
      </c>
      <c r="CG40" s="204">
        <f t="shared" si="33"/>
        <v>34115.570460335017</v>
      </c>
      <c r="CH40" s="204">
        <f t="shared" si="33"/>
        <v>34115.570460335017</v>
      </c>
      <c r="CI40" s="204">
        <f t="shared" si="33"/>
        <v>34115.570460335017</v>
      </c>
      <c r="CJ40" s="204">
        <f t="shared" si="33"/>
        <v>34115.570460335017</v>
      </c>
      <c r="CK40" s="204">
        <f t="shared" si="33"/>
        <v>34115.570460335017</v>
      </c>
      <c r="CL40" s="204">
        <f t="shared" si="33"/>
        <v>34115.570460335017</v>
      </c>
      <c r="CM40" s="204">
        <f t="shared" si="33"/>
        <v>34115.570460335017</v>
      </c>
      <c r="CN40" s="204">
        <f t="shared" si="33"/>
        <v>34115.570460335017</v>
      </c>
      <c r="CO40" s="204">
        <f t="shared" si="33"/>
        <v>34115.570460335017</v>
      </c>
      <c r="CP40" s="204">
        <f t="shared" si="33"/>
        <v>34115.570460335017</v>
      </c>
      <c r="CQ40" s="204">
        <f t="shared" si="33"/>
        <v>34115.570460335017</v>
      </c>
      <c r="CR40" s="204">
        <f t="shared" si="33"/>
        <v>34115.570460335017</v>
      </c>
      <c r="CS40" s="204">
        <f t="shared" si="34"/>
        <v>34115.570460335017</v>
      </c>
      <c r="CT40" s="204">
        <f t="shared" si="34"/>
        <v>34115.570460335017</v>
      </c>
      <c r="CU40" s="204">
        <f t="shared" si="34"/>
        <v>34115.570460335017</v>
      </c>
      <c r="CV40" s="204">
        <f t="shared" si="34"/>
        <v>34115.570460335017</v>
      </c>
      <c r="CW40" s="204">
        <f t="shared" si="34"/>
        <v>34115.570460335017</v>
      </c>
      <c r="CX40" s="204">
        <f t="shared" si="34"/>
        <v>34115.570460335017</v>
      </c>
      <c r="CY40" s="204">
        <f t="shared" si="34"/>
        <v>34115.570460335017</v>
      </c>
      <c r="CZ40" s="204">
        <f t="shared" si="34"/>
        <v>34115.570460335017</v>
      </c>
      <c r="DA40" s="204">
        <f t="shared" si="34"/>
        <v>34115.570460335017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7.1685666872068854</v>
      </c>
      <c r="AG42" s="210">
        <f t="shared" si="36"/>
        <v>7.1685666872068854</v>
      </c>
      <c r="AH42" s="210">
        <f t="shared" si="36"/>
        <v>7.1685666872068854</v>
      </c>
      <c r="AI42" s="210">
        <f t="shared" si="36"/>
        <v>7.1685666872068854</v>
      </c>
      <c r="AJ42" s="210">
        <f t="shared" si="36"/>
        <v>7.1685666872068854</v>
      </c>
      <c r="AK42" s="210">
        <f t="shared" si="36"/>
        <v>7.1685666872068854</v>
      </c>
      <c r="AL42" s="210">
        <f t="shared" ref="AL42:BQ42" si="37">IF(AL$22&lt;=$E$24,IF(AL$22&lt;=$D$24,IF(AL$22&lt;=$C$24,IF(AL$22&lt;=$B$24,$B108,($C25-$B25)/($C$24-$B$24)),($D25-$C25)/($D$24-$C$24)),($E25-$D25)/($E$24-$D$24)),$F108)</f>
        <v>7.1685666872068854</v>
      </c>
      <c r="AM42" s="210">
        <f t="shared" si="37"/>
        <v>7.1685666872068854</v>
      </c>
      <c r="AN42" s="210">
        <f t="shared" si="37"/>
        <v>7.1685666872068854</v>
      </c>
      <c r="AO42" s="210">
        <f t="shared" si="37"/>
        <v>7.1685666872068854</v>
      </c>
      <c r="AP42" s="210">
        <f t="shared" si="37"/>
        <v>7.1685666872068854</v>
      </c>
      <c r="AQ42" s="210">
        <f t="shared" si="37"/>
        <v>7.1685666872068854</v>
      </c>
      <c r="AR42" s="210">
        <f t="shared" si="37"/>
        <v>7.1685666872068854</v>
      </c>
      <c r="AS42" s="210">
        <f t="shared" si="37"/>
        <v>7.1685666872068854</v>
      </c>
      <c r="AT42" s="210">
        <f t="shared" si="37"/>
        <v>7.1685666872068854</v>
      </c>
      <c r="AU42" s="210">
        <f t="shared" si="37"/>
        <v>7.1685666872068854</v>
      </c>
      <c r="AV42" s="210">
        <f t="shared" si="37"/>
        <v>7.1685666872068854</v>
      </c>
      <c r="AW42" s="210">
        <f t="shared" si="37"/>
        <v>7.1685666872068854</v>
      </c>
      <c r="AX42" s="210">
        <f t="shared" si="37"/>
        <v>7.1685666872068854</v>
      </c>
      <c r="AY42" s="210">
        <f t="shared" si="37"/>
        <v>7.1685666872068854</v>
      </c>
      <c r="AZ42" s="210">
        <f t="shared" si="37"/>
        <v>7.1685666872068854</v>
      </c>
      <c r="BA42" s="210">
        <f t="shared" si="37"/>
        <v>7.1685666872068854</v>
      </c>
      <c r="BB42" s="210">
        <f t="shared" si="37"/>
        <v>7.1685666872068854</v>
      </c>
      <c r="BC42" s="210">
        <f t="shared" si="37"/>
        <v>7.1685666872068854</v>
      </c>
      <c r="BD42" s="210">
        <f t="shared" si="37"/>
        <v>7.1685666872068854</v>
      </c>
      <c r="BE42" s="210">
        <f t="shared" si="37"/>
        <v>7.1685666872068854</v>
      </c>
      <c r="BF42" s="210">
        <f t="shared" si="37"/>
        <v>7.1685666872068854</v>
      </c>
      <c r="BG42" s="210">
        <f t="shared" si="37"/>
        <v>7.1685666872068854</v>
      </c>
      <c r="BH42" s="210">
        <f t="shared" si="37"/>
        <v>7.1685666872068854</v>
      </c>
      <c r="BI42" s="210">
        <f t="shared" si="37"/>
        <v>7.1685666872068854</v>
      </c>
      <c r="BJ42" s="210">
        <f t="shared" si="37"/>
        <v>7.1685666872068854</v>
      </c>
      <c r="BK42" s="210">
        <f t="shared" si="37"/>
        <v>7.1685666872068854</v>
      </c>
      <c r="BL42" s="210">
        <f t="shared" si="37"/>
        <v>7.1685666872068854</v>
      </c>
      <c r="BM42" s="210">
        <f t="shared" si="37"/>
        <v>7.1685666872068854</v>
      </c>
      <c r="BN42" s="210">
        <f t="shared" si="37"/>
        <v>7.1685666872068854</v>
      </c>
      <c r="BO42" s="210">
        <f t="shared" si="37"/>
        <v>7.1685666872068854</v>
      </c>
      <c r="BP42" s="210">
        <f t="shared" si="37"/>
        <v>7.1685666872068854</v>
      </c>
      <c r="BQ42" s="210">
        <f t="shared" si="37"/>
        <v>7.1685666872068854</v>
      </c>
      <c r="BR42" s="210">
        <f t="shared" ref="BR42:DA42" si="38">IF(BR$22&lt;=$E$24,IF(BR$22&lt;=$D$24,IF(BR$22&lt;=$C$24,IF(BR$22&lt;=$B$24,$B108,($C25-$B25)/($C$24-$B$24)),($D25-$C25)/($D$24-$C$24)),($E25-$D25)/($E$24-$D$24)),$F108)</f>
        <v>7.1685666872068854</v>
      </c>
      <c r="BS42" s="210">
        <f t="shared" si="38"/>
        <v>7.1685666872068854</v>
      </c>
      <c r="BT42" s="210">
        <f t="shared" si="38"/>
        <v>51.500955184546385</v>
      </c>
      <c r="BU42" s="210">
        <f t="shared" si="38"/>
        <v>51.500955184546385</v>
      </c>
      <c r="BV42" s="210">
        <f t="shared" si="38"/>
        <v>51.500955184546385</v>
      </c>
      <c r="BW42" s="210">
        <f t="shared" si="38"/>
        <v>51.500955184546385</v>
      </c>
      <c r="BX42" s="210">
        <f t="shared" si="38"/>
        <v>51.500955184546385</v>
      </c>
      <c r="BY42" s="210">
        <f t="shared" si="38"/>
        <v>51.500955184546385</v>
      </c>
      <c r="BZ42" s="210">
        <f t="shared" si="38"/>
        <v>51.500955184546385</v>
      </c>
      <c r="CA42" s="210">
        <f t="shared" si="38"/>
        <v>51.500955184546385</v>
      </c>
      <c r="CB42" s="210">
        <f t="shared" si="38"/>
        <v>51.500955184546385</v>
      </c>
      <c r="CC42" s="210">
        <f t="shared" si="38"/>
        <v>51.500955184546385</v>
      </c>
      <c r="CD42" s="210">
        <f t="shared" si="38"/>
        <v>51.500955184546385</v>
      </c>
      <c r="CE42" s="210">
        <f t="shared" si="38"/>
        <v>51.500955184546385</v>
      </c>
      <c r="CF42" s="210">
        <f t="shared" si="38"/>
        <v>51.500955184546385</v>
      </c>
      <c r="CG42" s="210">
        <f t="shared" si="38"/>
        <v>51.500955184546385</v>
      </c>
      <c r="CH42" s="210">
        <f t="shared" si="38"/>
        <v>51.500955184546385</v>
      </c>
      <c r="CI42" s="210">
        <f t="shared" si="38"/>
        <v>51.500955184546385</v>
      </c>
      <c r="CJ42" s="210">
        <f t="shared" si="38"/>
        <v>51.500955184546385</v>
      </c>
      <c r="CK42" s="210">
        <f t="shared" si="38"/>
        <v>51.500955184546385</v>
      </c>
      <c r="CL42" s="210">
        <f t="shared" si="38"/>
        <v>51.500955184546385</v>
      </c>
      <c r="CM42" s="210">
        <f t="shared" si="38"/>
        <v>51.500955184546385</v>
      </c>
      <c r="CN42" s="210">
        <f t="shared" si="38"/>
        <v>51.500955184546385</v>
      </c>
      <c r="CO42" s="210">
        <f t="shared" si="38"/>
        <v>51.500955184546385</v>
      </c>
      <c r="CP42" s="210">
        <f t="shared" si="38"/>
        <v>4.6563904484864906</v>
      </c>
      <c r="CQ42" s="210">
        <f t="shared" si="38"/>
        <v>4.6563904484864906</v>
      </c>
      <c r="CR42" s="210">
        <f t="shared" si="38"/>
        <v>4.6563904484864906</v>
      </c>
      <c r="CS42" s="210">
        <f t="shared" si="38"/>
        <v>4.6563904484864906</v>
      </c>
      <c r="CT42" s="210">
        <f t="shared" si="38"/>
        <v>4.6563904484864906</v>
      </c>
      <c r="CU42" s="210">
        <f t="shared" si="38"/>
        <v>4.6563904484864906</v>
      </c>
      <c r="CV42" s="210">
        <f t="shared" si="38"/>
        <v>4.6563904484864906</v>
      </c>
      <c r="CW42" s="210">
        <f t="shared" si="38"/>
        <v>4.6563904484864906</v>
      </c>
      <c r="CX42" s="210">
        <f t="shared" si="38"/>
        <v>4.6563904484864906</v>
      </c>
      <c r="CY42" s="210">
        <f t="shared" si="38"/>
        <v>4.6563904484864906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340.26</v>
      </c>
      <c r="AE43" s="210">
        <f t="shared" si="39"/>
        <v>340.26</v>
      </c>
      <c r="AF43" s="210">
        <f t="shared" si="39"/>
        <v>20.9</v>
      </c>
      <c r="AG43" s="210">
        <f t="shared" si="39"/>
        <v>20.9</v>
      </c>
      <c r="AH43" s="210">
        <f t="shared" si="39"/>
        <v>20.9</v>
      </c>
      <c r="AI43" s="210">
        <f t="shared" si="39"/>
        <v>20.9</v>
      </c>
      <c r="AJ43" s="210">
        <f t="shared" si="39"/>
        <v>20.9</v>
      </c>
      <c r="AK43" s="210">
        <f t="shared" si="39"/>
        <v>20.9</v>
      </c>
      <c r="AL43" s="210">
        <f t="shared" ref="AL43:BQ43" si="40">IF(AL$22&lt;=$E$24,IF(AL$22&lt;=$D$24,IF(AL$22&lt;=$C$24,IF(AL$22&lt;=$B$24,$B109,($C26-$B26)/($C$24-$B$24)),($D26-$C26)/($D$24-$C$24)),($E26-$D26)/($E$24-$D$24)),$F109)</f>
        <v>20.9</v>
      </c>
      <c r="AM43" s="210">
        <f t="shared" si="40"/>
        <v>20.9</v>
      </c>
      <c r="AN43" s="210">
        <f t="shared" si="40"/>
        <v>20.9</v>
      </c>
      <c r="AO43" s="210">
        <f t="shared" si="40"/>
        <v>20.9</v>
      </c>
      <c r="AP43" s="210">
        <f t="shared" si="40"/>
        <v>20.9</v>
      </c>
      <c r="AQ43" s="210">
        <f t="shared" si="40"/>
        <v>20.9</v>
      </c>
      <c r="AR43" s="210">
        <f t="shared" si="40"/>
        <v>20.9</v>
      </c>
      <c r="AS43" s="210">
        <f t="shared" si="40"/>
        <v>20.9</v>
      </c>
      <c r="AT43" s="210">
        <f t="shared" si="40"/>
        <v>20.9</v>
      </c>
      <c r="AU43" s="210">
        <f t="shared" si="40"/>
        <v>20.9</v>
      </c>
      <c r="AV43" s="210">
        <f t="shared" si="40"/>
        <v>20.9</v>
      </c>
      <c r="AW43" s="210">
        <f t="shared" si="40"/>
        <v>20.9</v>
      </c>
      <c r="AX43" s="210">
        <f t="shared" si="40"/>
        <v>20.9</v>
      </c>
      <c r="AY43" s="210">
        <f t="shared" si="40"/>
        <v>20.9</v>
      </c>
      <c r="AZ43" s="210">
        <f t="shared" si="40"/>
        <v>20.9</v>
      </c>
      <c r="BA43" s="210">
        <f t="shared" si="40"/>
        <v>20.9</v>
      </c>
      <c r="BB43" s="210">
        <f t="shared" si="40"/>
        <v>20.9</v>
      </c>
      <c r="BC43" s="210">
        <f t="shared" si="40"/>
        <v>20.9</v>
      </c>
      <c r="BD43" s="210">
        <f t="shared" si="40"/>
        <v>20.9</v>
      </c>
      <c r="BE43" s="210">
        <f t="shared" si="40"/>
        <v>20.9</v>
      </c>
      <c r="BF43" s="210">
        <f t="shared" si="40"/>
        <v>20.9</v>
      </c>
      <c r="BG43" s="210">
        <f t="shared" si="40"/>
        <v>20.9</v>
      </c>
      <c r="BH43" s="210">
        <f t="shared" si="40"/>
        <v>20.9</v>
      </c>
      <c r="BI43" s="210">
        <f t="shared" si="40"/>
        <v>20.9</v>
      </c>
      <c r="BJ43" s="210">
        <f t="shared" si="40"/>
        <v>20.9</v>
      </c>
      <c r="BK43" s="210">
        <f t="shared" si="40"/>
        <v>20.9</v>
      </c>
      <c r="BL43" s="210">
        <f t="shared" si="40"/>
        <v>20.9</v>
      </c>
      <c r="BM43" s="210">
        <f t="shared" si="40"/>
        <v>20.9</v>
      </c>
      <c r="BN43" s="210">
        <f t="shared" si="40"/>
        <v>20.9</v>
      </c>
      <c r="BO43" s="210">
        <f t="shared" si="40"/>
        <v>20.9</v>
      </c>
      <c r="BP43" s="210">
        <f t="shared" si="40"/>
        <v>20.9</v>
      </c>
      <c r="BQ43" s="210">
        <f t="shared" si="40"/>
        <v>20.9</v>
      </c>
      <c r="BR43" s="210">
        <f t="shared" ref="BR43:DA43" si="41">IF(BR$22&lt;=$E$24,IF(BR$22&lt;=$D$24,IF(BR$22&lt;=$C$24,IF(BR$22&lt;=$B$24,$B109,($C26-$B26)/($C$24-$B$24)),($D26-$C26)/($D$24-$C$24)),($E26-$D26)/($E$24-$D$24)),$F109)</f>
        <v>20.9</v>
      </c>
      <c r="BS43" s="210">
        <f t="shared" si="41"/>
        <v>20.9</v>
      </c>
      <c r="BT43" s="210">
        <f t="shared" si="41"/>
        <v>123.77777777777777</v>
      </c>
      <c r="BU43" s="210">
        <f t="shared" si="41"/>
        <v>123.77777777777777</v>
      </c>
      <c r="BV43" s="210">
        <f t="shared" si="41"/>
        <v>123.77777777777777</v>
      </c>
      <c r="BW43" s="210">
        <f t="shared" si="41"/>
        <v>123.77777777777777</v>
      </c>
      <c r="BX43" s="210">
        <f t="shared" si="41"/>
        <v>123.77777777777777</v>
      </c>
      <c r="BY43" s="210">
        <f t="shared" si="41"/>
        <v>123.77777777777777</v>
      </c>
      <c r="BZ43" s="210">
        <f t="shared" si="41"/>
        <v>123.77777777777777</v>
      </c>
      <c r="CA43" s="210">
        <f t="shared" si="41"/>
        <v>123.77777777777777</v>
      </c>
      <c r="CB43" s="210">
        <f t="shared" si="41"/>
        <v>123.77777777777777</v>
      </c>
      <c r="CC43" s="210">
        <f t="shared" si="41"/>
        <v>123.77777777777777</v>
      </c>
      <c r="CD43" s="210">
        <f t="shared" si="41"/>
        <v>123.77777777777777</v>
      </c>
      <c r="CE43" s="210">
        <f t="shared" si="41"/>
        <v>123.77777777777777</v>
      </c>
      <c r="CF43" s="210">
        <f t="shared" si="41"/>
        <v>123.77777777777777</v>
      </c>
      <c r="CG43" s="210">
        <f t="shared" si="41"/>
        <v>123.77777777777777</v>
      </c>
      <c r="CH43" s="210">
        <f t="shared" si="41"/>
        <v>123.77777777777777</v>
      </c>
      <c r="CI43" s="210">
        <f t="shared" si="41"/>
        <v>123.77777777777777</v>
      </c>
      <c r="CJ43" s="210">
        <f t="shared" si="41"/>
        <v>123.77777777777777</v>
      </c>
      <c r="CK43" s="210">
        <f t="shared" si="41"/>
        <v>123.77777777777777</v>
      </c>
      <c r="CL43" s="210">
        <f t="shared" si="41"/>
        <v>123.77777777777777</v>
      </c>
      <c r="CM43" s="210">
        <f t="shared" si="41"/>
        <v>123.77777777777777</v>
      </c>
      <c r="CN43" s="210">
        <f t="shared" si="41"/>
        <v>123.77777777777777</v>
      </c>
      <c r="CO43" s="210">
        <f t="shared" si="41"/>
        <v>123.77777777777777</v>
      </c>
      <c r="CP43" s="210">
        <f t="shared" si="41"/>
        <v>151.14444444444433</v>
      </c>
      <c r="CQ43" s="210">
        <f t="shared" si="41"/>
        <v>151.14444444444433</v>
      </c>
      <c r="CR43" s="210">
        <f t="shared" si="41"/>
        <v>151.14444444444433</v>
      </c>
      <c r="CS43" s="210">
        <f t="shared" si="41"/>
        <v>151.14444444444433</v>
      </c>
      <c r="CT43" s="210">
        <f t="shared" si="41"/>
        <v>151.14444444444433</v>
      </c>
      <c r="CU43" s="210">
        <f t="shared" si="41"/>
        <v>151.14444444444433</v>
      </c>
      <c r="CV43" s="210">
        <f t="shared" si="41"/>
        <v>151.14444444444433</v>
      </c>
      <c r="CW43" s="210">
        <f t="shared" si="41"/>
        <v>151.14444444444433</v>
      </c>
      <c r="CX43" s="210">
        <f t="shared" si="41"/>
        <v>151.14444444444433</v>
      </c>
      <c r="CY43" s="210">
        <f t="shared" si="41"/>
        <v>151.14444444444433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2.575824426498825</v>
      </c>
      <c r="AG44" s="210">
        <f t="shared" si="42"/>
        <v>2.575824426498825</v>
      </c>
      <c r="AH44" s="210">
        <f t="shared" si="42"/>
        <v>2.575824426498825</v>
      </c>
      <c r="AI44" s="210">
        <f t="shared" si="42"/>
        <v>2.575824426498825</v>
      </c>
      <c r="AJ44" s="210">
        <f t="shared" si="42"/>
        <v>2.575824426498825</v>
      </c>
      <c r="AK44" s="210">
        <f t="shared" si="42"/>
        <v>2.575824426498825</v>
      </c>
      <c r="AL44" s="210">
        <f t="shared" ref="AL44:BQ44" si="43">IF(AL$22&lt;=$E$24,IF(AL$22&lt;=$D$24,IF(AL$22&lt;=$C$24,IF(AL$22&lt;=$B$24,$B110,($C27-$B27)/($C$24-$B$24)),($D27-$C27)/($D$24-$C$24)),($E27-$D27)/($E$24-$D$24)),$F110)</f>
        <v>2.575824426498825</v>
      </c>
      <c r="AM44" s="210">
        <f t="shared" si="43"/>
        <v>2.575824426498825</v>
      </c>
      <c r="AN44" s="210">
        <f t="shared" si="43"/>
        <v>2.575824426498825</v>
      </c>
      <c r="AO44" s="210">
        <f t="shared" si="43"/>
        <v>2.575824426498825</v>
      </c>
      <c r="AP44" s="210">
        <f t="shared" si="43"/>
        <v>2.575824426498825</v>
      </c>
      <c r="AQ44" s="210">
        <f t="shared" si="43"/>
        <v>2.575824426498825</v>
      </c>
      <c r="AR44" s="210">
        <f t="shared" si="43"/>
        <v>2.575824426498825</v>
      </c>
      <c r="AS44" s="210">
        <f t="shared" si="43"/>
        <v>2.575824426498825</v>
      </c>
      <c r="AT44" s="210">
        <f t="shared" si="43"/>
        <v>2.575824426498825</v>
      </c>
      <c r="AU44" s="210">
        <f t="shared" si="43"/>
        <v>2.575824426498825</v>
      </c>
      <c r="AV44" s="210">
        <f t="shared" si="43"/>
        <v>2.575824426498825</v>
      </c>
      <c r="AW44" s="210">
        <f t="shared" si="43"/>
        <v>2.575824426498825</v>
      </c>
      <c r="AX44" s="210">
        <f t="shared" si="43"/>
        <v>2.575824426498825</v>
      </c>
      <c r="AY44" s="210">
        <f t="shared" si="43"/>
        <v>2.575824426498825</v>
      </c>
      <c r="AZ44" s="210">
        <f t="shared" si="43"/>
        <v>2.575824426498825</v>
      </c>
      <c r="BA44" s="210">
        <f t="shared" si="43"/>
        <v>2.575824426498825</v>
      </c>
      <c r="BB44" s="210">
        <f t="shared" si="43"/>
        <v>2.575824426498825</v>
      </c>
      <c r="BC44" s="210">
        <f t="shared" si="43"/>
        <v>2.575824426498825</v>
      </c>
      <c r="BD44" s="210">
        <f t="shared" si="43"/>
        <v>2.575824426498825</v>
      </c>
      <c r="BE44" s="210">
        <f t="shared" si="43"/>
        <v>2.575824426498825</v>
      </c>
      <c r="BF44" s="210">
        <f t="shared" si="43"/>
        <v>2.575824426498825</v>
      </c>
      <c r="BG44" s="210">
        <f t="shared" si="43"/>
        <v>2.575824426498825</v>
      </c>
      <c r="BH44" s="210">
        <f t="shared" si="43"/>
        <v>2.575824426498825</v>
      </c>
      <c r="BI44" s="210">
        <f t="shared" si="43"/>
        <v>2.575824426498825</v>
      </c>
      <c r="BJ44" s="210">
        <f t="shared" si="43"/>
        <v>2.575824426498825</v>
      </c>
      <c r="BK44" s="210">
        <f t="shared" si="43"/>
        <v>2.575824426498825</v>
      </c>
      <c r="BL44" s="210">
        <f t="shared" si="43"/>
        <v>2.575824426498825</v>
      </c>
      <c r="BM44" s="210">
        <f t="shared" si="43"/>
        <v>2.575824426498825</v>
      </c>
      <c r="BN44" s="210">
        <f t="shared" si="43"/>
        <v>2.575824426498825</v>
      </c>
      <c r="BO44" s="210">
        <f t="shared" si="43"/>
        <v>2.575824426498825</v>
      </c>
      <c r="BP44" s="210">
        <f t="shared" si="43"/>
        <v>2.575824426498825</v>
      </c>
      <c r="BQ44" s="210">
        <f t="shared" si="43"/>
        <v>2.575824426498825</v>
      </c>
      <c r="BR44" s="210">
        <f t="shared" ref="BR44:DA44" si="44">IF(BR$22&lt;=$E$24,IF(BR$22&lt;=$D$24,IF(BR$22&lt;=$C$24,IF(BR$22&lt;=$B$24,$B110,($C27-$B27)/($C$24-$B$24)),($D27-$C27)/($D$24-$C$24)),($E27-$D27)/($E$24-$D$24)),$F110)</f>
        <v>2.575824426498825</v>
      </c>
      <c r="BS44" s="210">
        <f t="shared" si="44"/>
        <v>2.575824426498825</v>
      </c>
      <c r="BT44" s="210">
        <f t="shared" si="44"/>
        <v>9.3818182835969743</v>
      </c>
      <c r="BU44" s="210">
        <f t="shared" si="44"/>
        <v>9.3818182835969743</v>
      </c>
      <c r="BV44" s="210">
        <f t="shared" si="44"/>
        <v>9.3818182835969743</v>
      </c>
      <c r="BW44" s="210">
        <f t="shared" si="44"/>
        <v>9.3818182835969743</v>
      </c>
      <c r="BX44" s="210">
        <f t="shared" si="44"/>
        <v>9.3818182835969743</v>
      </c>
      <c r="BY44" s="210">
        <f t="shared" si="44"/>
        <v>9.3818182835969743</v>
      </c>
      <c r="BZ44" s="210">
        <f t="shared" si="44"/>
        <v>9.3818182835969743</v>
      </c>
      <c r="CA44" s="210">
        <f t="shared" si="44"/>
        <v>9.3818182835969743</v>
      </c>
      <c r="CB44" s="210">
        <f t="shared" si="44"/>
        <v>9.3818182835969743</v>
      </c>
      <c r="CC44" s="210">
        <f t="shared" si="44"/>
        <v>9.3818182835969743</v>
      </c>
      <c r="CD44" s="210">
        <f t="shared" si="44"/>
        <v>9.3818182835969743</v>
      </c>
      <c r="CE44" s="210">
        <f t="shared" si="44"/>
        <v>9.3818182835969743</v>
      </c>
      <c r="CF44" s="210">
        <f t="shared" si="44"/>
        <v>9.3818182835969743</v>
      </c>
      <c r="CG44" s="210">
        <f t="shared" si="44"/>
        <v>9.3818182835969743</v>
      </c>
      <c r="CH44" s="210">
        <f t="shared" si="44"/>
        <v>9.3818182835969743</v>
      </c>
      <c r="CI44" s="210">
        <f t="shared" si="44"/>
        <v>9.3818182835969743</v>
      </c>
      <c r="CJ44" s="210">
        <f t="shared" si="44"/>
        <v>9.3818182835969743</v>
      </c>
      <c r="CK44" s="210">
        <f t="shared" si="44"/>
        <v>9.3818182835969743</v>
      </c>
      <c r="CL44" s="210">
        <f t="shared" si="44"/>
        <v>9.3818182835969743</v>
      </c>
      <c r="CM44" s="210">
        <f t="shared" si="44"/>
        <v>9.3818182835969743</v>
      </c>
      <c r="CN44" s="210">
        <f t="shared" si="44"/>
        <v>9.3818182835969743</v>
      </c>
      <c r="CO44" s="210">
        <f t="shared" si="44"/>
        <v>9.3818182835969743</v>
      </c>
      <c r="CP44" s="210">
        <f t="shared" si="44"/>
        <v>80.713085375757984</v>
      </c>
      <c r="CQ44" s="210">
        <f t="shared" si="44"/>
        <v>80.713085375757984</v>
      </c>
      <c r="CR44" s="210">
        <f t="shared" si="44"/>
        <v>80.713085375757984</v>
      </c>
      <c r="CS44" s="210">
        <f t="shared" si="44"/>
        <v>80.713085375757984</v>
      </c>
      <c r="CT44" s="210">
        <f t="shared" si="44"/>
        <v>80.713085375757984</v>
      </c>
      <c r="CU44" s="210">
        <f t="shared" si="44"/>
        <v>80.713085375757984</v>
      </c>
      <c r="CV44" s="210">
        <f t="shared" si="44"/>
        <v>80.713085375757984</v>
      </c>
      <c r="CW44" s="210">
        <f t="shared" si="44"/>
        <v>80.713085375757984</v>
      </c>
      <c r="CX44" s="210">
        <f t="shared" si="44"/>
        <v>80.713085375757984</v>
      </c>
      <c r="CY44" s="210">
        <f t="shared" si="44"/>
        <v>80.713085375757984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12.5</v>
      </c>
      <c r="AG46" s="210">
        <f t="shared" si="48"/>
        <v>12.5</v>
      </c>
      <c r="AH46" s="210">
        <f t="shared" si="48"/>
        <v>12.5</v>
      </c>
      <c r="AI46" s="210">
        <f t="shared" si="48"/>
        <v>12.5</v>
      </c>
      <c r="AJ46" s="210">
        <f t="shared" si="48"/>
        <v>12.5</v>
      </c>
      <c r="AK46" s="210">
        <f t="shared" si="48"/>
        <v>12.5</v>
      </c>
      <c r="AL46" s="210">
        <f t="shared" ref="AL46:BQ46" si="49">IF(AL$22&lt;=$E$24,IF(AL$22&lt;=$D$24,IF(AL$22&lt;=$C$24,IF(AL$22&lt;=$B$24,$B112,($C29-$B29)/($C$24-$B$24)),($D29-$C29)/($D$24-$C$24)),($E29-$D29)/($E$24-$D$24)),$F112)</f>
        <v>12.5</v>
      </c>
      <c r="AM46" s="210">
        <f t="shared" si="49"/>
        <v>12.5</v>
      </c>
      <c r="AN46" s="210">
        <f t="shared" si="49"/>
        <v>12.5</v>
      </c>
      <c r="AO46" s="210">
        <f t="shared" si="49"/>
        <v>12.5</v>
      </c>
      <c r="AP46" s="210">
        <f t="shared" si="49"/>
        <v>12.5</v>
      </c>
      <c r="AQ46" s="210">
        <f t="shared" si="49"/>
        <v>12.5</v>
      </c>
      <c r="AR46" s="210">
        <f t="shared" si="49"/>
        <v>12.5</v>
      </c>
      <c r="AS46" s="210">
        <f t="shared" si="49"/>
        <v>12.5</v>
      </c>
      <c r="AT46" s="210">
        <f t="shared" si="49"/>
        <v>12.5</v>
      </c>
      <c r="AU46" s="210">
        <f t="shared" si="49"/>
        <v>12.5</v>
      </c>
      <c r="AV46" s="210">
        <f t="shared" si="49"/>
        <v>12.5</v>
      </c>
      <c r="AW46" s="210">
        <f t="shared" si="49"/>
        <v>12.5</v>
      </c>
      <c r="AX46" s="210">
        <f t="shared" si="49"/>
        <v>12.5</v>
      </c>
      <c r="AY46" s="210">
        <f t="shared" si="49"/>
        <v>12.5</v>
      </c>
      <c r="AZ46" s="210">
        <f t="shared" si="49"/>
        <v>12.5</v>
      </c>
      <c r="BA46" s="210">
        <f t="shared" si="49"/>
        <v>12.5</v>
      </c>
      <c r="BB46" s="210">
        <f t="shared" si="49"/>
        <v>12.5</v>
      </c>
      <c r="BC46" s="210">
        <f t="shared" si="49"/>
        <v>12.5</v>
      </c>
      <c r="BD46" s="210">
        <f t="shared" si="49"/>
        <v>12.5</v>
      </c>
      <c r="BE46" s="210">
        <f t="shared" si="49"/>
        <v>12.5</v>
      </c>
      <c r="BF46" s="210">
        <f t="shared" si="49"/>
        <v>12.5</v>
      </c>
      <c r="BG46" s="210">
        <f t="shared" si="49"/>
        <v>12.5</v>
      </c>
      <c r="BH46" s="210">
        <f t="shared" si="49"/>
        <v>12.5</v>
      </c>
      <c r="BI46" s="210">
        <f t="shared" si="49"/>
        <v>12.5</v>
      </c>
      <c r="BJ46" s="210">
        <f t="shared" si="49"/>
        <v>12.5</v>
      </c>
      <c r="BK46" s="210">
        <f t="shared" si="49"/>
        <v>12.5</v>
      </c>
      <c r="BL46" s="210">
        <f t="shared" si="49"/>
        <v>12.5</v>
      </c>
      <c r="BM46" s="210">
        <f t="shared" si="49"/>
        <v>12.5</v>
      </c>
      <c r="BN46" s="210">
        <f t="shared" si="49"/>
        <v>12.5</v>
      </c>
      <c r="BO46" s="210">
        <f t="shared" si="49"/>
        <v>12.5</v>
      </c>
      <c r="BP46" s="210">
        <f t="shared" si="49"/>
        <v>12.5</v>
      </c>
      <c r="BQ46" s="210">
        <f t="shared" si="49"/>
        <v>12.5</v>
      </c>
      <c r="BR46" s="210">
        <f t="shared" ref="BR46:DA46" si="50">IF(BR$22&lt;=$E$24,IF(BR$22&lt;=$D$24,IF(BR$22&lt;=$C$24,IF(BR$22&lt;=$B$24,$B112,($C29-$B29)/($C$24-$B$24)),($D29-$C29)/($D$24-$C$24)),($E29-$D29)/($E$24-$D$24)),$F112)</f>
        <v>12.5</v>
      </c>
      <c r="BS46" s="210">
        <f t="shared" si="50"/>
        <v>12.5</v>
      </c>
      <c r="BT46" s="210">
        <f t="shared" si="50"/>
        <v>133.33333333333334</v>
      </c>
      <c r="BU46" s="210">
        <f t="shared" si="50"/>
        <v>133.33333333333334</v>
      </c>
      <c r="BV46" s="210">
        <f t="shared" si="50"/>
        <v>133.33333333333334</v>
      </c>
      <c r="BW46" s="210">
        <f t="shared" si="50"/>
        <v>133.33333333333334</v>
      </c>
      <c r="BX46" s="210">
        <f t="shared" si="50"/>
        <v>133.33333333333334</v>
      </c>
      <c r="BY46" s="210">
        <f t="shared" si="50"/>
        <v>133.33333333333334</v>
      </c>
      <c r="BZ46" s="210">
        <f t="shared" si="50"/>
        <v>133.33333333333334</v>
      </c>
      <c r="CA46" s="210">
        <f t="shared" si="50"/>
        <v>133.33333333333334</v>
      </c>
      <c r="CB46" s="210">
        <f t="shared" si="50"/>
        <v>133.33333333333334</v>
      </c>
      <c r="CC46" s="210">
        <f t="shared" si="50"/>
        <v>133.33333333333334</v>
      </c>
      <c r="CD46" s="210">
        <f t="shared" si="50"/>
        <v>133.33333333333334</v>
      </c>
      <c r="CE46" s="210">
        <f t="shared" si="50"/>
        <v>133.33333333333334</v>
      </c>
      <c r="CF46" s="210">
        <f t="shared" si="50"/>
        <v>133.33333333333334</v>
      </c>
      <c r="CG46" s="210">
        <f t="shared" si="50"/>
        <v>133.33333333333334</v>
      </c>
      <c r="CH46" s="210">
        <f t="shared" si="50"/>
        <v>133.33333333333334</v>
      </c>
      <c r="CI46" s="210">
        <f t="shared" si="50"/>
        <v>133.33333333333334</v>
      </c>
      <c r="CJ46" s="210">
        <f t="shared" si="50"/>
        <v>133.33333333333334</v>
      </c>
      <c r="CK46" s="210">
        <f t="shared" si="50"/>
        <v>133.33333333333334</v>
      </c>
      <c r="CL46" s="210">
        <f t="shared" si="50"/>
        <v>133.33333333333334</v>
      </c>
      <c r="CM46" s="210">
        <f t="shared" si="50"/>
        <v>133.33333333333334</v>
      </c>
      <c r="CN46" s="210">
        <f t="shared" si="50"/>
        <v>133.33333333333334</v>
      </c>
      <c r="CO46" s="210">
        <f t="shared" si="50"/>
        <v>133.33333333333334</v>
      </c>
      <c r="CP46" s="210">
        <f t="shared" si="50"/>
        <v>632.22222222222229</v>
      </c>
      <c r="CQ46" s="210">
        <f t="shared" si="50"/>
        <v>632.22222222222229</v>
      </c>
      <c r="CR46" s="210">
        <f t="shared" si="50"/>
        <v>632.22222222222229</v>
      </c>
      <c r="CS46" s="210">
        <f t="shared" si="50"/>
        <v>632.22222222222229</v>
      </c>
      <c r="CT46" s="210">
        <f t="shared" si="50"/>
        <v>632.22222222222229</v>
      </c>
      <c r="CU46" s="210">
        <f t="shared" si="50"/>
        <v>632.22222222222229</v>
      </c>
      <c r="CV46" s="210">
        <f t="shared" si="50"/>
        <v>632.22222222222229</v>
      </c>
      <c r="CW46" s="210">
        <f t="shared" si="50"/>
        <v>632.22222222222229</v>
      </c>
      <c r="CX46" s="210">
        <f t="shared" si="50"/>
        <v>632.22222222222229</v>
      </c>
      <c r="CY46" s="210">
        <f t="shared" si="50"/>
        <v>632.22222222222229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9.9006477745203938</v>
      </c>
      <c r="CQ47" s="210">
        <f t="shared" si="53"/>
        <v>9.9006477745203938</v>
      </c>
      <c r="CR47" s="210">
        <f t="shared" si="53"/>
        <v>9.9006477745203938</v>
      </c>
      <c r="CS47" s="210">
        <f t="shared" si="53"/>
        <v>9.9006477745203938</v>
      </c>
      <c r="CT47" s="210">
        <f t="shared" si="53"/>
        <v>9.9006477745203938</v>
      </c>
      <c r="CU47" s="210">
        <f t="shared" si="53"/>
        <v>9.9006477745203938</v>
      </c>
      <c r="CV47" s="210">
        <f t="shared" si="53"/>
        <v>9.9006477745203938</v>
      </c>
      <c r="CW47" s="210">
        <f t="shared" si="53"/>
        <v>9.9006477745203938</v>
      </c>
      <c r="CX47" s="210">
        <f t="shared" si="53"/>
        <v>9.9006477745203938</v>
      </c>
      <c r="CY47" s="210">
        <f t="shared" si="53"/>
        <v>9.9006477745203938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43.732540056550427</v>
      </c>
      <c r="AG48" s="210">
        <f t="shared" si="54"/>
        <v>43.732540056550427</v>
      </c>
      <c r="AH48" s="210">
        <f t="shared" si="54"/>
        <v>43.732540056550427</v>
      </c>
      <c r="AI48" s="210">
        <f t="shared" si="54"/>
        <v>43.732540056550427</v>
      </c>
      <c r="AJ48" s="210">
        <f t="shared" si="54"/>
        <v>43.732540056550427</v>
      </c>
      <c r="AK48" s="210">
        <f t="shared" si="54"/>
        <v>43.732540056550427</v>
      </c>
      <c r="AL48" s="210">
        <f t="shared" ref="AL48:BQ48" si="55">IF(AL$22&lt;=$E$24,IF(AL$22&lt;=$D$24,IF(AL$22&lt;=$C$24,IF(AL$22&lt;=$B$24,$B114,($C31-$B31)/($C$24-$B$24)),($D31-$C31)/($D$24-$C$24)),($E31-$D31)/($E$24-$D$24)),$F114)</f>
        <v>43.732540056550427</v>
      </c>
      <c r="AM48" s="210">
        <f t="shared" si="55"/>
        <v>43.732540056550427</v>
      </c>
      <c r="AN48" s="210">
        <f t="shared" si="55"/>
        <v>43.732540056550427</v>
      </c>
      <c r="AO48" s="210">
        <f t="shared" si="55"/>
        <v>43.732540056550427</v>
      </c>
      <c r="AP48" s="210">
        <f t="shared" si="55"/>
        <v>43.732540056550427</v>
      </c>
      <c r="AQ48" s="210">
        <f t="shared" si="55"/>
        <v>43.732540056550427</v>
      </c>
      <c r="AR48" s="210">
        <f t="shared" si="55"/>
        <v>43.732540056550427</v>
      </c>
      <c r="AS48" s="210">
        <f t="shared" si="55"/>
        <v>43.732540056550427</v>
      </c>
      <c r="AT48" s="210">
        <f t="shared" si="55"/>
        <v>43.732540056550427</v>
      </c>
      <c r="AU48" s="210">
        <f t="shared" si="55"/>
        <v>43.732540056550427</v>
      </c>
      <c r="AV48" s="210">
        <f t="shared" si="55"/>
        <v>43.732540056550427</v>
      </c>
      <c r="AW48" s="210">
        <f t="shared" si="55"/>
        <v>43.732540056550427</v>
      </c>
      <c r="AX48" s="210">
        <f t="shared" si="55"/>
        <v>43.732540056550427</v>
      </c>
      <c r="AY48" s="210">
        <f t="shared" si="55"/>
        <v>43.732540056550427</v>
      </c>
      <c r="AZ48" s="210">
        <f t="shared" si="55"/>
        <v>43.732540056550427</v>
      </c>
      <c r="BA48" s="210">
        <f t="shared" si="55"/>
        <v>43.732540056550427</v>
      </c>
      <c r="BB48" s="210">
        <f t="shared" si="55"/>
        <v>43.732540056550427</v>
      </c>
      <c r="BC48" s="210">
        <f t="shared" si="55"/>
        <v>43.732540056550427</v>
      </c>
      <c r="BD48" s="210">
        <f t="shared" si="55"/>
        <v>43.732540056550427</v>
      </c>
      <c r="BE48" s="210">
        <f t="shared" si="55"/>
        <v>43.732540056550427</v>
      </c>
      <c r="BF48" s="210">
        <f t="shared" si="55"/>
        <v>43.732540056550427</v>
      </c>
      <c r="BG48" s="210">
        <f t="shared" si="55"/>
        <v>43.732540056550427</v>
      </c>
      <c r="BH48" s="210">
        <f t="shared" si="55"/>
        <v>43.732540056550427</v>
      </c>
      <c r="BI48" s="210">
        <f t="shared" si="55"/>
        <v>43.732540056550427</v>
      </c>
      <c r="BJ48" s="210">
        <f t="shared" si="55"/>
        <v>43.732540056550427</v>
      </c>
      <c r="BK48" s="210">
        <f t="shared" si="55"/>
        <v>43.732540056550427</v>
      </c>
      <c r="BL48" s="210">
        <f t="shared" si="55"/>
        <v>43.732540056550427</v>
      </c>
      <c r="BM48" s="210">
        <f t="shared" si="55"/>
        <v>43.732540056550427</v>
      </c>
      <c r="BN48" s="210">
        <f t="shared" si="55"/>
        <v>43.732540056550427</v>
      </c>
      <c r="BO48" s="210">
        <f t="shared" si="55"/>
        <v>43.732540056550427</v>
      </c>
      <c r="BP48" s="210">
        <f t="shared" si="55"/>
        <v>43.732540056550427</v>
      </c>
      <c r="BQ48" s="210">
        <f t="shared" si="55"/>
        <v>43.732540056550427</v>
      </c>
      <c r="BR48" s="210">
        <f t="shared" ref="BR48:DA48" si="56">IF(BR$22&lt;=$E$24,IF(BR$22&lt;=$D$24,IF(BR$22&lt;=$C$24,IF(BR$22&lt;=$B$24,$B114,($C31-$B31)/($C$24-$B$24)),($D31-$C31)/($D$24-$C$24)),($E31-$D31)/($E$24-$D$24)),$F114)</f>
        <v>43.732540056550427</v>
      </c>
      <c r="BS48" s="210">
        <f t="shared" si="56"/>
        <v>43.732540056550427</v>
      </c>
      <c r="BT48" s="210">
        <f t="shared" si="56"/>
        <v>-44.324515656089645</v>
      </c>
      <c r="BU48" s="210">
        <f t="shared" si="56"/>
        <v>-44.324515656089645</v>
      </c>
      <c r="BV48" s="210">
        <f t="shared" si="56"/>
        <v>-44.324515656089645</v>
      </c>
      <c r="BW48" s="210">
        <f t="shared" si="56"/>
        <v>-44.324515656089645</v>
      </c>
      <c r="BX48" s="210">
        <f t="shared" si="56"/>
        <v>-44.324515656089645</v>
      </c>
      <c r="BY48" s="210">
        <f t="shared" si="56"/>
        <v>-44.324515656089645</v>
      </c>
      <c r="BZ48" s="210">
        <f t="shared" si="56"/>
        <v>-44.324515656089645</v>
      </c>
      <c r="CA48" s="210">
        <f t="shared" si="56"/>
        <v>-44.324515656089645</v>
      </c>
      <c r="CB48" s="210">
        <f t="shared" si="56"/>
        <v>-44.324515656089645</v>
      </c>
      <c r="CC48" s="210">
        <f t="shared" si="56"/>
        <v>-44.324515656089645</v>
      </c>
      <c r="CD48" s="210">
        <f t="shared" si="56"/>
        <v>-44.324515656089645</v>
      </c>
      <c r="CE48" s="210">
        <f t="shared" si="56"/>
        <v>-44.324515656089645</v>
      </c>
      <c r="CF48" s="210">
        <f t="shared" si="56"/>
        <v>-44.324515656089645</v>
      </c>
      <c r="CG48" s="210">
        <f t="shared" si="56"/>
        <v>-44.324515656089645</v>
      </c>
      <c r="CH48" s="210">
        <f t="shared" si="56"/>
        <v>-44.324515656089645</v>
      </c>
      <c r="CI48" s="210">
        <f t="shared" si="56"/>
        <v>-44.324515656089645</v>
      </c>
      <c r="CJ48" s="210">
        <f t="shared" si="56"/>
        <v>-44.324515656089645</v>
      </c>
      <c r="CK48" s="210">
        <f t="shared" si="56"/>
        <v>-44.324515656089645</v>
      </c>
      <c r="CL48" s="210">
        <f t="shared" si="56"/>
        <v>-44.324515656089645</v>
      </c>
      <c r="CM48" s="210">
        <f t="shared" si="56"/>
        <v>-44.324515656089645</v>
      </c>
      <c r="CN48" s="210">
        <f t="shared" si="56"/>
        <v>-44.324515656089645</v>
      </c>
      <c r="CO48" s="210">
        <f t="shared" si="56"/>
        <v>-44.324515656089645</v>
      </c>
      <c r="CP48" s="210">
        <f t="shared" si="56"/>
        <v>-75.2</v>
      </c>
      <c r="CQ48" s="210">
        <f t="shared" si="56"/>
        <v>-75.2</v>
      </c>
      <c r="CR48" s="210">
        <f t="shared" si="56"/>
        <v>-75.2</v>
      </c>
      <c r="CS48" s="210">
        <f t="shared" si="56"/>
        <v>-75.2</v>
      </c>
      <c r="CT48" s="210">
        <f t="shared" si="56"/>
        <v>-75.2</v>
      </c>
      <c r="CU48" s="210">
        <f t="shared" si="56"/>
        <v>-75.2</v>
      </c>
      <c r="CV48" s="210">
        <f t="shared" si="56"/>
        <v>-75.2</v>
      </c>
      <c r="CW48" s="210">
        <f t="shared" si="56"/>
        <v>-75.2</v>
      </c>
      <c r="CX48" s="210">
        <f t="shared" si="56"/>
        <v>-75.2</v>
      </c>
      <c r="CY48" s="210">
        <f t="shared" si="56"/>
        <v>-75.2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3089.7777777777778</v>
      </c>
      <c r="CQ49" s="210">
        <f t="shared" si="59"/>
        <v>3089.7777777777778</v>
      </c>
      <c r="CR49" s="210">
        <f t="shared" si="59"/>
        <v>3089.7777777777778</v>
      </c>
      <c r="CS49" s="210">
        <f t="shared" si="59"/>
        <v>3089.7777777777778</v>
      </c>
      <c r="CT49" s="210">
        <f t="shared" si="59"/>
        <v>3089.7777777777778</v>
      </c>
      <c r="CU49" s="210">
        <f t="shared" si="59"/>
        <v>3089.7777777777778</v>
      </c>
      <c r="CV49" s="210">
        <f t="shared" si="59"/>
        <v>3089.7777777777778</v>
      </c>
      <c r="CW49" s="210">
        <f t="shared" si="59"/>
        <v>3089.7777777777778</v>
      </c>
      <c r="CX49" s="210">
        <f t="shared" si="59"/>
        <v>3089.7777777777778</v>
      </c>
      <c r="CY49" s="210">
        <f t="shared" si="59"/>
        <v>3089.7777777777778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19.066666666666666</v>
      </c>
      <c r="BU50" s="210">
        <f t="shared" si="62"/>
        <v>19.066666666666666</v>
      </c>
      <c r="BV50" s="210">
        <f t="shared" si="62"/>
        <v>19.066666666666666</v>
      </c>
      <c r="BW50" s="210">
        <f t="shared" si="62"/>
        <v>19.066666666666666</v>
      </c>
      <c r="BX50" s="210">
        <f t="shared" si="62"/>
        <v>19.066666666666666</v>
      </c>
      <c r="BY50" s="210">
        <f t="shared" si="62"/>
        <v>19.066666666666666</v>
      </c>
      <c r="BZ50" s="210">
        <f t="shared" si="62"/>
        <v>19.066666666666666</v>
      </c>
      <c r="CA50" s="210">
        <f t="shared" si="62"/>
        <v>19.066666666666666</v>
      </c>
      <c r="CB50" s="210">
        <f t="shared" si="62"/>
        <v>19.066666666666666</v>
      </c>
      <c r="CC50" s="210">
        <f t="shared" si="62"/>
        <v>19.066666666666666</v>
      </c>
      <c r="CD50" s="210">
        <f t="shared" si="62"/>
        <v>19.066666666666666</v>
      </c>
      <c r="CE50" s="210">
        <f t="shared" si="62"/>
        <v>19.066666666666666</v>
      </c>
      <c r="CF50" s="210">
        <f t="shared" si="62"/>
        <v>19.066666666666666</v>
      </c>
      <c r="CG50" s="210">
        <f t="shared" si="62"/>
        <v>19.066666666666666</v>
      </c>
      <c r="CH50" s="210">
        <f t="shared" si="62"/>
        <v>19.066666666666666</v>
      </c>
      <c r="CI50" s="210">
        <f t="shared" si="62"/>
        <v>19.066666666666666</v>
      </c>
      <c r="CJ50" s="210">
        <f t="shared" si="62"/>
        <v>19.066666666666666</v>
      </c>
      <c r="CK50" s="210">
        <f t="shared" si="62"/>
        <v>19.066666666666666</v>
      </c>
      <c r="CL50" s="210">
        <f t="shared" si="62"/>
        <v>19.066666666666666</v>
      </c>
      <c r="CM50" s="210">
        <f t="shared" si="62"/>
        <v>19.066666666666666</v>
      </c>
      <c r="CN50" s="210">
        <f t="shared" si="62"/>
        <v>19.066666666666666</v>
      </c>
      <c r="CO50" s="210">
        <f t="shared" si="62"/>
        <v>19.066666666666666</v>
      </c>
      <c r="CP50" s="210">
        <f t="shared" si="62"/>
        <v>-42.9</v>
      </c>
      <c r="CQ50" s="210">
        <f t="shared" si="62"/>
        <v>-42.9</v>
      </c>
      <c r="CR50" s="210">
        <f t="shared" si="62"/>
        <v>-42.9</v>
      </c>
      <c r="CS50" s="210">
        <f t="shared" si="62"/>
        <v>-42.9</v>
      </c>
      <c r="CT50" s="210">
        <f t="shared" si="62"/>
        <v>-42.9</v>
      </c>
      <c r="CU50" s="210">
        <f t="shared" si="62"/>
        <v>-42.9</v>
      </c>
      <c r="CV50" s="210">
        <f t="shared" si="62"/>
        <v>-42.9</v>
      </c>
      <c r="CW50" s="210">
        <f t="shared" si="62"/>
        <v>-42.9</v>
      </c>
      <c r="CX50" s="210">
        <f t="shared" si="62"/>
        <v>-42.9</v>
      </c>
      <c r="CY50" s="210">
        <f t="shared" si="62"/>
        <v>-42.9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0</v>
      </c>
      <c r="BR51" s="210">
        <f t="shared" ref="BR51:DA51" si="65">IF(BR$22&lt;=$E$24,IF(BR$22&lt;=$D$24,IF(BR$22&lt;=$C$24,IF(BR$22&lt;=$B$24,$B117,($C34-$B34)/($C$24-$B$24)),($D34-$C34)/($D$24-$C$24)),($E34-$D34)/($E$24-$D$24)),$F117)</f>
        <v>0</v>
      </c>
      <c r="BS51" s="210">
        <f t="shared" si="65"/>
        <v>0</v>
      </c>
      <c r="BT51" s="210">
        <f t="shared" si="65"/>
        <v>96</v>
      </c>
      <c r="BU51" s="210">
        <f t="shared" si="65"/>
        <v>96</v>
      </c>
      <c r="BV51" s="210">
        <f t="shared" si="65"/>
        <v>96</v>
      </c>
      <c r="BW51" s="210">
        <f t="shared" si="65"/>
        <v>96</v>
      </c>
      <c r="BX51" s="210">
        <f t="shared" si="65"/>
        <v>96</v>
      </c>
      <c r="BY51" s="210">
        <f t="shared" si="65"/>
        <v>96</v>
      </c>
      <c r="BZ51" s="210">
        <f t="shared" si="65"/>
        <v>96</v>
      </c>
      <c r="CA51" s="210">
        <f t="shared" si="65"/>
        <v>96</v>
      </c>
      <c r="CB51" s="210">
        <f t="shared" si="65"/>
        <v>96</v>
      </c>
      <c r="CC51" s="210">
        <f t="shared" si="65"/>
        <v>96</v>
      </c>
      <c r="CD51" s="210">
        <f t="shared" si="65"/>
        <v>96</v>
      </c>
      <c r="CE51" s="210">
        <f t="shared" si="65"/>
        <v>96</v>
      </c>
      <c r="CF51" s="210">
        <f t="shared" si="65"/>
        <v>96</v>
      </c>
      <c r="CG51" s="210">
        <f t="shared" si="65"/>
        <v>96</v>
      </c>
      <c r="CH51" s="210">
        <f t="shared" si="65"/>
        <v>96</v>
      </c>
      <c r="CI51" s="210">
        <f t="shared" si="65"/>
        <v>96</v>
      </c>
      <c r="CJ51" s="210">
        <f t="shared" si="65"/>
        <v>96</v>
      </c>
      <c r="CK51" s="210">
        <f t="shared" si="65"/>
        <v>96</v>
      </c>
      <c r="CL51" s="210">
        <f t="shared" si="65"/>
        <v>96</v>
      </c>
      <c r="CM51" s="210">
        <f t="shared" si="65"/>
        <v>96</v>
      </c>
      <c r="CN51" s="210">
        <f t="shared" si="65"/>
        <v>96</v>
      </c>
      <c r="CO51" s="210">
        <f t="shared" si="65"/>
        <v>96</v>
      </c>
      <c r="CP51" s="210">
        <f t="shared" si="65"/>
        <v>-216</v>
      </c>
      <c r="CQ51" s="210">
        <f t="shared" si="65"/>
        <v>-216</v>
      </c>
      <c r="CR51" s="210">
        <f t="shared" si="65"/>
        <v>-216</v>
      </c>
      <c r="CS51" s="210">
        <f t="shared" si="65"/>
        <v>-216</v>
      </c>
      <c r="CT51" s="210">
        <f t="shared" si="65"/>
        <v>-216</v>
      </c>
      <c r="CU51" s="210">
        <f t="shared" si="65"/>
        <v>-216</v>
      </c>
      <c r="CV51" s="210">
        <f t="shared" si="65"/>
        <v>-216</v>
      </c>
      <c r="CW51" s="210">
        <f t="shared" si="65"/>
        <v>-216</v>
      </c>
      <c r="CX51" s="210">
        <f t="shared" si="65"/>
        <v>-216</v>
      </c>
      <c r="CY51" s="210">
        <f t="shared" si="65"/>
        <v>-216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-11.187408762439315</v>
      </c>
      <c r="CQ52" s="210">
        <f t="shared" si="68"/>
        <v>-11.187408762439315</v>
      </c>
      <c r="CR52" s="210">
        <f t="shared" si="68"/>
        <v>-11.187408762439315</v>
      </c>
      <c r="CS52" s="210">
        <f t="shared" si="68"/>
        <v>-11.187408762439315</v>
      </c>
      <c r="CT52" s="210">
        <f t="shared" si="68"/>
        <v>-11.187408762439315</v>
      </c>
      <c r="CU52" s="210">
        <f t="shared" si="68"/>
        <v>-11.187408762439315</v>
      </c>
      <c r="CV52" s="210">
        <f t="shared" si="68"/>
        <v>-11.187408762439315</v>
      </c>
      <c r="CW52" s="210">
        <f t="shared" si="68"/>
        <v>-11.187408762439315</v>
      </c>
      <c r="CX52" s="210">
        <f t="shared" si="68"/>
        <v>-11.187408762439315</v>
      </c>
      <c r="CY52" s="210">
        <f t="shared" si="68"/>
        <v>-11.187408762439315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0</v>
      </c>
      <c r="BO53" s="210">
        <f t="shared" si="70"/>
        <v>0</v>
      </c>
      <c r="BP53" s="210">
        <f t="shared" si="70"/>
        <v>0</v>
      </c>
      <c r="BQ53" s="210">
        <f t="shared" si="70"/>
        <v>0</v>
      </c>
      <c r="BR53" s="210">
        <f t="shared" ref="BR53:DA53" si="71">IF(BR$22&lt;=$E$24,IF(BR$22&lt;=$D$24,IF(BR$22&lt;=$C$24,IF(BR$22&lt;=$B$24,$B119,($C36-$B36)/($C$24-$B$24)),($D36-$C36)/($D$24-$C$24)),($E36-$D36)/($E$24-$D$24)),$F119)</f>
        <v>0</v>
      </c>
      <c r="BS53" s="210">
        <f t="shared" si="71"/>
        <v>0</v>
      </c>
      <c r="BT53" s="210">
        <f t="shared" si="71"/>
        <v>0</v>
      </c>
      <c r="BU53" s="210">
        <f t="shared" si="71"/>
        <v>0</v>
      </c>
      <c r="BV53" s="210">
        <f t="shared" si="71"/>
        <v>0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-1654.2666666666669</v>
      </c>
      <c r="CQ53" s="210">
        <f t="shared" si="71"/>
        <v>-1654.2666666666669</v>
      </c>
      <c r="CR53" s="210">
        <f t="shared" si="71"/>
        <v>-1654.2666666666669</v>
      </c>
      <c r="CS53" s="210">
        <f t="shared" si="71"/>
        <v>-1654.2666666666669</v>
      </c>
      <c r="CT53" s="210">
        <f t="shared" si="71"/>
        <v>-1654.2666666666669</v>
      </c>
      <c r="CU53" s="210">
        <f t="shared" si="71"/>
        <v>-1654.2666666666669</v>
      </c>
      <c r="CV53" s="210">
        <f t="shared" si="71"/>
        <v>-1654.2666666666669</v>
      </c>
      <c r="CW53" s="210">
        <f t="shared" si="71"/>
        <v>-1654.2666666666669</v>
      </c>
      <c r="CX53" s="210">
        <f t="shared" si="71"/>
        <v>-1654.2666666666669</v>
      </c>
      <c r="CY53" s="210">
        <f t="shared" si="71"/>
        <v>-1654.2666666666669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2670.7288927413665</v>
      </c>
      <c r="G59" s="204">
        <f t="shared" si="75"/>
        <v>2670.7288927413665</v>
      </c>
      <c r="H59" s="204">
        <f t="shared" si="75"/>
        <v>2670.7288927413665</v>
      </c>
      <c r="I59" s="204">
        <f t="shared" si="75"/>
        <v>2670.7288927413665</v>
      </c>
      <c r="J59" s="204">
        <f t="shared" si="75"/>
        <v>2670.7288927413665</v>
      </c>
      <c r="K59" s="204">
        <f t="shared" si="75"/>
        <v>2670.7288927413665</v>
      </c>
      <c r="L59" s="204">
        <f t="shared" si="75"/>
        <v>2670.7288927413665</v>
      </c>
      <c r="M59" s="204">
        <f t="shared" si="75"/>
        <v>2670.7288927413665</v>
      </c>
      <c r="N59" s="204">
        <f t="shared" si="75"/>
        <v>2670.7288927413665</v>
      </c>
      <c r="O59" s="204">
        <f t="shared" si="75"/>
        <v>2670.7288927413665</v>
      </c>
      <c r="P59" s="204">
        <f t="shared" si="75"/>
        <v>2670.7288927413665</v>
      </c>
      <c r="Q59" s="204">
        <f t="shared" si="75"/>
        <v>2670.7288927413665</v>
      </c>
      <c r="R59" s="204">
        <f t="shared" si="75"/>
        <v>2670.7288927413665</v>
      </c>
      <c r="S59" s="204">
        <f t="shared" si="75"/>
        <v>2670.7288927413665</v>
      </c>
      <c r="T59" s="204">
        <f t="shared" si="75"/>
        <v>2670.7288927413665</v>
      </c>
      <c r="U59" s="204">
        <f t="shared" si="75"/>
        <v>2670.7288927413665</v>
      </c>
      <c r="V59" s="204">
        <f t="shared" si="75"/>
        <v>2670.7288927413665</v>
      </c>
      <c r="W59" s="204">
        <f t="shared" si="75"/>
        <v>2670.7288927413665</v>
      </c>
      <c r="X59" s="204">
        <f t="shared" si="75"/>
        <v>2670.7288927413665</v>
      </c>
      <c r="Y59" s="204">
        <f t="shared" si="75"/>
        <v>2670.7288927413665</v>
      </c>
      <c r="Z59" s="204">
        <f t="shared" si="75"/>
        <v>2670.7288927413665</v>
      </c>
      <c r="AA59" s="204">
        <f t="shared" si="75"/>
        <v>2670.7288927413665</v>
      </c>
      <c r="AB59" s="204">
        <f t="shared" si="75"/>
        <v>2670.7288927413665</v>
      </c>
      <c r="AC59" s="204">
        <f t="shared" si="75"/>
        <v>2670.7288927413665</v>
      </c>
      <c r="AD59" s="204">
        <f t="shared" si="75"/>
        <v>2670.7288927413665</v>
      </c>
      <c r="AE59" s="204">
        <f t="shared" si="75"/>
        <v>2670.7288927413665</v>
      </c>
      <c r="AF59" s="204">
        <f t="shared" si="75"/>
        <v>2677.8974594285733</v>
      </c>
      <c r="AG59" s="204">
        <f t="shared" si="75"/>
        <v>2685.0660261157805</v>
      </c>
      <c r="AH59" s="204">
        <f t="shared" si="75"/>
        <v>2692.2345928029872</v>
      </c>
      <c r="AI59" s="204">
        <f t="shared" si="75"/>
        <v>2699.403159490194</v>
      </c>
      <c r="AJ59" s="204">
        <f t="shared" si="75"/>
        <v>2706.5717261774007</v>
      </c>
      <c r="AK59" s="204">
        <f t="shared" si="75"/>
        <v>2713.7402928646079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2720.9088595518147</v>
      </c>
      <c r="AM59" s="204">
        <f t="shared" si="76"/>
        <v>2728.0774262390214</v>
      </c>
      <c r="AN59" s="204">
        <f t="shared" si="76"/>
        <v>2735.2459929262286</v>
      </c>
      <c r="AO59" s="204">
        <f t="shared" si="76"/>
        <v>2742.4145596134354</v>
      </c>
      <c r="AP59" s="204">
        <f t="shared" si="76"/>
        <v>2749.5831263006421</v>
      </c>
      <c r="AQ59" s="204">
        <f t="shared" si="76"/>
        <v>2756.7516929878493</v>
      </c>
      <c r="AR59" s="204">
        <f t="shared" si="76"/>
        <v>2763.9202596750561</v>
      </c>
      <c r="AS59" s="204">
        <f t="shared" si="76"/>
        <v>2771.0888263622628</v>
      </c>
      <c r="AT59" s="204">
        <f t="shared" si="76"/>
        <v>2778.25739304947</v>
      </c>
      <c r="AU59" s="204">
        <f t="shared" si="76"/>
        <v>2785.4259597366768</v>
      </c>
      <c r="AV59" s="204">
        <f t="shared" si="76"/>
        <v>2792.5945264238835</v>
      </c>
      <c r="AW59" s="204">
        <f t="shared" si="76"/>
        <v>2799.7630931110903</v>
      </c>
      <c r="AX59" s="204">
        <f t="shared" si="76"/>
        <v>2806.9316597982975</v>
      </c>
      <c r="AY59" s="204">
        <f t="shared" si="76"/>
        <v>2814.1002264855042</v>
      </c>
      <c r="AZ59" s="204">
        <f t="shared" si="76"/>
        <v>2821.268793172711</v>
      </c>
      <c r="BA59" s="204">
        <f t="shared" si="76"/>
        <v>2828.4373598599182</v>
      </c>
      <c r="BB59" s="204">
        <f t="shared" si="76"/>
        <v>2835.6059265471249</v>
      </c>
      <c r="BC59" s="204">
        <f t="shared" si="76"/>
        <v>2842.7744932343317</v>
      </c>
      <c r="BD59" s="204">
        <f t="shared" si="76"/>
        <v>2849.9430599215384</v>
      </c>
      <c r="BE59" s="204">
        <f t="shared" si="76"/>
        <v>2857.1116266087456</v>
      </c>
      <c r="BF59" s="204">
        <f t="shared" si="76"/>
        <v>2864.2801932959524</v>
      </c>
      <c r="BG59" s="204">
        <f t="shared" si="76"/>
        <v>2871.4487599831591</v>
      </c>
      <c r="BH59" s="204">
        <f t="shared" si="76"/>
        <v>2878.6173266703663</v>
      </c>
      <c r="BI59" s="204">
        <f t="shared" si="76"/>
        <v>2885.7858933575731</v>
      </c>
      <c r="BJ59" s="204">
        <f t="shared" si="76"/>
        <v>2892.9544600447798</v>
      </c>
      <c r="BK59" s="204">
        <f t="shared" si="76"/>
        <v>2900.123026731987</v>
      </c>
      <c r="BL59" s="204">
        <f t="shared" si="76"/>
        <v>2907.2915934191938</v>
      </c>
      <c r="BM59" s="204">
        <f t="shared" si="76"/>
        <v>2914.4601601064005</v>
      </c>
      <c r="BN59" s="204">
        <f t="shared" si="76"/>
        <v>2921.6287267936077</v>
      </c>
      <c r="BO59" s="204">
        <f t="shared" si="76"/>
        <v>2928.7972934808145</v>
      </c>
      <c r="BP59" s="204">
        <f t="shared" si="76"/>
        <v>2935.9658601680212</v>
      </c>
      <c r="BQ59" s="204">
        <f t="shared" si="76"/>
        <v>2943.134426855228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2950.3029935424352</v>
      </c>
      <c r="BS59" s="204">
        <f t="shared" si="77"/>
        <v>2957.4715602296419</v>
      </c>
      <c r="BT59" s="204">
        <f t="shared" si="77"/>
        <v>3008.9725154141884</v>
      </c>
      <c r="BU59" s="204">
        <f t="shared" si="77"/>
        <v>3060.4734705987348</v>
      </c>
      <c r="BV59" s="204">
        <f t="shared" si="77"/>
        <v>3111.9744257832808</v>
      </c>
      <c r="BW59" s="204">
        <f t="shared" si="77"/>
        <v>3163.4753809678273</v>
      </c>
      <c r="BX59" s="204">
        <f t="shared" si="77"/>
        <v>3214.9763361523737</v>
      </c>
      <c r="BY59" s="204">
        <f t="shared" si="77"/>
        <v>3266.4772913369202</v>
      </c>
      <c r="BZ59" s="204">
        <f t="shared" si="77"/>
        <v>3317.9782465214666</v>
      </c>
      <c r="CA59" s="204">
        <f t="shared" si="77"/>
        <v>3369.4792017060131</v>
      </c>
      <c r="CB59" s="204">
        <f t="shared" si="77"/>
        <v>3420.9801568905596</v>
      </c>
      <c r="CC59" s="204">
        <f t="shared" si="77"/>
        <v>3472.4811120751056</v>
      </c>
      <c r="CD59" s="204">
        <f t="shared" si="77"/>
        <v>3523.982067259652</v>
      </c>
      <c r="CE59" s="204">
        <f t="shared" si="77"/>
        <v>3575.4830224441985</v>
      </c>
      <c r="CF59" s="204">
        <f t="shared" si="77"/>
        <v>3626.9839776287449</v>
      </c>
      <c r="CG59" s="204">
        <f t="shared" si="77"/>
        <v>3678.4849328132914</v>
      </c>
      <c r="CH59" s="204">
        <f t="shared" si="77"/>
        <v>3729.9858879978378</v>
      </c>
      <c r="CI59" s="204">
        <f t="shared" si="77"/>
        <v>3781.4868431823843</v>
      </c>
      <c r="CJ59" s="204">
        <f t="shared" si="77"/>
        <v>3832.9877983669303</v>
      </c>
      <c r="CK59" s="204">
        <f t="shared" si="77"/>
        <v>3884.4887535514767</v>
      </c>
      <c r="CL59" s="204">
        <f t="shared" si="77"/>
        <v>3935.9897087360232</v>
      </c>
      <c r="CM59" s="204">
        <f t="shared" si="77"/>
        <v>3987.4906639205697</v>
      </c>
      <c r="CN59" s="204">
        <f t="shared" si="77"/>
        <v>4038.9916191051161</v>
      </c>
      <c r="CO59" s="204">
        <f t="shared" si="77"/>
        <v>4090.4925742896621</v>
      </c>
      <c r="CP59" s="204">
        <f t="shared" si="77"/>
        <v>4118.5712471061788</v>
      </c>
      <c r="CQ59" s="204">
        <f t="shared" si="77"/>
        <v>4123.2276375546653</v>
      </c>
      <c r="CR59" s="204">
        <f t="shared" si="77"/>
        <v>4127.8840280031518</v>
      </c>
      <c r="CS59" s="204">
        <f t="shared" si="77"/>
        <v>4132.5404184516383</v>
      </c>
      <c r="CT59" s="204">
        <f t="shared" si="77"/>
        <v>4137.1968089001248</v>
      </c>
      <c r="CU59" s="204">
        <f t="shared" si="77"/>
        <v>4141.8531993486113</v>
      </c>
      <c r="CV59" s="204">
        <f t="shared" si="77"/>
        <v>4146.5095897970978</v>
      </c>
      <c r="CW59" s="204">
        <f t="shared" si="77"/>
        <v>4151.1659802455843</v>
      </c>
      <c r="CX59" s="204">
        <f t="shared" si="77"/>
        <v>4155.8223706940707</v>
      </c>
      <c r="CY59" s="204">
        <f t="shared" si="77"/>
        <v>4160.4787611425572</v>
      </c>
      <c r="CZ59" s="204">
        <f t="shared" si="77"/>
        <v>4215.9869563668008</v>
      </c>
      <c r="DA59" s="204">
        <f t="shared" si="77"/>
        <v>4322.3469563668004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20.9</v>
      </c>
      <c r="AG60" s="204">
        <f t="shared" si="78"/>
        <v>41.8</v>
      </c>
      <c r="AH60" s="204">
        <f t="shared" si="78"/>
        <v>62.699999999999996</v>
      </c>
      <c r="AI60" s="204">
        <f t="shared" si="78"/>
        <v>83.6</v>
      </c>
      <c r="AJ60" s="204">
        <f t="shared" si="78"/>
        <v>104.5</v>
      </c>
      <c r="AK60" s="204">
        <f t="shared" si="78"/>
        <v>125.39999999999999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146.29999999999998</v>
      </c>
      <c r="AM60" s="204">
        <f t="shared" si="79"/>
        <v>167.2</v>
      </c>
      <c r="AN60" s="204">
        <f t="shared" si="79"/>
        <v>188.1</v>
      </c>
      <c r="AO60" s="204">
        <f t="shared" si="79"/>
        <v>209</v>
      </c>
      <c r="AP60" s="204">
        <f t="shared" si="79"/>
        <v>229.89999999999998</v>
      </c>
      <c r="AQ60" s="204">
        <f t="shared" si="79"/>
        <v>250.79999999999998</v>
      </c>
      <c r="AR60" s="204">
        <f t="shared" si="79"/>
        <v>271.7</v>
      </c>
      <c r="AS60" s="204">
        <f t="shared" si="79"/>
        <v>292.59999999999997</v>
      </c>
      <c r="AT60" s="204">
        <f t="shared" si="79"/>
        <v>313.5</v>
      </c>
      <c r="AU60" s="204">
        <f t="shared" si="79"/>
        <v>334.4</v>
      </c>
      <c r="AV60" s="204">
        <f t="shared" si="79"/>
        <v>355.29999999999995</v>
      </c>
      <c r="AW60" s="204">
        <f t="shared" si="79"/>
        <v>376.2</v>
      </c>
      <c r="AX60" s="204">
        <f t="shared" si="79"/>
        <v>397.09999999999997</v>
      </c>
      <c r="AY60" s="204">
        <f t="shared" si="79"/>
        <v>418</v>
      </c>
      <c r="AZ60" s="204">
        <f t="shared" si="79"/>
        <v>438.9</v>
      </c>
      <c r="BA60" s="204">
        <f t="shared" si="79"/>
        <v>459.79999999999995</v>
      </c>
      <c r="BB60" s="204">
        <f t="shared" si="79"/>
        <v>480.7</v>
      </c>
      <c r="BC60" s="204">
        <f t="shared" si="79"/>
        <v>501.59999999999997</v>
      </c>
      <c r="BD60" s="204">
        <f t="shared" si="79"/>
        <v>522.5</v>
      </c>
      <c r="BE60" s="204">
        <f t="shared" si="79"/>
        <v>543.4</v>
      </c>
      <c r="BF60" s="204">
        <f t="shared" si="79"/>
        <v>564.29999999999995</v>
      </c>
      <c r="BG60" s="204">
        <f t="shared" si="79"/>
        <v>585.19999999999993</v>
      </c>
      <c r="BH60" s="204">
        <f t="shared" si="79"/>
        <v>606.09999999999991</v>
      </c>
      <c r="BI60" s="204">
        <f t="shared" si="79"/>
        <v>627</v>
      </c>
      <c r="BJ60" s="204">
        <f t="shared" si="79"/>
        <v>647.9</v>
      </c>
      <c r="BK60" s="204">
        <f t="shared" si="79"/>
        <v>668.8</v>
      </c>
      <c r="BL60" s="204">
        <f t="shared" si="79"/>
        <v>689.69999999999993</v>
      </c>
      <c r="BM60" s="204">
        <f t="shared" si="79"/>
        <v>710.59999999999991</v>
      </c>
      <c r="BN60" s="204">
        <f t="shared" si="79"/>
        <v>731.5</v>
      </c>
      <c r="BO60" s="204">
        <f t="shared" si="79"/>
        <v>752.4</v>
      </c>
      <c r="BP60" s="204">
        <f t="shared" si="79"/>
        <v>773.3</v>
      </c>
      <c r="BQ60" s="204">
        <f t="shared" si="79"/>
        <v>794.19999999999993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815.09999999999991</v>
      </c>
      <c r="BS60" s="204">
        <f t="shared" si="80"/>
        <v>836</v>
      </c>
      <c r="BT60" s="204">
        <f t="shared" si="80"/>
        <v>959.77777777777783</v>
      </c>
      <c r="BU60" s="204">
        <f t="shared" si="80"/>
        <v>1083.5555555555557</v>
      </c>
      <c r="BV60" s="204">
        <f t="shared" si="80"/>
        <v>1207.3333333333333</v>
      </c>
      <c r="BW60" s="204">
        <f t="shared" si="80"/>
        <v>1331.1111111111111</v>
      </c>
      <c r="BX60" s="204">
        <f t="shared" si="80"/>
        <v>1454.8888888888889</v>
      </c>
      <c r="BY60" s="204">
        <f t="shared" si="80"/>
        <v>1578.6666666666665</v>
      </c>
      <c r="BZ60" s="204">
        <f t="shared" si="80"/>
        <v>1702.4444444444443</v>
      </c>
      <c r="CA60" s="204">
        <f t="shared" si="80"/>
        <v>1826.2222222222222</v>
      </c>
      <c r="CB60" s="204">
        <f t="shared" si="80"/>
        <v>1950</v>
      </c>
      <c r="CC60" s="204">
        <f t="shared" si="80"/>
        <v>2073.7777777777778</v>
      </c>
      <c r="CD60" s="204">
        <f t="shared" si="80"/>
        <v>2197.5555555555557</v>
      </c>
      <c r="CE60" s="204">
        <f t="shared" si="80"/>
        <v>2321.333333333333</v>
      </c>
      <c r="CF60" s="204">
        <f t="shared" si="80"/>
        <v>2445.1111111111113</v>
      </c>
      <c r="CG60" s="204">
        <f t="shared" si="80"/>
        <v>2568.8888888888887</v>
      </c>
      <c r="CH60" s="204">
        <f t="shared" si="80"/>
        <v>2692.6666666666665</v>
      </c>
      <c r="CI60" s="204">
        <f t="shared" si="80"/>
        <v>2816.4444444444443</v>
      </c>
      <c r="CJ60" s="204">
        <f t="shared" si="80"/>
        <v>2940.2222222222222</v>
      </c>
      <c r="CK60" s="204">
        <f t="shared" si="80"/>
        <v>3064</v>
      </c>
      <c r="CL60" s="204">
        <f t="shared" si="80"/>
        <v>3187.7777777777778</v>
      </c>
      <c r="CM60" s="204">
        <f t="shared" si="80"/>
        <v>3311.5555555555557</v>
      </c>
      <c r="CN60" s="204">
        <f t="shared" si="80"/>
        <v>3435.333333333333</v>
      </c>
      <c r="CO60" s="204">
        <f t="shared" si="80"/>
        <v>3559.1111111111109</v>
      </c>
      <c r="CP60" s="204">
        <f t="shared" si="80"/>
        <v>3696.5722222222221</v>
      </c>
      <c r="CQ60" s="204">
        <f t="shared" si="80"/>
        <v>3847.7166666666667</v>
      </c>
      <c r="CR60" s="204">
        <f t="shared" si="80"/>
        <v>3998.8611111111109</v>
      </c>
      <c r="CS60" s="204">
        <f t="shared" si="80"/>
        <v>4150.0055555555555</v>
      </c>
      <c r="CT60" s="204">
        <f t="shared" si="80"/>
        <v>4301.1499999999996</v>
      </c>
      <c r="CU60" s="204">
        <f t="shared" si="80"/>
        <v>4452.2944444444438</v>
      </c>
      <c r="CV60" s="204">
        <f t="shared" si="80"/>
        <v>4603.438888888888</v>
      </c>
      <c r="CW60" s="204">
        <f t="shared" si="80"/>
        <v>4754.5833333333321</v>
      </c>
      <c r="CX60" s="204">
        <f t="shared" si="80"/>
        <v>4905.7277777777763</v>
      </c>
      <c r="CY60" s="204">
        <f t="shared" si="80"/>
        <v>5056.8722222222214</v>
      </c>
      <c r="CZ60" s="204">
        <f t="shared" si="80"/>
        <v>5494.8744444444437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6219.7344444444434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188.88628953908511</v>
      </c>
      <c r="G61" s="204">
        <f t="shared" si="81"/>
        <v>188.88628953908511</v>
      </c>
      <c r="H61" s="204">
        <f t="shared" si="81"/>
        <v>188.88628953908511</v>
      </c>
      <c r="I61" s="204">
        <f t="shared" si="81"/>
        <v>188.88628953908511</v>
      </c>
      <c r="J61" s="204">
        <f t="shared" si="81"/>
        <v>188.88628953908511</v>
      </c>
      <c r="K61" s="204">
        <f t="shared" si="81"/>
        <v>188.88628953908511</v>
      </c>
      <c r="L61" s="204">
        <f t="shared" si="81"/>
        <v>188.88628953908511</v>
      </c>
      <c r="M61" s="204">
        <f t="shared" si="81"/>
        <v>188.88628953908511</v>
      </c>
      <c r="N61" s="204">
        <f t="shared" si="81"/>
        <v>188.88628953908511</v>
      </c>
      <c r="O61" s="204">
        <f t="shared" si="81"/>
        <v>188.88628953908511</v>
      </c>
      <c r="P61" s="204">
        <f t="shared" si="81"/>
        <v>188.88628953908511</v>
      </c>
      <c r="Q61" s="204">
        <f t="shared" si="81"/>
        <v>188.88628953908511</v>
      </c>
      <c r="R61" s="204">
        <f t="shared" si="81"/>
        <v>188.88628953908511</v>
      </c>
      <c r="S61" s="204">
        <f t="shared" si="81"/>
        <v>188.88628953908511</v>
      </c>
      <c r="T61" s="204">
        <f t="shared" si="81"/>
        <v>188.88628953908511</v>
      </c>
      <c r="U61" s="204">
        <f t="shared" si="81"/>
        <v>188.88628953908511</v>
      </c>
      <c r="V61" s="204">
        <f t="shared" si="81"/>
        <v>188.88628953908511</v>
      </c>
      <c r="W61" s="204">
        <f t="shared" si="81"/>
        <v>188.88628953908511</v>
      </c>
      <c r="X61" s="204">
        <f t="shared" si="81"/>
        <v>188.88628953908511</v>
      </c>
      <c r="Y61" s="204">
        <f t="shared" si="81"/>
        <v>188.88628953908511</v>
      </c>
      <c r="Z61" s="204">
        <f t="shared" si="81"/>
        <v>188.88628953908511</v>
      </c>
      <c r="AA61" s="204">
        <f t="shared" si="81"/>
        <v>188.88628953908511</v>
      </c>
      <c r="AB61" s="204">
        <f t="shared" si="81"/>
        <v>188.88628953908511</v>
      </c>
      <c r="AC61" s="204">
        <f t="shared" si="81"/>
        <v>188.88628953908511</v>
      </c>
      <c r="AD61" s="204">
        <f t="shared" si="81"/>
        <v>188.88628953908511</v>
      </c>
      <c r="AE61" s="204">
        <f t="shared" si="81"/>
        <v>188.88628953908511</v>
      </c>
      <c r="AF61" s="204">
        <f t="shared" si="81"/>
        <v>191.46211396558394</v>
      </c>
      <c r="AG61" s="204">
        <f t="shared" si="81"/>
        <v>194.03793839208276</v>
      </c>
      <c r="AH61" s="204">
        <f t="shared" si="81"/>
        <v>196.61376281858159</v>
      </c>
      <c r="AI61" s="204">
        <f t="shared" si="81"/>
        <v>199.18958724508042</v>
      </c>
      <c r="AJ61" s="204">
        <f t="shared" si="81"/>
        <v>201.76541167157924</v>
      </c>
      <c r="AK61" s="204">
        <f t="shared" si="81"/>
        <v>204.34123609807807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206.9170605245769</v>
      </c>
      <c r="AM61" s="204">
        <f t="shared" si="82"/>
        <v>209.49288495107572</v>
      </c>
      <c r="AN61" s="204">
        <f t="shared" si="82"/>
        <v>212.06870937757455</v>
      </c>
      <c r="AO61" s="204">
        <f t="shared" si="82"/>
        <v>214.64453380407338</v>
      </c>
      <c r="AP61" s="204">
        <f t="shared" si="82"/>
        <v>217.22035823057217</v>
      </c>
      <c r="AQ61" s="204">
        <f t="shared" si="82"/>
        <v>219.79618265707103</v>
      </c>
      <c r="AR61" s="204">
        <f t="shared" si="82"/>
        <v>222.37200708356983</v>
      </c>
      <c r="AS61" s="204">
        <f t="shared" si="82"/>
        <v>224.94783151006865</v>
      </c>
      <c r="AT61" s="204">
        <f t="shared" si="82"/>
        <v>227.52365593656748</v>
      </c>
      <c r="AU61" s="204">
        <f t="shared" si="82"/>
        <v>230.09948036306631</v>
      </c>
      <c r="AV61" s="204">
        <f t="shared" si="82"/>
        <v>232.67530478956513</v>
      </c>
      <c r="AW61" s="204">
        <f t="shared" si="82"/>
        <v>235.25112921606396</v>
      </c>
      <c r="AX61" s="204">
        <f t="shared" si="82"/>
        <v>237.82695364256278</v>
      </c>
      <c r="AY61" s="204">
        <f t="shared" si="82"/>
        <v>240.40277806906161</v>
      </c>
      <c r="AZ61" s="204">
        <f t="shared" si="82"/>
        <v>242.97860249556044</v>
      </c>
      <c r="BA61" s="204">
        <f t="shared" si="82"/>
        <v>245.55442692205926</v>
      </c>
      <c r="BB61" s="204">
        <f t="shared" si="82"/>
        <v>248.13025134855809</v>
      </c>
      <c r="BC61" s="204">
        <f t="shared" si="82"/>
        <v>250.70607577505692</v>
      </c>
      <c r="BD61" s="204">
        <f t="shared" si="82"/>
        <v>253.28190020155574</v>
      </c>
      <c r="BE61" s="204">
        <f t="shared" si="82"/>
        <v>255.85772462805457</v>
      </c>
      <c r="BF61" s="204">
        <f t="shared" si="82"/>
        <v>258.4335490545534</v>
      </c>
      <c r="BG61" s="204">
        <f t="shared" si="82"/>
        <v>261.00937348105219</v>
      </c>
      <c r="BH61" s="204">
        <f t="shared" si="82"/>
        <v>263.58519790755105</v>
      </c>
      <c r="BI61" s="204">
        <f t="shared" si="82"/>
        <v>266.16102233404985</v>
      </c>
      <c r="BJ61" s="204">
        <f t="shared" si="82"/>
        <v>268.7368467605487</v>
      </c>
      <c r="BK61" s="204">
        <f t="shared" si="82"/>
        <v>271.3126711870475</v>
      </c>
      <c r="BL61" s="204">
        <f t="shared" si="82"/>
        <v>273.88849561354635</v>
      </c>
      <c r="BM61" s="204">
        <f t="shared" si="82"/>
        <v>276.46432004004515</v>
      </c>
      <c r="BN61" s="204">
        <f t="shared" si="82"/>
        <v>279.04014446654401</v>
      </c>
      <c r="BO61" s="204">
        <f t="shared" si="82"/>
        <v>281.6159688930428</v>
      </c>
      <c r="BP61" s="204">
        <f t="shared" si="82"/>
        <v>284.19179331954166</v>
      </c>
      <c r="BQ61" s="204">
        <f t="shared" si="82"/>
        <v>286.76761774604046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289.34344217253931</v>
      </c>
      <c r="BS61" s="204">
        <f t="shared" si="83"/>
        <v>291.91926659903811</v>
      </c>
      <c r="BT61" s="204">
        <f t="shared" si="83"/>
        <v>301.30108488263511</v>
      </c>
      <c r="BU61" s="204">
        <f t="shared" si="83"/>
        <v>310.68290316623205</v>
      </c>
      <c r="BV61" s="204">
        <f t="shared" si="83"/>
        <v>320.06472144982905</v>
      </c>
      <c r="BW61" s="204">
        <f t="shared" si="83"/>
        <v>329.44653973342599</v>
      </c>
      <c r="BX61" s="204">
        <f t="shared" si="83"/>
        <v>338.82835801702299</v>
      </c>
      <c r="BY61" s="204">
        <f t="shared" si="83"/>
        <v>348.21017630061993</v>
      </c>
      <c r="BZ61" s="204">
        <f t="shared" si="83"/>
        <v>357.59199458421693</v>
      </c>
      <c r="CA61" s="204">
        <f t="shared" si="83"/>
        <v>366.97381286781388</v>
      </c>
      <c r="CB61" s="204">
        <f t="shared" si="83"/>
        <v>376.35563115141088</v>
      </c>
      <c r="CC61" s="204">
        <f t="shared" si="83"/>
        <v>385.73744943500787</v>
      </c>
      <c r="CD61" s="204">
        <f t="shared" si="83"/>
        <v>395.11926771860482</v>
      </c>
      <c r="CE61" s="204">
        <f t="shared" si="83"/>
        <v>404.50108600220182</v>
      </c>
      <c r="CF61" s="204">
        <f t="shared" si="83"/>
        <v>413.88290428579876</v>
      </c>
      <c r="CG61" s="204">
        <f t="shared" si="83"/>
        <v>423.26472256939576</v>
      </c>
      <c r="CH61" s="204">
        <f t="shared" si="83"/>
        <v>432.64654085299276</v>
      </c>
      <c r="CI61" s="204">
        <f t="shared" si="83"/>
        <v>442.0283591365897</v>
      </c>
      <c r="CJ61" s="204">
        <f t="shared" si="83"/>
        <v>451.41017742018664</v>
      </c>
      <c r="CK61" s="204">
        <f t="shared" si="83"/>
        <v>460.79199570378364</v>
      </c>
      <c r="CL61" s="204">
        <f t="shared" si="83"/>
        <v>470.17381398738064</v>
      </c>
      <c r="CM61" s="204">
        <f t="shared" si="83"/>
        <v>479.55563227097758</v>
      </c>
      <c r="CN61" s="204">
        <f t="shared" si="83"/>
        <v>488.93745055457458</v>
      </c>
      <c r="CO61" s="204">
        <f t="shared" si="83"/>
        <v>498.31926883817152</v>
      </c>
      <c r="CP61" s="204">
        <f t="shared" si="83"/>
        <v>543.36672066784899</v>
      </c>
      <c r="CQ61" s="204">
        <f t="shared" si="83"/>
        <v>624.07980604360705</v>
      </c>
      <c r="CR61" s="204">
        <f t="shared" si="83"/>
        <v>704.79289141936499</v>
      </c>
      <c r="CS61" s="204">
        <f t="shared" si="83"/>
        <v>785.50597679512293</v>
      </c>
      <c r="CT61" s="204">
        <f t="shared" si="83"/>
        <v>866.21906217088099</v>
      </c>
      <c r="CU61" s="204">
        <f t="shared" si="83"/>
        <v>946.93214754663893</v>
      </c>
      <c r="CV61" s="204">
        <f t="shared" si="83"/>
        <v>1027.6452329223969</v>
      </c>
      <c r="CW61" s="204">
        <f t="shared" si="83"/>
        <v>1108.3583182981549</v>
      </c>
      <c r="CX61" s="204">
        <f t="shared" si="83"/>
        <v>1189.071403673913</v>
      </c>
      <c r="CY61" s="204">
        <f t="shared" si="83"/>
        <v>1269.7844890496708</v>
      </c>
      <c r="CZ61" s="204">
        <f t="shared" si="83"/>
        <v>1314.3565317375499</v>
      </c>
      <c r="DA61" s="204">
        <f t="shared" si="83"/>
        <v>1322.7875317375499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12.5</v>
      </c>
      <c r="AG63" s="204">
        <f t="shared" si="87"/>
        <v>25</v>
      </c>
      <c r="AH63" s="204">
        <f t="shared" si="87"/>
        <v>37.5</v>
      </c>
      <c r="AI63" s="204">
        <f t="shared" si="87"/>
        <v>50</v>
      </c>
      <c r="AJ63" s="204">
        <f t="shared" si="87"/>
        <v>62.5</v>
      </c>
      <c r="AK63" s="204">
        <f t="shared" si="87"/>
        <v>75</v>
      </c>
      <c r="AL63" s="204">
        <f t="shared" si="87"/>
        <v>87.5</v>
      </c>
      <c r="AM63" s="204">
        <f t="shared" si="87"/>
        <v>100</v>
      </c>
      <c r="AN63" s="204">
        <f t="shared" si="87"/>
        <v>112.5</v>
      </c>
      <c r="AO63" s="204">
        <f t="shared" si="87"/>
        <v>125</v>
      </c>
      <c r="AP63" s="204">
        <f t="shared" si="87"/>
        <v>137.5</v>
      </c>
      <c r="AQ63" s="204">
        <f t="shared" si="87"/>
        <v>150</v>
      </c>
      <c r="AR63" s="204">
        <f t="shared" si="87"/>
        <v>162.5</v>
      </c>
      <c r="AS63" s="204">
        <f t="shared" si="87"/>
        <v>175</v>
      </c>
      <c r="AT63" s="204">
        <f t="shared" si="87"/>
        <v>187.5</v>
      </c>
      <c r="AU63" s="204">
        <f t="shared" si="87"/>
        <v>200</v>
      </c>
      <c r="AV63" s="204">
        <f t="shared" si="87"/>
        <v>212.5</v>
      </c>
      <c r="AW63" s="204">
        <f t="shared" si="87"/>
        <v>225</v>
      </c>
      <c r="AX63" s="204">
        <f t="shared" si="87"/>
        <v>237.5</v>
      </c>
      <c r="AY63" s="204">
        <f t="shared" si="87"/>
        <v>250</v>
      </c>
      <c r="AZ63" s="204">
        <f t="shared" si="87"/>
        <v>262.5</v>
      </c>
      <c r="BA63" s="204">
        <f t="shared" si="87"/>
        <v>275</v>
      </c>
      <c r="BB63" s="204">
        <f t="shared" si="87"/>
        <v>287.5</v>
      </c>
      <c r="BC63" s="204">
        <f t="shared" si="87"/>
        <v>300</v>
      </c>
      <c r="BD63" s="204">
        <f t="shared" si="87"/>
        <v>312.5</v>
      </c>
      <c r="BE63" s="204">
        <f t="shared" si="87"/>
        <v>325</v>
      </c>
      <c r="BF63" s="204">
        <f t="shared" si="87"/>
        <v>337.5</v>
      </c>
      <c r="BG63" s="204">
        <f t="shared" si="87"/>
        <v>350</v>
      </c>
      <c r="BH63" s="204">
        <f t="shared" si="87"/>
        <v>362.5</v>
      </c>
      <c r="BI63" s="204">
        <f t="shared" si="87"/>
        <v>375</v>
      </c>
      <c r="BJ63" s="204">
        <f t="shared" si="87"/>
        <v>387.5</v>
      </c>
      <c r="BK63" s="204">
        <f t="shared" si="87"/>
        <v>400</v>
      </c>
      <c r="BL63" s="204">
        <f t="shared" si="87"/>
        <v>412.5</v>
      </c>
      <c r="BM63" s="204">
        <f t="shared" si="87"/>
        <v>425</v>
      </c>
      <c r="BN63" s="204">
        <f t="shared" si="87"/>
        <v>437.5</v>
      </c>
      <c r="BO63" s="204">
        <f t="shared" si="87"/>
        <v>450</v>
      </c>
      <c r="BP63" s="204">
        <f t="shared" si="87"/>
        <v>462.5</v>
      </c>
      <c r="BQ63" s="204">
        <f t="shared" si="87"/>
        <v>475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487.5</v>
      </c>
      <c r="BS63" s="204">
        <f t="shared" si="89"/>
        <v>500</v>
      </c>
      <c r="BT63" s="204">
        <f t="shared" si="89"/>
        <v>633.33333333333337</v>
      </c>
      <c r="BU63" s="204">
        <f t="shared" si="89"/>
        <v>766.66666666666674</v>
      </c>
      <c r="BV63" s="204">
        <f t="shared" si="89"/>
        <v>900</v>
      </c>
      <c r="BW63" s="204">
        <f t="shared" si="89"/>
        <v>1033.3333333333335</v>
      </c>
      <c r="BX63" s="204">
        <f t="shared" si="89"/>
        <v>1166.6666666666667</v>
      </c>
      <c r="BY63" s="204">
        <f t="shared" si="89"/>
        <v>1300</v>
      </c>
      <c r="BZ63" s="204">
        <f t="shared" si="89"/>
        <v>1433.3333333333335</v>
      </c>
      <c r="CA63" s="204">
        <f t="shared" si="89"/>
        <v>1566.6666666666667</v>
      </c>
      <c r="CB63" s="204">
        <f t="shared" si="89"/>
        <v>1700</v>
      </c>
      <c r="CC63" s="204">
        <f t="shared" si="89"/>
        <v>1833.3333333333335</v>
      </c>
      <c r="CD63" s="204">
        <f t="shared" si="89"/>
        <v>1966.6666666666667</v>
      </c>
      <c r="CE63" s="204">
        <f t="shared" si="89"/>
        <v>2100</v>
      </c>
      <c r="CF63" s="204">
        <f t="shared" si="89"/>
        <v>2233.3333333333335</v>
      </c>
      <c r="CG63" s="204">
        <f t="shared" si="89"/>
        <v>2366.666666666667</v>
      </c>
      <c r="CH63" s="204">
        <f t="shared" si="89"/>
        <v>2500</v>
      </c>
      <c r="CI63" s="204">
        <f t="shared" si="89"/>
        <v>2633.3333333333335</v>
      </c>
      <c r="CJ63" s="204">
        <f t="shared" si="89"/>
        <v>2766.666666666667</v>
      </c>
      <c r="CK63" s="204">
        <f t="shared" si="89"/>
        <v>2900</v>
      </c>
      <c r="CL63" s="204">
        <f t="shared" si="89"/>
        <v>3033.3333333333335</v>
      </c>
      <c r="CM63" s="204">
        <f t="shared" si="89"/>
        <v>3166.666666666667</v>
      </c>
      <c r="CN63" s="204">
        <f t="shared" si="89"/>
        <v>3300</v>
      </c>
      <c r="CO63" s="204">
        <f t="shared" si="89"/>
        <v>3433.3333333333335</v>
      </c>
      <c r="CP63" s="204">
        <f t="shared" si="89"/>
        <v>3816.1111111111113</v>
      </c>
      <c r="CQ63" s="204">
        <f t="shared" si="89"/>
        <v>4448.3333333333339</v>
      </c>
      <c r="CR63" s="204">
        <f t="shared" si="89"/>
        <v>5080.5555555555557</v>
      </c>
      <c r="CS63" s="204">
        <f t="shared" si="89"/>
        <v>5712.7777777777774</v>
      </c>
      <c r="CT63" s="204">
        <f t="shared" si="89"/>
        <v>6345</v>
      </c>
      <c r="CU63" s="204">
        <f t="shared" si="89"/>
        <v>6977.2222222222226</v>
      </c>
      <c r="CV63" s="204">
        <f t="shared" si="89"/>
        <v>7609.4444444444453</v>
      </c>
      <c r="CW63" s="204">
        <f t="shared" si="89"/>
        <v>8241.6666666666679</v>
      </c>
      <c r="CX63" s="204">
        <f t="shared" si="89"/>
        <v>8873.8888888888905</v>
      </c>
      <c r="CY63" s="204">
        <f t="shared" si="89"/>
        <v>9506.1111111111113</v>
      </c>
      <c r="CZ63" s="204">
        <f t="shared" si="89"/>
        <v>9822.2222222222226</v>
      </c>
      <c r="DA63" s="204">
        <f t="shared" si="89"/>
        <v>9822.2222222222226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4.9503238872601969</v>
      </c>
      <c r="CQ64" s="204">
        <f t="shared" si="91"/>
        <v>14.850971661780591</v>
      </c>
      <c r="CR64" s="204">
        <f t="shared" si="91"/>
        <v>24.751619436300984</v>
      </c>
      <c r="CS64" s="204">
        <f t="shared" si="91"/>
        <v>34.652267210821378</v>
      </c>
      <c r="CT64" s="204">
        <f t="shared" si="91"/>
        <v>44.552914985341772</v>
      </c>
      <c r="CU64" s="204">
        <f t="shared" si="91"/>
        <v>54.453562759862166</v>
      </c>
      <c r="CV64" s="204">
        <f t="shared" si="91"/>
        <v>64.35421053438256</v>
      </c>
      <c r="CW64" s="204">
        <f t="shared" si="91"/>
        <v>74.254858308902953</v>
      </c>
      <c r="CX64" s="204">
        <f t="shared" si="91"/>
        <v>84.155506083423347</v>
      </c>
      <c r="CY64" s="204">
        <f t="shared" si="91"/>
        <v>94.056153857943741</v>
      </c>
      <c r="CZ64" s="204">
        <f t="shared" si="91"/>
        <v>125.10147774520388</v>
      </c>
      <c r="DA64" s="204">
        <f t="shared" si="91"/>
        <v>177.29147774520376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43.732540056550427</v>
      </c>
      <c r="AG65" s="204">
        <f t="shared" si="92"/>
        <v>87.465080113100854</v>
      </c>
      <c r="AH65" s="204">
        <f t="shared" si="92"/>
        <v>131.19762016965129</v>
      </c>
      <c r="AI65" s="204">
        <f t="shared" si="92"/>
        <v>174.93016022620171</v>
      </c>
      <c r="AJ65" s="204">
        <f t="shared" si="92"/>
        <v>218.66270028275213</v>
      </c>
      <c r="AK65" s="204">
        <f t="shared" si="92"/>
        <v>262.39524033930257</v>
      </c>
      <c r="AL65" s="204">
        <f t="shared" si="92"/>
        <v>306.12778039585299</v>
      </c>
      <c r="AM65" s="204">
        <f t="shared" si="92"/>
        <v>349.86032045240341</v>
      </c>
      <c r="AN65" s="204">
        <f t="shared" si="92"/>
        <v>393.59286050895383</v>
      </c>
      <c r="AO65" s="204">
        <f t="shared" si="92"/>
        <v>437.32540056550425</v>
      </c>
      <c r="AP65" s="204">
        <f t="shared" si="92"/>
        <v>481.05794062205467</v>
      </c>
      <c r="AQ65" s="204">
        <f t="shared" si="92"/>
        <v>524.79048067860515</v>
      </c>
      <c r="AR65" s="204">
        <f t="shared" si="92"/>
        <v>568.52302073515557</v>
      </c>
      <c r="AS65" s="204">
        <f t="shared" si="92"/>
        <v>612.25556079170599</v>
      </c>
      <c r="AT65" s="204">
        <f t="shared" si="92"/>
        <v>655.98810084825641</v>
      </c>
      <c r="AU65" s="204">
        <f t="shared" si="92"/>
        <v>699.72064090480683</v>
      </c>
      <c r="AV65" s="204">
        <f t="shared" si="92"/>
        <v>743.45318096135725</v>
      </c>
      <c r="AW65" s="204">
        <f t="shared" si="92"/>
        <v>787.18572101790767</v>
      </c>
      <c r="AX65" s="204">
        <f t="shared" si="92"/>
        <v>830.91826107445809</v>
      </c>
      <c r="AY65" s="204">
        <f t="shared" si="92"/>
        <v>874.65080113100851</v>
      </c>
      <c r="AZ65" s="204">
        <f t="shared" si="92"/>
        <v>918.38334118755893</v>
      </c>
      <c r="BA65" s="204">
        <f t="shared" si="92"/>
        <v>962.11588124410935</v>
      </c>
      <c r="BB65" s="204">
        <f t="shared" si="92"/>
        <v>1005.8484213006598</v>
      </c>
      <c r="BC65" s="204">
        <f t="shared" si="92"/>
        <v>1049.5809613572103</v>
      </c>
      <c r="BD65" s="204">
        <f t="shared" si="92"/>
        <v>1093.3135014137606</v>
      </c>
      <c r="BE65" s="204">
        <f t="shared" si="92"/>
        <v>1137.0460414703111</v>
      </c>
      <c r="BF65" s="204">
        <f t="shared" si="92"/>
        <v>1180.7785815268614</v>
      </c>
      <c r="BG65" s="204">
        <f t="shared" si="92"/>
        <v>1224.511121583412</v>
      </c>
      <c r="BH65" s="204">
        <f t="shared" si="92"/>
        <v>1268.2436616399623</v>
      </c>
      <c r="BI65" s="204">
        <f t="shared" si="92"/>
        <v>1311.9762016965128</v>
      </c>
      <c r="BJ65" s="204">
        <f t="shared" si="92"/>
        <v>1355.7087417530631</v>
      </c>
      <c r="BK65" s="204">
        <f t="shared" si="92"/>
        <v>1399.4412818096137</v>
      </c>
      <c r="BL65" s="204">
        <f t="shared" si="92"/>
        <v>1443.1738218661642</v>
      </c>
      <c r="BM65" s="204">
        <f t="shared" si="92"/>
        <v>1486.9063619227145</v>
      </c>
      <c r="BN65" s="204">
        <f t="shared" si="92"/>
        <v>1530.638901979265</v>
      </c>
      <c r="BO65" s="204">
        <f t="shared" si="92"/>
        <v>1574.3714420358153</v>
      </c>
      <c r="BP65" s="204">
        <f t="shared" si="92"/>
        <v>1618.1039820923659</v>
      </c>
      <c r="BQ65" s="204">
        <f t="shared" si="92"/>
        <v>1661.8365221489162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1705.5690622054667</v>
      </c>
      <c r="BS65" s="204">
        <f t="shared" si="93"/>
        <v>1749.301602262017</v>
      </c>
      <c r="BT65" s="204">
        <f t="shared" si="93"/>
        <v>1704.9770866059273</v>
      </c>
      <c r="BU65" s="204">
        <f t="shared" si="93"/>
        <v>1660.6525709498378</v>
      </c>
      <c r="BV65" s="204">
        <f t="shared" si="93"/>
        <v>1616.3280552937481</v>
      </c>
      <c r="BW65" s="204">
        <f t="shared" si="93"/>
        <v>1572.0035396376584</v>
      </c>
      <c r="BX65" s="204">
        <f t="shared" si="93"/>
        <v>1527.6790239815687</v>
      </c>
      <c r="BY65" s="204">
        <f t="shared" si="93"/>
        <v>1483.3545083254792</v>
      </c>
      <c r="BZ65" s="204">
        <f t="shared" si="93"/>
        <v>1439.0299926693895</v>
      </c>
      <c r="CA65" s="204">
        <f t="shared" si="93"/>
        <v>1394.7054770133</v>
      </c>
      <c r="CB65" s="204">
        <f t="shared" si="93"/>
        <v>1350.3809613572103</v>
      </c>
      <c r="CC65" s="204">
        <f t="shared" si="93"/>
        <v>1306.0564457011205</v>
      </c>
      <c r="CD65" s="204">
        <f t="shared" si="93"/>
        <v>1261.7319300450308</v>
      </c>
      <c r="CE65" s="204">
        <f t="shared" si="93"/>
        <v>1217.4074143889413</v>
      </c>
      <c r="CF65" s="204">
        <f t="shared" si="93"/>
        <v>1173.0828987328516</v>
      </c>
      <c r="CG65" s="204">
        <f t="shared" si="93"/>
        <v>1128.7583830767621</v>
      </c>
      <c r="CH65" s="204">
        <f t="shared" si="93"/>
        <v>1084.4338674206724</v>
      </c>
      <c r="CI65" s="204">
        <f t="shared" si="93"/>
        <v>1040.1093517645827</v>
      </c>
      <c r="CJ65" s="204">
        <f t="shared" si="93"/>
        <v>995.7848361084931</v>
      </c>
      <c r="CK65" s="204">
        <f t="shared" si="93"/>
        <v>951.46032045240338</v>
      </c>
      <c r="CL65" s="204">
        <f t="shared" si="93"/>
        <v>907.13580479631378</v>
      </c>
      <c r="CM65" s="204">
        <f t="shared" si="93"/>
        <v>862.81128914022406</v>
      </c>
      <c r="CN65" s="204">
        <f t="shared" si="93"/>
        <v>818.48677348413446</v>
      </c>
      <c r="CO65" s="204">
        <f t="shared" si="93"/>
        <v>774.16225782804486</v>
      </c>
      <c r="CP65" s="204">
        <f t="shared" si="93"/>
        <v>714.4</v>
      </c>
      <c r="CQ65" s="204">
        <f t="shared" si="93"/>
        <v>639.20000000000005</v>
      </c>
      <c r="CR65" s="204">
        <f t="shared" si="93"/>
        <v>564</v>
      </c>
      <c r="CS65" s="204">
        <f t="shared" si="93"/>
        <v>488.8</v>
      </c>
      <c r="CT65" s="204">
        <f t="shared" si="93"/>
        <v>413.59999999999997</v>
      </c>
      <c r="CU65" s="204">
        <f t="shared" si="93"/>
        <v>338.4</v>
      </c>
      <c r="CV65" s="204">
        <f t="shared" si="93"/>
        <v>263.2</v>
      </c>
      <c r="CW65" s="204">
        <f t="shared" si="93"/>
        <v>188</v>
      </c>
      <c r="CX65" s="204">
        <f t="shared" si="93"/>
        <v>112.79999999999995</v>
      </c>
      <c r="CY65" s="204">
        <f t="shared" si="93"/>
        <v>37.600000000000023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1544.8888888888889</v>
      </c>
      <c r="CQ66" s="204">
        <f t="shared" si="95"/>
        <v>4634.666666666667</v>
      </c>
      <c r="CR66" s="204">
        <f t="shared" si="95"/>
        <v>7724.4444444444443</v>
      </c>
      <c r="CS66" s="204">
        <f t="shared" si="95"/>
        <v>10814.222222222223</v>
      </c>
      <c r="CT66" s="204">
        <f t="shared" si="95"/>
        <v>13904</v>
      </c>
      <c r="CU66" s="204">
        <f t="shared" si="95"/>
        <v>16993.777777777777</v>
      </c>
      <c r="CV66" s="204">
        <f t="shared" si="95"/>
        <v>20083.555555555555</v>
      </c>
      <c r="CW66" s="204">
        <f t="shared" si="95"/>
        <v>23173.333333333332</v>
      </c>
      <c r="CX66" s="204">
        <f t="shared" si="95"/>
        <v>26263.111111111113</v>
      </c>
      <c r="CY66" s="204">
        <f t="shared" si="95"/>
        <v>29352.888888888891</v>
      </c>
      <c r="CZ66" s="204">
        <f t="shared" si="95"/>
        <v>32233.627777777776</v>
      </c>
      <c r="DA66" s="204">
        <f t="shared" si="95"/>
        <v>34905.327777777777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19.066666666666666</v>
      </c>
      <c r="BU67" s="204">
        <f t="shared" si="97"/>
        <v>38.133333333333333</v>
      </c>
      <c r="BV67" s="204">
        <f t="shared" si="97"/>
        <v>57.2</v>
      </c>
      <c r="BW67" s="204">
        <f t="shared" si="97"/>
        <v>76.266666666666666</v>
      </c>
      <c r="BX67" s="204">
        <f t="shared" si="97"/>
        <v>95.333333333333329</v>
      </c>
      <c r="BY67" s="204">
        <f t="shared" si="97"/>
        <v>114.4</v>
      </c>
      <c r="BZ67" s="204">
        <f t="shared" si="97"/>
        <v>133.46666666666667</v>
      </c>
      <c r="CA67" s="204">
        <f t="shared" si="97"/>
        <v>152.53333333333333</v>
      </c>
      <c r="CB67" s="204">
        <f t="shared" si="97"/>
        <v>171.6</v>
      </c>
      <c r="CC67" s="204">
        <f t="shared" si="97"/>
        <v>190.66666666666666</v>
      </c>
      <c r="CD67" s="204">
        <f t="shared" si="97"/>
        <v>209.73333333333332</v>
      </c>
      <c r="CE67" s="204">
        <f t="shared" si="97"/>
        <v>228.8</v>
      </c>
      <c r="CF67" s="204">
        <f t="shared" si="97"/>
        <v>247.86666666666667</v>
      </c>
      <c r="CG67" s="204">
        <f t="shared" si="97"/>
        <v>266.93333333333334</v>
      </c>
      <c r="CH67" s="204">
        <f t="shared" si="97"/>
        <v>286</v>
      </c>
      <c r="CI67" s="204">
        <f t="shared" si="97"/>
        <v>305.06666666666666</v>
      </c>
      <c r="CJ67" s="204">
        <f t="shared" si="97"/>
        <v>324.13333333333333</v>
      </c>
      <c r="CK67" s="204">
        <f t="shared" si="97"/>
        <v>343.2</v>
      </c>
      <c r="CL67" s="204">
        <f t="shared" si="97"/>
        <v>362.26666666666665</v>
      </c>
      <c r="CM67" s="204">
        <f t="shared" si="97"/>
        <v>381.33333333333331</v>
      </c>
      <c r="CN67" s="204">
        <f t="shared" si="97"/>
        <v>400.4</v>
      </c>
      <c r="CO67" s="204">
        <f t="shared" si="97"/>
        <v>419.46666666666664</v>
      </c>
      <c r="CP67" s="204">
        <f t="shared" si="97"/>
        <v>407.55</v>
      </c>
      <c r="CQ67" s="204">
        <f t="shared" si="97"/>
        <v>364.65</v>
      </c>
      <c r="CR67" s="204">
        <f t="shared" si="97"/>
        <v>321.75</v>
      </c>
      <c r="CS67" s="204">
        <f t="shared" si="97"/>
        <v>278.85000000000002</v>
      </c>
      <c r="CT67" s="204">
        <f t="shared" si="97"/>
        <v>235.95000000000002</v>
      </c>
      <c r="CU67" s="204">
        <f t="shared" si="97"/>
        <v>193.05</v>
      </c>
      <c r="CV67" s="204">
        <f t="shared" si="97"/>
        <v>150.15000000000003</v>
      </c>
      <c r="CW67" s="204">
        <f t="shared" si="97"/>
        <v>107.25</v>
      </c>
      <c r="CX67" s="204">
        <f t="shared" si="97"/>
        <v>64.350000000000023</v>
      </c>
      <c r="CY67" s="204">
        <f t="shared" si="97"/>
        <v>21.449999999999989</v>
      </c>
      <c r="CZ67" s="204">
        <f t="shared" si="97"/>
        <v>414.76499999999999</v>
      </c>
      <c r="DA67" s="204">
        <f t="shared" si="97"/>
        <v>1244.2950000000001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0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4">
        <f t="shared" si="99"/>
        <v>0</v>
      </c>
      <c r="BT68" s="204">
        <f t="shared" si="99"/>
        <v>96</v>
      </c>
      <c r="BU68" s="204">
        <f t="shared" si="99"/>
        <v>192</v>
      </c>
      <c r="BV68" s="204">
        <f t="shared" si="99"/>
        <v>288</v>
      </c>
      <c r="BW68" s="204">
        <f t="shared" si="99"/>
        <v>384</v>
      </c>
      <c r="BX68" s="204">
        <f t="shared" si="99"/>
        <v>480</v>
      </c>
      <c r="BY68" s="204">
        <f t="shared" si="99"/>
        <v>576</v>
      </c>
      <c r="BZ68" s="204">
        <f t="shared" si="99"/>
        <v>672</v>
      </c>
      <c r="CA68" s="204">
        <f t="shared" si="99"/>
        <v>768</v>
      </c>
      <c r="CB68" s="204">
        <f t="shared" si="99"/>
        <v>864</v>
      </c>
      <c r="CC68" s="204">
        <f t="shared" si="99"/>
        <v>960</v>
      </c>
      <c r="CD68" s="204">
        <f t="shared" si="99"/>
        <v>1056</v>
      </c>
      <c r="CE68" s="204">
        <f t="shared" si="99"/>
        <v>1152</v>
      </c>
      <c r="CF68" s="204">
        <f t="shared" si="99"/>
        <v>1248</v>
      </c>
      <c r="CG68" s="204">
        <f t="shared" si="99"/>
        <v>1344</v>
      </c>
      <c r="CH68" s="204">
        <f t="shared" si="99"/>
        <v>1440</v>
      </c>
      <c r="CI68" s="204">
        <f t="shared" si="99"/>
        <v>1536</v>
      </c>
      <c r="CJ68" s="204">
        <f t="shared" si="99"/>
        <v>1632</v>
      </c>
      <c r="CK68" s="204">
        <f t="shared" si="99"/>
        <v>1728</v>
      </c>
      <c r="CL68" s="204">
        <f t="shared" si="99"/>
        <v>1824</v>
      </c>
      <c r="CM68" s="204">
        <f t="shared" si="99"/>
        <v>1920</v>
      </c>
      <c r="CN68" s="204">
        <f t="shared" si="99"/>
        <v>2016</v>
      </c>
      <c r="CO68" s="204">
        <f t="shared" si="99"/>
        <v>2112</v>
      </c>
      <c r="CP68" s="204">
        <f t="shared" si="99"/>
        <v>2052</v>
      </c>
      <c r="CQ68" s="204">
        <f t="shared" si="99"/>
        <v>1836</v>
      </c>
      <c r="CR68" s="204">
        <f t="shared" si="99"/>
        <v>1620</v>
      </c>
      <c r="CS68" s="204">
        <f t="shared" si="99"/>
        <v>1404</v>
      </c>
      <c r="CT68" s="204">
        <f t="shared" si="99"/>
        <v>1188</v>
      </c>
      <c r="CU68" s="204">
        <f t="shared" si="99"/>
        <v>972</v>
      </c>
      <c r="CV68" s="204">
        <f t="shared" si="99"/>
        <v>756</v>
      </c>
      <c r="CW68" s="204">
        <f t="shared" si="99"/>
        <v>540</v>
      </c>
      <c r="CX68" s="204">
        <f t="shared" si="99"/>
        <v>324</v>
      </c>
      <c r="CY68" s="204">
        <f t="shared" si="99"/>
        <v>108</v>
      </c>
      <c r="CZ68" s="204">
        <f t="shared" si="99"/>
        <v>3101.75</v>
      </c>
      <c r="DA68" s="204">
        <f t="shared" si="99"/>
        <v>9305.25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1006.8667886195384</v>
      </c>
      <c r="G69" s="204">
        <f t="shared" si="100"/>
        <v>1006.8667886195384</v>
      </c>
      <c r="H69" s="204">
        <f t="shared" si="100"/>
        <v>1006.8667886195384</v>
      </c>
      <c r="I69" s="204">
        <f t="shared" si="100"/>
        <v>1006.8667886195384</v>
      </c>
      <c r="J69" s="204">
        <f t="shared" si="100"/>
        <v>1006.8667886195384</v>
      </c>
      <c r="K69" s="204">
        <f t="shared" si="100"/>
        <v>1006.8667886195384</v>
      </c>
      <c r="L69" s="204">
        <f t="shared" si="88"/>
        <v>1006.8667886195384</v>
      </c>
      <c r="M69" s="204">
        <f t="shared" si="100"/>
        <v>1006.8667886195384</v>
      </c>
      <c r="N69" s="204">
        <f t="shared" si="100"/>
        <v>1006.8667886195384</v>
      </c>
      <c r="O69" s="204">
        <f t="shared" si="100"/>
        <v>1006.8667886195384</v>
      </c>
      <c r="P69" s="204">
        <f t="shared" si="100"/>
        <v>1006.8667886195384</v>
      </c>
      <c r="Q69" s="204">
        <f t="shared" si="100"/>
        <v>1006.8667886195384</v>
      </c>
      <c r="R69" s="204">
        <f t="shared" si="100"/>
        <v>1006.8667886195384</v>
      </c>
      <c r="S69" s="204">
        <f t="shared" si="100"/>
        <v>1006.8667886195384</v>
      </c>
      <c r="T69" s="204">
        <f t="shared" si="100"/>
        <v>1006.8667886195384</v>
      </c>
      <c r="U69" s="204">
        <f t="shared" si="100"/>
        <v>1006.8667886195384</v>
      </c>
      <c r="V69" s="204">
        <f t="shared" si="100"/>
        <v>1006.8667886195384</v>
      </c>
      <c r="W69" s="204">
        <f t="shared" si="100"/>
        <v>1006.8667886195384</v>
      </c>
      <c r="X69" s="204">
        <f t="shared" si="100"/>
        <v>1006.8667886195384</v>
      </c>
      <c r="Y69" s="204">
        <f t="shared" si="100"/>
        <v>1006.8667886195384</v>
      </c>
      <c r="Z69" s="204">
        <f t="shared" si="100"/>
        <v>1006.8667886195384</v>
      </c>
      <c r="AA69" s="204">
        <f t="shared" si="100"/>
        <v>1006.8667886195384</v>
      </c>
      <c r="AB69" s="204">
        <f t="shared" si="100"/>
        <v>1006.8667886195384</v>
      </c>
      <c r="AC69" s="204">
        <f t="shared" si="100"/>
        <v>1006.8667886195384</v>
      </c>
      <c r="AD69" s="204">
        <f t="shared" si="100"/>
        <v>1006.8667886195384</v>
      </c>
      <c r="AE69" s="204">
        <f t="shared" si="100"/>
        <v>1006.8667886195384</v>
      </c>
      <c r="AF69" s="204">
        <f t="shared" si="100"/>
        <v>1006.8667886195384</v>
      </c>
      <c r="AG69" s="204">
        <f t="shared" si="100"/>
        <v>1006.8667886195384</v>
      </c>
      <c r="AH69" s="204">
        <f t="shared" si="100"/>
        <v>1006.8667886195384</v>
      </c>
      <c r="AI69" s="204">
        <f t="shared" si="100"/>
        <v>1006.8667886195384</v>
      </c>
      <c r="AJ69" s="204">
        <f t="shared" si="100"/>
        <v>1006.8667886195384</v>
      </c>
      <c r="AK69" s="204">
        <f t="shared" si="100"/>
        <v>1006.8667886195384</v>
      </c>
      <c r="AL69" s="204">
        <f t="shared" si="100"/>
        <v>1006.8667886195384</v>
      </c>
      <c r="AM69" s="204">
        <f t="shared" si="100"/>
        <v>1006.8667886195384</v>
      </c>
      <c r="AN69" s="204">
        <f t="shared" si="100"/>
        <v>1006.8667886195384</v>
      </c>
      <c r="AO69" s="204">
        <f t="shared" si="100"/>
        <v>1006.8667886195384</v>
      </c>
      <c r="AP69" s="204">
        <f t="shared" si="100"/>
        <v>1006.8667886195384</v>
      </c>
      <c r="AQ69" s="204">
        <f t="shared" si="100"/>
        <v>1006.8667886195384</v>
      </c>
      <c r="AR69" s="204">
        <f t="shared" si="100"/>
        <v>1006.8667886195384</v>
      </c>
      <c r="AS69" s="204">
        <f t="shared" si="100"/>
        <v>1006.8667886195384</v>
      </c>
      <c r="AT69" s="204">
        <f t="shared" si="100"/>
        <v>1006.8667886195384</v>
      </c>
      <c r="AU69" s="204">
        <f t="shared" si="100"/>
        <v>1006.8667886195384</v>
      </c>
      <c r="AV69" s="204">
        <f t="shared" si="100"/>
        <v>1006.8667886195384</v>
      </c>
      <c r="AW69" s="204">
        <f t="shared" si="100"/>
        <v>1006.8667886195384</v>
      </c>
      <c r="AX69" s="204">
        <f t="shared" si="100"/>
        <v>1006.8667886195384</v>
      </c>
      <c r="AY69" s="204">
        <f t="shared" si="100"/>
        <v>1006.8667886195384</v>
      </c>
      <c r="AZ69" s="204">
        <f t="shared" si="100"/>
        <v>1006.8667886195384</v>
      </c>
      <c r="BA69" s="204">
        <f t="shared" si="100"/>
        <v>1006.8667886195384</v>
      </c>
      <c r="BB69" s="204">
        <f t="shared" si="100"/>
        <v>1006.8667886195384</v>
      </c>
      <c r="BC69" s="204">
        <f t="shared" si="100"/>
        <v>1006.8667886195384</v>
      </c>
      <c r="BD69" s="204">
        <f t="shared" si="100"/>
        <v>1006.8667886195384</v>
      </c>
      <c r="BE69" s="204">
        <f t="shared" si="100"/>
        <v>1006.8667886195384</v>
      </c>
      <c r="BF69" s="204">
        <f t="shared" si="100"/>
        <v>1006.8667886195384</v>
      </c>
      <c r="BG69" s="204">
        <f t="shared" si="100"/>
        <v>1006.8667886195384</v>
      </c>
      <c r="BH69" s="204">
        <f t="shared" si="100"/>
        <v>1006.8667886195384</v>
      </c>
      <c r="BI69" s="204">
        <f t="shared" si="100"/>
        <v>1006.8667886195384</v>
      </c>
      <c r="BJ69" s="204">
        <f t="shared" si="100"/>
        <v>1006.8667886195384</v>
      </c>
      <c r="BK69" s="204">
        <f t="shared" si="100"/>
        <v>1006.8667886195384</v>
      </c>
      <c r="BL69" s="204">
        <f t="shared" si="100"/>
        <v>1006.8667886195384</v>
      </c>
      <c r="BM69" s="204">
        <f t="shared" si="100"/>
        <v>1006.8667886195384</v>
      </c>
      <c r="BN69" s="204">
        <f t="shared" si="100"/>
        <v>1006.8667886195384</v>
      </c>
      <c r="BO69" s="204">
        <f t="shared" si="100"/>
        <v>1006.8667886195384</v>
      </c>
      <c r="BP69" s="204">
        <f t="shared" si="100"/>
        <v>1006.8667886195384</v>
      </c>
      <c r="BQ69" s="204">
        <f t="shared" si="100"/>
        <v>1006.8667886195384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1006.8667886195384</v>
      </c>
      <c r="BS69" s="204">
        <f t="shared" si="101"/>
        <v>1006.8667886195384</v>
      </c>
      <c r="BT69" s="204">
        <f t="shared" si="101"/>
        <v>1006.8667886195384</v>
      </c>
      <c r="BU69" s="204">
        <f t="shared" si="101"/>
        <v>1006.8667886195384</v>
      </c>
      <c r="BV69" s="204">
        <f t="shared" si="101"/>
        <v>1006.8667886195384</v>
      </c>
      <c r="BW69" s="204">
        <f t="shared" si="101"/>
        <v>1006.8667886195384</v>
      </c>
      <c r="BX69" s="204">
        <f t="shared" si="101"/>
        <v>1006.8667886195384</v>
      </c>
      <c r="BY69" s="204">
        <f t="shared" si="101"/>
        <v>1006.8667886195384</v>
      </c>
      <c r="BZ69" s="204">
        <f t="shared" si="101"/>
        <v>1006.8667886195384</v>
      </c>
      <c r="CA69" s="204">
        <f t="shared" si="101"/>
        <v>1006.8667886195384</v>
      </c>
      <c r="CB69" s="204">
        <f t="shared" si="101"/>
        <v>1006.8667886195384</v>
      </c>
      <c r="CC69" s="204">
        <f t="shared" si="101"/>
        <v>1006.8667886195384</v>
      </c>
      <c r="CD69" s="204">
        <f t="shared" si="101"/>
        <v>1006.8667886195384</v>
      </c>
      <c r="CE69" s="204">
        <f t="shared" si="101"/>
        <v>1006.8667886195384</v>
      </c>
      <c r="CF69" s="204">
        <f t="shared" si="101"/>
        <v>1006.8667886195384</v>
      </c>
      <c r="CG69" s="204">
        <f t="shared" si="101"/>
        <v>1006.8667886195384</v>
      </c>
      <c r="CH69" s="204">
        <f t="shared" si="101"/>
        <v>1006.8667886195384</v>
      </c>
      <c r="CI69" s="204">
        <f t="shared" si="101"/>
        <v>1006.8667886195384</v>
      </c>
      <c r="CJ69" s="204">
        <f t="shared" si="101"/>
        <v>1006.8667886195384</v>
      </c>
      <c r="CK69" s="204">
        <f t="shared" si="101"/>
        <v>1006.8667886195384</v>
      </c>
      <c r="CL69" s="204">
        <f t="shared" si="101"/>
        <v>1006.8667886195384</v>
      </c>
      <c r="CM69" s="204">
        <f t="shared" si="101"/>
        <v>1006.8667886195384</v>
      </c>
      <c r="CN69" s="204">
        <f t="shared" si="101"/>
        <v>1006.8667886195384</v>
      </c>
      <c r="CO69" s="204">
        <f t="shared" si="101"/>
        <v>1006.8667886195384</v>
      </c>
      <c r="CP69" s="204">
        <f t="shared" si="101"/>
        <v>1001.2730842383187</v>
      </c>
      <c r="CQ69" s="204">
        <f t="shared" si="101"/>
        <v>990.08567547587938</v>
      </c>
      <c r="CR69" s="204">
        <f t="shared" si="101"/>
        <v>978.89826671344008</v>
      </c>
      <c r="CS69" s="204">
        <f t="shared" si="101"/>
        <v>967.71085795100078</v>
      </c>
      <c r="CT69" s="204">
        <f t="shared" si="101"/>
        <v>956.52344918856147</v>
      </c>
      <c r="CU69" s="204">
        <f t="shared" si="101"/>
        <v>945.33604042612217</v>
      </c>
      <c r="CV69" s="204">
        <f t="shared" si="101"/>
        <v>934.14863166368286</v>
      </c>
      <c r="CW69" s="204">
        <f t="shared" si="101"/>
        <v>922.96122290124356</v>
      </c>
      <c r="CX69" s="204">
        <f t="shared" si="101"/>
        <v>911.77381413880425</v>
      </c>
      <c r="CY69" s="204">
        <f t="shared" si="101"/>
        <v>900.58640537636495</v>
      </c>
      <c r="CZ69" s="204">
        <f t="shared" si="101"/>
        <v>902.35770099514525</v>
      </c>
      <c r="DA69" s="204">
        <f t="shared" si="101"/>
        <v>917.08770099514527</v>
      </c>
    </row>
    <row r="70" spans="1:105" s="204" customFormat="1">
      <c r="A70" s="204" t="str">
        <f>Income!A85</f>
        <v>Cash transfer - official</v>
      </c>
      <c r="F70" s="204">
        <f t="shared" si="100"/>
        <v>22020</v>
      </c>
      <c r="G70" s="204">
        <f t="shared" si="100"/>
        <v>22020</v>
      </c>
      <c r="H70" s="204">
        <f t="shared" si="100"/>
        <v>22020</v>
      </c>
      <c r="I70" s="204">
        <f t="shared" si="100"/>
        <v>22020</v>
      </c>
      <c r="J70" s="204">
        <f t="shared" si="100"/>
        <v>22020</v>
      </c>
      <c r="K70" s="204">
        <f t="shared" si="100"/>
        <v>22020</v>
      </c>
      <c r="L70" s="204">
        <f t="shared" si="100"/>
        <v>22020</v>
      </c>
      <c r="M70" s="204">
        <f t="shared" si="100"/>
        <v>22020</v>
      </c>
      <c r="N70" s="204">
        <f t="shared" si="100"/>
        <v>22020</v>
      </c>
      <c r="O70" s="204">
        <f t="shared" si="100"/>
        <v>22020</v>
      </c>
      <c r="P70" s="204">
        <f t="shared" si="100"/>
        <v>22020</v>
      </c>
      <c r="Q70" s="204">
        <f t="shared" si="100"/>
        <v>22020</v>
      </c>
      <c r="R70" s="204">
        <f t="shared" si="100"/>
        <v>22020</v>
      </c>
      <c r="S70" s="204">
        <f t="shared" si="100"/>
        <v>22020</v>
      </c>
      <c r="T70" s="204">
        <f t="shared" si="100"/>
        <v>22020</v>
      </c>
      <c r="U70" s="204">
        <f t="shared" si="100"/>
        <v>22020</v>
      </c>
      <c r="V70" s="204">
        <f t="shared" si="100"/>
        <v>22020</v>
      </c>
      <c r="W70" s="204">
        <f t="shared" si="100"/>
        <v>22020</v>
      </c>
      <c r="X70" s="204">
        <f t="shared" si="100"/>
        <v>22020</v>
      </c>
      <c r="Y70" s="204">
        <f t="shared" si="100"/>
        <v>22020</v>
      </c>
      <c r="Z70" s="204">
        <f t="shared" si="100"/>
        <v>22020</v>
      </c>
      <c r="AA70" s="204">
        <f t="shared" si="100"/>
        <v>22020</v>
      </c>
      <c r="AB70" s="204">
        <f t="shared" si="100"/>
        <v>22020</v>
      </c>
      <c r="AC70" s="204">
        <f t="shared" si="100"/>
        <v>22020</v>
      </c>
      <c r="AD70" s="204">
        <f t="shared" si="100"/>
        <v>22020</v>
      </c>
      <c r="AE70" s="204">
        <f t="shared" si="100"/>
        <v>22020</v>
      </c>
      <c r="AF70" s="204">
        <f t="shared" si="100"/>
        <v>22020</v>
      </c>
      <c r="AG70" s="204">
        <f t="shared" si="100"/>
        <v>22020</v>
      </c>
      <c r="AH70" s="204">
        <f t="shared" si="100"/>
        <v>22020</v>
      </c>
      <c r="AI70" s="204">
        <f t="shared" si="100"/>
        <v>22020</v>
      </c>
      <c r="AJ70" s="204">
        <f t="shared" si="100"/>
        <v>22020</v>
      </c>
      <c r="AK70" s="204">
        <f t="shared" si="100"/>
        <v>22020</v>
      </c>
      <c r="AL70" s="204">
        <f t="shared" si="100"/>
        <v>22020</v>
      </c>
      <c r="AM70" s="204">
        <f t="shared" si="100"/>
        <v>22020</v>
      </c>
      <c r="AN70" s="204">
        <f t="shared" si="100"/>
        <v>22020</v>
      </c>
      <c r="AO70" s="204">
        <f t="shared" si="100"/>
        <v>22020</v>
      </c>
      <c r="AP70" s="204">
        <f t="shared" si="100"/>
        <v>22020</v>
      </c>
      <c r="AQ70" s="204">
        <f t="shared" si="100"/>
        <v>22020</v>
      </c>
      <c r="AR70" s="204">
        <f t="shared" si="100"/>
        <v>22020</v>
      </c>
      <c r="AS70" s="204">
        <f t="shared" si="100"/>
        <v>22020</v>
      </c>
      <c r="AT70" s="204">
        <f t="shared" si="100"/>
        <v>22020</v>
      </c>
      <c r="AU70" s="204">
        <f t="shared" si="100"/>
        <v>22020</v>
      </c>
      <c r="AV70" s="204">
        <f t="shared" si="100"/>
        <v>22020</v>
      </c>
      <c r="AW70" s="204">
        <f t="shared" si="100"/>
        <v>22020</v>
      </c>
      <c r="AX70" s="204">
        <f t="shared" si="100"/>
        <v>22020</v>
      </c>
      <c r="AY70" s="204">
        <f t="shared" si="100"/>
        <v>22020</v>
      </c>
      <c r="AZ70" s="204">
        <f t="shared" si="100"/>
        <v>22020</v>
      </c>
      <c r="BA70" s="204">
        <f t="shared" si="100"/>
        <v>22020</v>
      </c>
      <c r="BB70" s="204">
        <f t="shared" si="100"/>
        <v>22020</v>
      </c>
      <c r="BC70" s="204">
        <f t="shared" si="100"/>
        <v>22020</v>
      </c>
      <c r="BD70" s="204">
        <f t="shared" si="100"/>
        <v>22020</v>
      </c>
      <c r="BE70" s="204">
        <f t="shared" si="100"/>
        <v>22020</v>
      </c>
      <c r="BF70" s="204">
        <f t="shared" si="100"/>
        <v>22020</v>
      </c>
      <c r="BG70" s="204">
        <f t="shared" si="100"/>
        <v>22020</v>
      </c>
      <c r="BH70" s="204">
        <f t="shared" si="100"/>
        <v>22020</v>
      </c>
      <c r="BI70" s="204">
        <f t="shared" si="100"/>
        <v>22020</v>
      </c>
      <c r="BJ70" s="204">
        <f t="shared" si="100"/>
        <v>22020</v>
      </c>
      <c r="BK70" s="204">
        <f t="shared" si="100"/>
        <v>22020</v>
      </c>
      <c r="BL70" s="204">
        <f t="shared" si="100"/>
        <v>22020</v>
      </c>
      <c r="BM70" s="204">
        <f t="shared" si="100"/>
        <v>22020</v>
      </c>
      <c r="BN70" s="204">
        <f t="shared" si="100"/>
        <v>22020</v>
      </c>
      <c r="BO70" s="204">
        <f t="shared" si="100"/>
        <v>22020</v>
      </c>
      <c r="BP70" s="204">
        <f t="shared" si="100"/>
        <v>22020</v>
      </c>
      <c r="BQ70" s="204">
        <f t="shared" si="100"/>
        <v>22020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22020</v>
      </c>
      <c r="BS70" s="204">
        <f t="shared" si="102"/>
        <v>22020</v>
      </c>
      <c r="BT70" s="204">
        <f t="shared" si="102"/>
        <v>22020</v>
      </c>
      <c r="BU70" s="204">
        <f t="shared" si="102"/>
        <v>22020</v>
      </c>
      <c r="BV70" s="204">
        <f t="shared" si="102"/>
        <v>22020</v>
      </c>
      <c r="BW70" s="204">
        <f t="shared" si="102"/>
        <v>22020</v>
      </c>
      <c r="BX70" s="204">
        <f t="shared" si="102"/>
        <v>22020</v>
      </c>
      <c r="BY70" s="204">
        <f t="shared" si="102"/>
        <v>22020</v>
      </c>
      <c r="BZ70" s="204">
        <f t="shared" si="102"/>
        <v>22020</v>
      </c>
      <c r="CA70" s="204">
        <f t="shared" si="102"/>
        <v>22020</v>
      </c>
      <c r="CB70" s="204">
        <f t="shared" si="102"/>
        <v>22020</v>
      </c>
      <c r="CC70" s="204">
        <f t="shared" si="102"/>
        <v>22020</v>
      </c>
      <c r="CD70" s="204">
        <f t="shared" si="102"/>
        <v>22020</v>
      </c>
      <c r="CE70" s="204">
        <f t="shared" si="102"/>
        <v>22020</v>
      </c>
      <c r="CF70" s="204">
        <f t="shared" si="102"/>
        <v>22020</v>
      </c>
      <c r="CG70" s="204">
        <f t="shared" si="102"/>
        <v>22020</v>
      </c>
      <c r="CH70" s="204">
        <f t="shared" si="102"/>
        <v>22020</v>
      </c>
      <c r="CI70" s="204">
        <f t="shared" si="102"/>
        <v>22020</v>
      </c>
      <c r="CJ70" s="204">
        <f t="shared" si="102"/>
        <v>22020</v>
      </c>
      <c r="CK70" s="204">
        <f t="shared" si="102"/>
        <v>22020</v>
      </c>
      <c r="CL70" s="204">
        <f t="shared" si="102"/>
        <v>22020</v>
      </c>
      <c r="CM70" s="204">
        <f t="shared" si="102"/>
        <v>22020</v>
      </c>
      <c r="CN70" s="204">
        <f t="shared" si="102"/>
        <v>22020</v>
      </c>
      <c r="CO70" s="204">
        <f t="shared" si="102"/>
        <v>22020</v>
      </c>
      <c r="CP70" s="204">
        <f t="shared" si="102"/>
        <v>21192.866666666665</v>
      </c>
      <c r="CQ70" s="204">
        <f t="shared" si="102"/>
        <v>19538.599999999999</v>
      </c>
      <c r="CR70" s="204">
        <f t="shared" si="102"/>
        <v>17884.333333333332</v>
      </c>
      <c r="CS70" s="204">
        <f t="shared" si="102"/>
        <v>16230.066666666666</v>
      </c>
      <c r="CT70" s="204">
        <f t="shared" si="102"/>
        <v>14575.8</v>
      </c>
      <c r="CU70" s="204">
        <f t="shared" si="102"/>
        <v>12921.533333333333</v>
      </c>
      <c r="CV70" s="204">
        <f t="shared" si="102"/>
        <v>11267.266666666665</v>
      </c>
      <c r="CW70" s="204">
        <f t="shared" si="102"/>
        <v>9612.9999999999982</v>
      </c>
      <c r="CX70" s="204">
        <f t="shared" si="102"/>
        <v>7958.7333333333318</v>
      </c>
      <c r="CY70" s="204">
        <f t="shared" si="102"/>
        <v>6304.4666666666653</v>
      </c>
      <c r="CZ70" s="204">
        <f t="shared" si="102"/>
        <v>4913.4183333333331</v>
      </c>
      <c r="DA70" s="204">
        <f t="shared" si="102"/>
        <v>3785.5883333333331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148.16499999999999</v>
      </c>
      <c r="DA71" s="204">
        <f t="shared" si="104"/>
        <v>444.495</v>
      </c>
    </row>
    <row r="72" spans="1:105" s="204" customFormat="1">
      <c r="A72" s="204" t="str">
        <f>Income!A88</f>
        <v>TOTAL</v>
      </c>
      <c r="F72" s="204">
        <f>SUM(F59:F71)</f>
        <v>25886.481970899989</v>
      </c>
      <c r="G72" s="204">
        <f t="shared" ref="G72:BR72" si="105">SUM(G59:G71)</f>
        <v>25886.481970899989</v>
      </c>
      <c r="H72" s="204">
        <f t="shared" si="105"/>
        <v>25886.481970899989</v>
      </c>
      <c r="I72" s="204">
        <f t="shared" si="105"/>
        <v>25886.481970899989</v>
      </c>
      <c r="J72" s="204">
        <f t="shared" si="105"/>
        <v>25886.481970899989</v>
      </c>
      <c r="K72" s="204">
        <f t="shared" si="105"/>
        <v>25886.481970899989</v>
      </c>
      <c r="L72" s="204">
        <f t="shared" si="105"/>
        <v>25886.481970899989</v>
      </c>
      <c r="M72" s="204">
        <f t="shared" si="105"/>
        <v>25886.481970899989</v>
      </c>
      <c r="N72" s="204">
        <f t="shared" si="105"/>
        <v>25886.481970899989</v>
      </c>
      <c r="O72" s="204">
        <f t="shared" si="105"/>
        <v>25886.481970899989</v>
      </c>
      <c r="P72" s="204">
        <f t="shared" si="105"/>
        <v>25886.481970899989</v>
      </c>
      <c r="Q72" s="204">
        <f t="shared" si="105"/>
        <v>25886.481970899989</v>
      </c>
      <c r="R72" s="204">
        <f t="shared" si="105"/>
        <v>25886.481970899989</v>
      </c>
      <c r="S72" s="204">
        <f t="shared" si="105"/>
        <v>25886.481970899989</v>
      </c>
      <c r="T72" s="204">
        <f t="shared" si="105"/>
        <v>25886.481970899989</v>
      </c>
      <c r="U72" s="204">
        <f t="shared" si="105"/>
        <v>25886.481970899989</v>
      </c>
      <c r="V72" s="204">
        <f t="shared" si="105"/>
        <v>25886.481970899989</v>
      </c>
      <c r="W72" s="204">
        <f t="shared" si="105"/>
        <v>25886.481970899989</v>
      </c>
      <c r="X72" s="204">
        <f t="shared" si="105"/>
        <v>25886.481970899989</v>
      </c>
      <c r="Y72" s="204">
        <f t="shared" si="105"/>
        <v>25886.481970899989</v>
      </c>
      <c r="Z72" s="204">
        <f t="shared" si="105"/>
        <v>25886.481970899989</v>
      </c>
      <c r="AA72" s="204">
        <f t="shared" si="105"/>
        <v>25886.481970899989</v>
      </c>
      <c r="AB72" s="204">
        <f t="shared" si="105"/>
        <v>25886.481970899989</v>
      </c>
      <c r="AC72" s="204">
        <f t="shared" si="105"/>
        <v>25886.481970899989</v>
      </c>
      <c r="AD72" s="204">
        <f t="shared" si="105"/>
        <v>25886.481970899989</v>
      </c>
      <c r="AE72" s="204">
        <f t="shared" si="105"/>
        <v>25886.481970899989</v>
      </c>
      <c r="AF72" s="204">
        <f t="shared" si="105"/>
        <v>25973.358902070246</v>
      </c>
      <c r="AG72" s="204">
        <f t="shared" si="105"/>
        <v>26060.235833240502</v>
      </c>
      <c r="AH72" s="204">
        <f t="shared" si="105"/>
        <v>26147.112764410758</v>
      </c>
      <c r="AI72" s="204">
        <f t="shared" si="105"/>
        <v>26233.989695581015</v>
      </c>
      <c r="AJ72" s="204">
        <f t="shared" si="105"/>
        <v>26320.866626751271</v>
      </c>
      <c r="AK72" s="204">
        <f t="shared" si="105"/>
        <v>26407.743557921527</v>
      </c>
      <c r="AL72" s="204">
        <f t="shared" si="105"/>
        <v>26494.620489091783</v>
      </c>
      <c r="AM72" s="204">
        <f t="shared" si="105"/>
        <v>26581.49742026204</v>
      </c>
      <c r="AN72" s="204">
        <f t="shared" si="105"/>
        <v>26668.374351432296</v>
      </c>
      <c r="AO72" s="204">
        <f t="shared" si="105"/>
        <v>26755.251282602552</v>
      </c>
      <c r="AP72" s="204">
        <f t="shared" si="105"/>
        <v>26842.128213772809</v>
      </c>
      <c r="AQ72" s="204">
        <f t="shared" si="105"/>
        <v>26929.005144943065</v>
      </c>
      <c r="AR72" s="204">
        <f t="shared" si="105"/>
        <v>27015.882076113317</v>
      </c>
      <c r="AS72" s="204">
        <f t="shared" si="105"/>
        <v>27102.759007283574</v>
      </c>
      <c r="AT72" s="204">
        <f t="shared" si="105"/>
        <v>27189.63593845383</v>
      </c>
      <c r="AU72" s="204">
        <f t="shared" si="105"/>
        <v>27276.512869624086</v>
      </c>
      <c r="AV72" s="204">
        <f t="shared" si="105"/>
        <v>27363.389800794343</v>
      </c>
      <c r="AW72" s="204">
        <f t="shared" si="105"/>
        <v>27450.266731964599</v>
      </c>
      <c r="AX72" s="204">
        <f t="shared" si="105"/>
        <v>27537.143663134855</v>
      </c>
      <c r="AY72" s="204">
        <f t="shared" si="105"/>
        <v>27624.020594305111</v>
      </c>
      <c r="AZ72" s="204">
        <f t="shared" si="105"/>
        <v>27710.897525475368</v>
      </c>
      <c r="BA72" s="204">
        <f t="shared" si="105"/>
        <v>27797.774456645624</v>
      </c>
      <c r="BB72" s="204">
        <f t="shared" si="105"/>
        <v>27884.65138781588</v>
      </c>
      <c r="BC72" s="204">
        <f t="shared" si="105"/>
        <v>27971.528318986137</v>
      </c>
      <c r="BD72" s="204">
        <f t="shared" si="105"/>
        <v>28058.405250156393</v>
      </c>
      <c r="BE72" s="204">
        <f t="shared" si="105"/>
        <v>28145.282181326649</v>
      </c>
      <c r="BF72" s="204">
        <f t="shared" si="105"/>
        <v>28232.159112496905</v>
      </c>
      <c r="BG72" s="204">
        <f t="shared" si="105"/>
        <v>28319.036043667162</v>
      </c>
      <c r="BH72" s="204">
        <f t="shared" si="105"/>
        <v>28405.912974837418</v>
      </c>
      <c r="BI72" s="204">
        <f t="shared" si="105"/>
        <v>28492.789906007674</v>
      </c>
      <c r="BJ72" s="204">
        <f t="shared" si="105"/>
        <v>28579.666837177931</v>
      </c>
      <c r="BK72" s="204">
        <f t="shared" si="105"/>
        <v>28666.543768348187</v>
      </c>
      <c r="BL72" s="204">
        <f t="shared" si="105"/>
        <v>28753.420699518443</v>
      </c>
      <c r="BM72" s="204">
        <f t="shared" si="105"/>
        <v>28840.297630688699</v>
      </c>
      <c r="BN72" s="204">
        <f t="shared" si="105"/>
        <v>28927.174561858956</v>
      </c>
      <c r="BO72" s="204">
        <f t="shared" si="105"/>
        <v>29014.051493029212</v>
      </c>
      <c r="BP72" s="204">
        <f t="shared" si="105"/>
        <v>29100.928424199468</v>
      </c>
      <c r="BQ72" s="204">
        <f t="shared" si="105"/>
        <v>29187.805355369725</v>
      </c>
      <c r="BR72" s="204">
        <f t="shared" si="105"/>
        <v>29274.682286539981</v>
      </c>
      <c r="BS72" s="204">
        <f t="shared" ref="BS72:DA72" si="106">SUM(BS59:BS71)</f>
        <v>29361.559217710233</v>
      </c>
      <c r="BT72" s="204">
        <f t="shared" si="106"/>
        <v>29750.295253300064</v>
      </c>
      <c r="BU72" s="204">
        <f t="shared" si="106"/>
        <v>30139.031288889899</v>
      </c>
      <c r="BV72" s="204">
        <f t="shared" si="106"/>
        <v>30527.76732447973</v>
      </c>
      <c r="BW72" s="204">
        <f t="shared" si="106"/>
        <v>30916.503360069561</v>
      </c>
      <c r="BX72" s="204">
        <f t="shared" si="106"/>
        <v>31305.239395659395</v>
      </c>
      <c r="BY72" s="204">
        <f t="shared" si="106"/>
        <v>31693.975431249222</v>
      </c>
      <c r="BZ72" s="204">
        <f t="shared" si="106"/>
        <v>32082.711466839057</v>
      </c>
      <c r="CA72" s="204">
        <f t="shared" si="106"/>
        <v>32471.447502428884</v>
      </c>
      <c r="CB72" s="204">
        <f t="shared" si="106"/>
        <v>32860.183538018719</v>
      </c>
      <c r="CC72" s="204">
        <f t="shared" si="106"/>
        <v>33248.919573608553</v>
      </c>
      <c r="CD72" s="204">
        <f t="shared" si="106"/>
        <v>33637.65560919838</v>
      </c>
      <c r="CE72" s="204">
        <f t="shared" si="106"/>
        <v>34026.391644788215</v>
      </c>
      <c r="CF72" s="204">
        <f t="shared" si="106"/>
        <v>34415.127680378042</v>
      </c>
      <c r="CG72" s="204">
        <f t="shared" si="106"/>
        <v>34803.863715967876</v>
      </c>
      <c r="CH72" s="204">
        <f t="shared" si="106"/>
        <v>35192.599751557704</v>
      </c>
      <c r="CI72" s="204">
        <f t="shared" si="106"/>
        <v>35581.335787147538</v>
      </c>
      <c r="CJ72" s="204">
        <f t="shared" si="106"/>
        <v>35970.071822737373</v>
      </c>
      <c r="CK72" s="204">
        <f t="shared" si="106"/>
        <v>36358.8078583272</v>
      </c>
      <c r="CL72" s="204">
        <f t="shared" si="106"/>
        <v>36747.543893917034</v>
      </c>
      <c r="CM72" s="204">
        <f t="shared" si="106"/>
        <v>37136.279929506869</v>
      </c>
      <c r="CN72" s="204">
        <f t="shared" si="106"/>
        <v>37525.015965096696</v>
      </c>
      <c r="CO72" s="204">
        <f t="shared" si="106"/>
        <v>37913.752000686531</v>
      </c>
      <c r="CP72" s="204">
        <f t="shared" si="106"/>
        <v>39092.550264788486</v>
      </c>
      <c r="CQ72" s="204">
        <f t="shared" si="106"/>
        <v>41061.410757402598</v>
      </c>
      <c r="CR72" s="204">
        <f t="shared" si="106"/>
        <v>43030.271250016704</v>
      </c>
      <c r="CS72" s="204">
        <f t="shared" si="106"/>
        <v>44999.131742630801</v>
      </c>
      <c r="CT72" s="204">
        <f t="shared" si="106"/>
        <v>46967.992235244907</v>
      </c>
      <c r="CU72" s="204">
        <f t="shared" si="106"/>
        <v>48936.852727859019</v>
      </c>
      <c r="CV72" s="204">
        <f t="shared" si="106"/>
        <v>50905.713220473117</v>
      </c>
      <c r="CW72" s="204">
        <f t="shared" si="106"/>
        <v>52874.573713087215</v>
      </c>
      <c r="CX72" s="204">
        <f t="shared" si="106"/>
        <v>54843.43420570132</v>
      </c>
      <c r="CY72" s="204">
        <f t="shared" si="106"/>
        <v>56812.294698315418</v>
      </c>
      <c r="CZ72" s="204">
        <f t="shared" si="106"/>
        <v>62686.625444622478</v>
      </c>
      <c r="DA72" s="204">
        <f t="shared" si="106"/>
        <v>72466.42644462247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50</v>
      </c>
      <c r="D107" s="214">
        <f>C23</f>
        <v>80</v>
      </c>
      <c r="E107" s="214">
        <f>D23</f>
        <v>95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51.500955184546385</v>
      </c>
      <c r="E108" s="212">
        <f>CR42</f>
        <v>4.6563904484864906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340.26</v>
      </c>
      <c r="D109" s="212">
        <f t="shared" ref="D109:D120" si="108">BU43</f>
        <v>123.77777777777777</v>
      </c>
      <c r="E109" s="212">
        <f t="shared" ref="E109:E120" si="109">CR43</f>
        <v>151.14444444444433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9.3818182835969743</v>
      </c>
      <c r="E110" s="212">
        <f t="shared" si="109"/>
        <v>80.713085375757984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23289.972236861242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0.57323561785462795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133.33333333333334</v>
      </c>
      <c r="E112" s="212">
        <f t="shared" si="109"/>
        <v>632.22222222222229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9.9006477745203938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-44.324515656089645</v>
      </c>
      <c r="E114" s="212">
        <f t="shared" si="109"/>
        <v>-75.2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3089.7777777777778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19.066666666666666</v>
      </c>
      <c r="E116" s="212">
        <f t="shared" si="109"/>
        <v>-42.9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96</v>
      </c>
      <c r="E117" s="212">
        <f t="shared" si="109"/>
        <v>-216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-11.187408762439315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0</v>
      </c>
      <c r="E119" s="212">
        <f t="shared" si="109"/>
        <v>-1654.2666666666669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2016-05-10T11:35:58Z</dcterms:modified>
  <cp:category/>
</cp:coreProperties>
</file>