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<sst xmlns="http://schemas.openxmlformats.org/spreadsheetml/2006/main" count="790" uniqueCount="145">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</sst>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0.00210180572851806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37720"/>
        <c:axId val="-2100034424"/>
      </c:barChart>
      <c:catAx>
        <c:axId val="-21000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3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3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3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459464"/>
        <c:axId val="-2060015576"/>
      </c:barChart>
      <c:catAx>
        <c:axId val="-206145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01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01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5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437144"/>
        <c:axId val="-2144439144"/>
      </c:barChart>
      <c:catAx>
        <c:axId val="-214443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43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3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43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85384"/>
        <c:axId val="-2144594312"/>
      </c:barChart>
      <c:catAx>
        <c:axId val="-214458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8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 without Grants</a:t>
            </a:r>
          </a:p>
        </c:rich>
      </c:tx>
      <c:layout>
        <c:manualLayout>
          <c:xMode val="edge"/>
          <c:yMode val="edge"/>
          <c:x val="0.321899147321611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1237.565914180531</c:v>
                </c:pt>
                <c:pt idx="6">
                  <c:v>1968.345318731857</c:v>
                </c:pt>
                <c:pt idx="7">
                  <c:v>2139.473762906505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247.1075141705089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745784"/>
        <c:axId val="-2144751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45784"/>
        <c:axId val="-2144751176"/>
      </c:lineChart>
      <c:catAx>
        <c:axId val="-214474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51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75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4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94392"/>
        <c:axId val="-21448910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94392"/>
        <c:axId val="-2144891064"/>
      </c:lineChart>
      <c:catAx>
        <c:axId val="-214489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89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89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89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031000"/>
        <c:axId val="-2145039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31000"/>
        <c:axId val="-2145039544"/>
      </c:lineChart>
      <c:catAx>
        <c:axId val="-2145031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03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03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03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0.0467841814837523</c:v>
                </c:pt>
                <c:pt idx="2">
                  <c:v>0.0389329654608625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-1.412348751119158</c:v>
                </c:pt>
                <c:pt idx="2">
                  <c:v>-1.412348751119158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102920"/>
        <c:axId val="-2145099576"/>
      </c:barChart>
      <c:catAx>
        <c:axId val="-214510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09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09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1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0.231801584767654</c:v>
                </c:pt>
                <c:pt idx="2">
                  <c:v>0.248411459089194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-0.782140515953043</c:v>
                </c:pt>
                <c:pt idx="2">
                  <c:v>-0.782140515953043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167208"/>
        <c:axId val="-2145163848"/>
      </c:barChart>
      <c:catAx>
        <c:axId val="-21451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16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16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16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-0.253003993506253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088760"/>
        <c:axId val="2105081672"/>
      </c:barChart>
      <c:catAx>
        <c:axId val="210508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08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08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08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209928"/>
        <c:axId val="-2145206584"/>
      </c:barChart>
      <c:catAx>
        <c:axId val="-21452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20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20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2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0.00962920298879203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93048"/>
        <c:axId val="-2057005688"/>
      </c:barChart>
      <c:catAx>
        <c:axId val="209229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00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00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29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254552"/>
        <c:axId val="20862500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54552"/>
        <c:axId val="20862500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54552"/>
        <c:axId val="2086250056"/>
      </c:scatterChart>
      <c:catAx>
        <c:axId val="2086254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250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250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254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313656"/>
        <c:axId val="-21453345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13656"/>
        <c:axId val="-2145334584"/>
      </c:lineChart>
      <c:catAx>
        <c:axId val="-2145313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334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334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313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07448"/>
        <c:axId val="2086202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99736"/>
        <c:axId val="2086196184"/>
      </c:scatterChart>
      <c:valAx>
        <c:axId val="20862074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202840"/>
        <c:crosses val="autoZero"/>
        <c:crossBetween val="midCat"/>
      </c:valAx>
      <c:valAx>
        <c:axId val="208620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207448"/>
        <c:crosses val="autoZero"/>
        <c:crossBetween val="midCat"/>
      </c:valAx>
      <c:valAx>
        <c:axId val="20861997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6196184"/>
        <c:crosses val="autoZero"/>
        <c:crossBetween val="midCat"/>
      </c:valAx>
      <c:valAx>
        <c:axId val="20861961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1997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18760"/>
        <c:axId val="20859988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18760"/>
        <c:axId val="2085998888"/>
      </c:lineChart>
      <c:catAx>
        <c:axId val="208601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998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998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0187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0.0045303840694499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0.0177072331491551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0.0793312312717602</c:v>
                </c:pt>
                <c:pt idx="2" formatCode="0.0%">
                  <c:v>0.388433591327027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559320"/>
        <c:axId val="2134175560"/>
      </c:barChart>
      <c:catAx>
        <c:axId val="203755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1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55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868728"/>
        <c:axId val="-2143872808"/>
      </c:barChart>
      <c:catAx>
        <c:axId val="-214386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87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87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86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-0.111208794572132</c:v>
                </c:pt>
                <c:pt idx="1">
                  <c:v>-0.0805144149266024</c:v>
                </c:pt>
                <c:pt idx="2">
                  <c:v>-0.141338747526453</c:v>
                </c:pt>
                <c:pt idx="3">
                  <c:v>0.156641365304631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970904"/>
        <c:axId val="-2143976200"/>
      </c:barChart>
      <c:catAx>
        <c:axId val="-2143970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97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397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97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89512"/>
        <c:axId val="-2144094584"/>
      </c:barChart>
      <c:catAx>
        <c:axId val="-214408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094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09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08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0.087788891725601</c:v>
                </c:pt>
                <c:pt idx="1">
                  <c:v>-0.268215304836954</c:v>
                </c:pt>
                <c:pt idx="2">
                  <c:v>-0.268215304836954</c:v>
                </c:pt>
                <c:pt idx="3">
                  <c:v>-0.153234665080875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68648"/>
        <c:axId val="2086629992"/>
      </c:barChart>
      <c:catAx>
        <c:axId val="208636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29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662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36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22200"/>
        <c:axId val="2086609848"/>
      </c:barChart>
      <c:catAx>
        <c:axId val="2086622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09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660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2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450248"/>
        <c:axId val="2086453272"/>
      </c:barChart>
      <c:catAx>
        <c:axId val="208645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4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4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45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2728.8115289996695</v>
      </c>
      <c r="T23" s="179">
        <f>SUM(T7:T22)</f>
        <v>2763.6006430430243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27102.297493148893</v>
      </c>
      <c r="T30" s="234">
        <f t="shared" si="24"/>
        <v>27067.50837910554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0.57732909876007255</v>
      </c>
      <c r="K31" s="22" t="str">
        <f t="shared" si="4"/>
        <v/>
      </c>
      <c r="L31" s="22">
        <f>(1-SUM(L6:L30))</f>
        <v>0.59001889885399994</v>
      </c>
      <c r="M31" s="241">
        <f t="shared" si="6"/>
        <v>0.57732909876007255</v>
      </c>
      <c r="N31" s="167">
        <f>M31*I83</f>
        <v>8056.7278496420086</v>
      </c>
      <c r="P31" s="22"/>
      <c r="Q31" s="238" t="s">
        <v>142</v>
      </c>
      <c r="R31" s="234">
        <f t="shared" si="24"/>
        <v>7977.3159711895714</v>
      </c>
      <c r="S31" s="234">
        <f t="shared" si="24"/>
        <v>43597.124159815561</v>
      </c>
      <c r="T31" s="234">
        <f>IF(T25&gt;T$23,T25-T$23,0)</f>
        <v>43562.335045772212</v>
      </c>
      <c r="V31" s="56"/>
      <c r="W31" s="129" t="s">
        <v>84</v>
      </c>
      <c r="X31" s="130"/>
      <c r="Y31" s="121">
        <f>M31*4</f>
        <v>2.3093163950402902</v>
      </c>
      <c r="Z31" s="131"/>
      <c r="AA31" s="132">
        <f>1-AA32+IF($Y32&lt;0,$Y32/4,0)</f>
        <v>0.45935491585222699</v>
      </c>
      <c r="AB31" s="131"/>
      <c r="AC31" s="133">
        <f>1-AC32+IF($Y32&lt;0,$Y32/4,0)</f>
        <v>0.6544007253167351</v>
      </c>
      <c r="AD31" s="134"/>
      <c r="AE31" s="133">
        <f>1-AE32+IF($Y32&lt;0,$Y32/4,0)</f>
        <v>0.62891360491822945</v>
      </c>
      <c r="AF31" s="134"/>
      <c r="AG31" s="133">
        <f>1-AG32+IF($Y32&lt;0,$Y32/4,0)</f>
        <v>0.63905546215359688</v>
      </c>
      <c r="AH31" s="123"/>
      <c r="AI31" s="182">
        <f>SUM(AA31,AC31,AE31,AG31)/4</f>
        <v>0.59543117706019721</v>
      </c>
      <c r="AJ31" s="135">
        <f t="shared" si="14"/>
        <v>0.5568778205844811</v>
      </c>
      <c r="AK31" s="136">
        <f t="shared" si="15"/>
        <v>0.63398453353591311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0.42267090123992745</v>
      </c>
      <c r="J32" s="17"/>
      <c r="L32" s="22">
        <f>SUM(L6:L30)</f>
        <v>0.40998110114600006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76335.044159815559</v>
      </c>
      <c r="T32" s="234">
        <f t="shared" si="24"/>
        <v>76300.255045772195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0.54064508414777301</v>
      </c>
      <c r="AB32" s="137"/>
      <c r="AC32" s="139">
        <f>SUM(AC6:AC30)</f>
        <v>0.3455992746832649</v>
      </c>
      <c r="AD32" s="137"/>
      <c r="AE32" s="139">
        <f>SUM(AE6:AE30)</f>
        <v>0.37108639508177055</v>
      </c>
      <c r="AF32" s="137"/>
      <c r="AG32" s="139">
        <f>SUM(AG6:AG30)</f>
        <v>0.36094453784640312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65.152875813041476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1602.5944090489297</v>
      </c>
      <c r="AB77" s="112"/>
      <c r="AC77" s="111">
        <f>AC31*$I$83/4</f>
        <v>2283.0689462079035</v>
      </c>
      <c r="AD77" s="112"/>
      <c r="AE77" s="111">
        <f>AE31*$I$83/4</f>
        <v>2194.1496482014313</v>
      </c>
      <c r="AF77" s="112"/>
      <c r="AG77" s="111">
        <f>AG31*$I$83/4</f>
        <v>2229.5324930167917</v>
      </c>
      <c r="AH77" s="110"/>
      <c r="AI77" s="154">
        <f>SUM(AA77,AC77,AE77,AG77)</f>
        <v>8309.3454964750563</v>
      </c>
      <c r="AJ77" s="153">
        <f>SUM(AA77,AC77)</f>
        <v>3885.6633552568333</v>
      </c>
      <c r="AK77" s="160">
        <f>SUM(AE77,AG77)</f>
        <v>4423.6821412182235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5" sqref="E5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1237.5659141805309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2.1018057285180575E-3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2.1018057285180575E-3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8.40722291407223E-3</v>
      </c>
      <c r="Z18" s="116">
        <v>1.2941</v>
      </c>
      <c r="AA18" s="121">
        <f t="shared" ref="AA18:AA20" si="25">$M18*Z18*4</f>
        <v>1.0879787173100872E-2</v>
      </c>
      <c r="AB18" s="116">
        <v>1.1765000000000001</v>
      </c>
      <c r="AC18" s="121">
        <f t="shared" ref="AC18:AC20" si="26">$M18*AB18*4</f>
        <v>9.8910977584059801E-3</v>
      </c>
      <c r="AD18" s="116">
        <v>1.2353000000000001</v>
      </c>
      <c r="AE18" s="121">
        <f t="shared" ref="AE18:AE20" si="27">$M18*AD18*4</f>
        <v>1.0385442465753427E-2</v>
      </c>
      <c r="AF18" s="122">
        <f t="shared" ref="AF18:AF20" si="28">1-SUM(Z18,AB18,AD18)</f>
        <v>-2.7059000000000002</v>
      </c>
      <c r="AG18" s="121">
        <f t="shared" ref="AG18:AG20" si="29">$M18*AF18*4</f>
        <v>-2.2749104483188048E-2</v>
      </c>
      <c r="AH18" s="123">
        <f t="shared" ref="AH18:AH20" si="30">SUM(Z18,AB18,AD18,AF18)</f>
        <v>1</v>
      </c>
      <c r="AI18" s="183">
        <f t="shared" ref="AI18:AI20" si="31">SUM(AA18,AC18,AE18,AG18)/4</f>
        <v>2.1018057285180584E-3</v>
      </c>
      <c r="AJ18" s="120">
        <f t="shared" ref="AJ18:AJ20" si="32">(AA18+AC18)/2</f>
        <v>1.0385442465753427E-2</v>
      </c>
      <c r="AK18" s="119">
        <f t="shared" ref="AK18:AK20" si="33">(AE18+AG18)/2</f>
        <v>-6.1818310087173103E-3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4530.2613135667489</v>
      </c>
      <c r="T23" s="179">
        <f>SUM(T7:T22)</f>
        <v>4475.9732952466156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25300.847708581816</v>
      </c>
      <c r="T30" s="234">
        <f t="shared" si="50"/>
        <v>25355.13572690195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-0.11120879457213162</v>
      </c>
      <c r="AB30" s="122">
        <f>IF($Y30=0,0,AC30/($Y$30))</f>
        <v>0</v>
      </c>
      <c r="AC30" s="187">
        <f>IF(AC79*4/$I$83+SUM(AC6:AC29)&lt;1,AC79*4/$I$83,1-SUM(AC6:AC29))</f>
        <v>-8.0514414926602385E-2</v>
      </c>
      <c r="AD30" s="122">
        <f>IF($Y30=0,0,AE30/($Y$30))</f>
        <v>0</v>
      </c>
      <c r="AE30" s="187">
        <f>IF(AE79*4/$I$83+SUM(AE6:AE29)&lt;1,AE79*4/$I$83,1-SUM(AE6:AE29))</f>
        <v>-0.14133874752645292</v>
      </c>
      <c r="AF30" s="122">
        <f>IF($Y30=0,0,AG30/($Y$30))</f>
        <v>0</v>
      </c>
      <c r="AG30" s="187">
        <f>IF(AG79*4/$I$83+SUM(AG6:AG29)&lt;1,AG79*4/$I$83,1-SUM(AG6:AG29))</f>
        <v>0.15664136530463124</v>
      </c>
      <c r="AH30" s="123">
        <f t="shared" si="12"/>
        <v>0</v>
      </c>
      <c r="AI30" s="183">
        <f t="shared" si="13"/>
        <v>-4.4105147930138922E-2</v>
      </c>
      <c r="AJ30" s="120">
        <f t="shared" si="14"/>
        <v>-9.5861604749367002E-2</v>
      </c>
      <c r="AK30" s="119">
        <f t="shared" si="15"/>
        <v>7.651308889089159E-3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0.52287777704463045</v>
      </c>
      <c r="K31" s="22" t="str">
        <f t="shared" si="4"/>
        <v/>
      </c>
      <c r="L31" s="22">
        <f>(1-SUM(L6:L30))</f>
        <v>0.52708838068774833</v>
      </c>
      <c r="M31" s="178">
        <f t="shared" si="6"/>
        <v>0.52287777704463045</v>
      </c>
      <c r="N31" s="167">
        <f>M31*I83</f>
        <v>7296.8501974384171</v>
      </c>
      <c r="P31" s="22"/>
      <c r="Q31" s="238" t="s">
        <v>142</v>
      </c>
      <c r="R31" s="234">
        <f t="shared" si="50"/>
        <v>2829.2848104815494</v>
      </c>
      <c r="S31" s="234">
        <f t="shared" si="50"/>
        <v>41795.674375248484</v>
      </c>
      <c r="T31" s="234">
        <f>IF(T25&gt;T$23,T25-T$23,0)</f>
        <v>41849.962393568618</v>
      </c>
      <c r="V31" s="56"/>
      <c r="W31" s="129" t="s">
        <v>84</v>
      </c>
      <c r="X31" s="130"/>
      <c r="Y31" s="121">
        <f>M31*4</f>
        <v>2.0915111081785218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2.2679316998990777</v>
      </c>
      <c r="AH31" s="123"/>
      <c r="AI31" s="182">
        <f>SUM(AA31,AC31,AE31,AG31)/4</f>
        <v>0.56698292497476943</v>
      </c>
      <c r="AJ31" s="135">
        <f t="shared" si="14"/>
        <v>0</v>
      </c>
      <c r="AK31" s="136">
        <f t="shared" si="15"/>
        <v>1.1339658499495389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0.47712222295536955</v>
      </c>
      <c r="J32" s="17"/>
      <c r="L32" s="22">
        <f>SUM(L6:L30)</f>
        <v>0.47291161931225167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74533.594375248475</v>
      </c>
      <c r="T32" s="234">
        <f t="shared" si="50"/>
        <v>74587.882393568609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-1.2679316998990777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200.28708221818238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34553.112196130205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952.495</v>
      </c>
      <c r="J65" s="39">
        <f>SUM(J37:J64)</f>
        <v>952.49500000000012</v>
      </c>
      <c r="K65" s="40">
        <f>SUM(K37:K64)</f>
        <v>1</v>
      </c>
      <c r="L65" s="22">
        <f>SUM(L37:L64)</f>
        <v>4.6784181483752296E-2</v>
      </c>
      <c r="M65" s="24">
        <f>SUM(M37:M64)</f>
        <v>3.8932965460862459E-2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10.5</v>
      </c>
      <c r="AB65" s="137"/>
      <c r="AC65" s="153">
        <f>SUM(AC37:AC64)</f>
        <v>10.5</v>
      </c>
      <c r="AD65" s="137"/>
      <c r="AE65" s="153">
        <f>SUM(AE37:AE64)</f>
        <v>10.5</v>
      </c>
      <c r="AF65" s="137"/>
      <c r="AG65" s="153">
        <f>SUM(AG37:AG64)</f>
        <v>305.5</v>
      </c>
      <c r="AH65" s="137"/>
      <c r="AI65" s="153">
        <f>SUM(AI37:AI64)</f>
        <v>337</v>
      </c>
      <c r="AJ65" s="153">
        <f>SUM(AJ37:AJ64)</f>
        <v>21</v>
      </c>
      <c r="AK65" s="153">
        <f>SUM(AK37:AK64)</f>
        <v>316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952.495</v>
      </c>
      <c r="J70" s="51">
        <f t="shared" ref="J70:J77" si="75">J124*I$83</f>
        <v>952.495</v>
      </c>
      <c r="K70" s="40">
        <f>B70/B$76</f>
        <v>0.55504307989441282</v>
      </c>
      <c r="L70" s="22">
        <f t="shared" ref="L70:L75" si="76">(L124*G$37*F$9/F$7)/B$130</f>
        <v>4.6784181483752303E-2</v>
      </c>
      <c r="M70" s="24">
        <f>J70/B$76</f>
        <v>3.8932965460862459E-2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238.12375</v>
      </c>
      <c r="AB70" s="116">
        <v>0.25</v>
      </c>
      <c r="AC70" s="147">
        <f>$J70*AB70</f>
        <v>238.12375</v>
      </c>
      <c r="AD70" s="116">
        <v>0.25</v>
      </c>
      <c r="AE70" s="147">
        <f>$J70*AD70</f>
        <v>238.12375</v>
      </c>
      <c r="AF70" s="122">
        <f>1-SUM(Z70,AB70,AD70)</f>
        <v>0.25</v>
      </c>
      <c r="AG70" s="147">
        <f>$J70*AF70</f>
        <v>238.12375</v>
      </c>
      <c r="AH70" s="155">
        <f>SUM(Z70,AB70,AD70,AF70)</f>
        <v>1</v>
      </c>
      <c r="AI70" s="147">
        <f>SUM(AA70,AC70,AE70,AG70)</f>
        <v>952.495</v>
      </c>
      <c r="AJ70" s="148">
        <f>(AA70+AC70)</f>
        <v>476.2475</v>
      </c>
      <c r="AK70" s="147">
        <f>(AE70+AG70)</f>
        <v>476.2475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-387.98451103482415</v>
      </c>
      <c r="AB74" s="156"/>
      <c r="AC74" s="147">
        <f>AC30*$I$83/4</f>
        <v>-280.89816121773657</v>
      </c>
      <c r="AD74" s="156"/>
      <c r="AE74" s="147">
        <f>AE30*$I$83/4</f>
        <v>-493.10169272410445</v>
      </c>
      <c r="AF74" s="156"/>
      <c r="AG74" s="147">
        <f>AG30*$I$83/4</f>
        <v>546.48936497666523</v>
      </c>
      <c r="AH74" s="155"/>
      <c r="AI74" s="147">
        <f>SUM(AA74,AC74,AE74,AG74)</f>
        <v>-615.49499999999989</v>
      </c>
      <c r="AJ74" s="148">
        <f>(AA74+AC74)</f>
        <v>-668.88267225256072</v>
      </c>
      <c r="AK74" s="147">
        <f>(AE74+AG74)</f>
        <v>53.387672252560776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160.36076103482415</v>
      </c>
      <c r="AB75" s="158"/>
      <c r="AC75" s="149">
        <f>AA75+AC65-SUM(AC70,AC74)</f>
        <v>213.63517225256072</v>
      </c>
      <c r="AD75" s="158"/>
      <c r="AE75" s="149">
        <f>AC75+AE65-SUM(AE70,AE74)</f>
        <v>479.1131149766652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213.63517225256072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952.495</v>
      </c>
      <c r="J76" s="51">
        <f t="shared" si="75"/>
        <v>952.495</v>
      </c>
      <c r="K76" s="40">
        <f>SUM(K70:K75)</f>
        <v>2.6105373233714886</v>
      </c>
      <c r="L76" s="22">
        <f>SUM(L70:L75)</f>
        <v>4.6784181483752303E-2</v>
      </c>
      <c r="M76" s="24">
        <f>SUM(M70:M75)</f>
        <v>3.8932965460862459E-2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10.5</v>
      </c>
      <c r="AB76" s="137"/>
      <c r="AC76" s="153">
        <f>AC65</f>
        <v>10.5</v>
      </c>
      <c r="AD76" s="137"/>
      <c r="AE76" s="153">
        <f>AE65</f>
        <v>10.5</v>
      </c>
      <c r="AF76" s="137"/>
      <c r="AG76" s="153">
        <f>AG65</f>
        <v>305.5</v>
      </c>
      <c r="AH76" s="137"/>
      <c r="AI76" s="153">
        <f>SUM(AA76,AC76,AE76,AG76)</f>
        <v>337</v>
      </c>
      <c r="AJ76" s="154">
        <f>SUM(AA76,AC76)</f>
        <v>21</v>
      </c>
      <c r="AK76" s="154">
        <f>SUM(AE76,AG76)</f>
        <v>316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34553.112196130205</v>
      </c>
      <c r="J77" s="100">
        <f t="shared" si="75"/>
        <v>34553.112196130205</v>
      </c>
      <c r="K77" s="40"/>
      <c r="L77" s="22">
        <f>-(L131*G$37*F$9/F$7)/B$130</f>
        <v>-1.4123487511191579</v>
      </c>
      <c r="M77" s="24">
        <f>-J77/B$76</f>
        <v>-1.4123487511191581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7912.3451974384179</v>
      </c>
      <c r="AH77" s="110"/>
      <c r="AI77" s="154">
        <f>SUM(AA77,AC77,AE77,AG77)</f>
        <v>7912.3451974384179</v>
      </c>
      <c r="AJ77" s="153">
        <f>SUM(AA77,AC77)</f>
        <v>0</v>
      </c>
      <c r="AK77" s="160">
        <f>SUM(AE77,AG77)</f>
        <v>7912.3451974384179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160.36076103482415</v>
      </c>
      <c r="AD78" s="112"/>
      <c r="AE78" s="112">
        <f>AC75</f>
        <v>213.63517225256072</v>
      </c>
      <c r="AF78" s="112"/>
      <c r="AG78" s="112">
        <f>AE75</f>
        <v>479.1131149766652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-227.62375</v>
      </c>
      <c r="AB79" s="112"/>
      <c r="AC79" s="112">
        <f>AA79-AA74+AC65-AC70</f>
        <v>-67.26298896517585</v>
      </c>
      <c r="AD79" s="112"/>
      <c r="AE79" s="112">
        <f>AC79-AC74+AE65-AE70</f>
        <v>-13.98857774743928</v>
      </c>
      <c r="AF79" s="112"/>
      <c r="AG79" s="112">
        <f>AE79-AE74+AG65-AG70</f>
        <v>546.48936497666523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6.8253897883358394E-2</v>
      </c>
      <c r="J119" s="24">
        <f>SUM(J91:J118)</f>
        <v>6.8253897883358394E-2</v>
      </c>
      <c r="K119" s="22">
        <f>SUM(K91:K118)</f>
        <v>2.8926368740329336</v>
      </c>
      <c r="L119" s="22">
        <f>SUM(L91:L118)</f>
        <v>8.2017968776576189E-2</v>
      </c>
      <c r="M119" s="57">
        <f t="shared" si="80"/>
        <v>6.8253897883358394E-2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6.8253897883358394E-2</v>
      </c>
      <c r="J124" s="237">
        <f>IF(SUMPRODUCT($B$124:$B124,$H$124:$H124)&lt;J$119,($B124*$H124),J$119)</f>
        <v>6.8253897883358394E-2</v>
      </c>
      <c r="K124" s="29">
        <f>(B124)</f>
        <v>1.6055380795793861</v>
      </c>
      <c r="L124" s="29">
        <f>IF(SUMPRODUCT($B$124:$B124,$H$124:$H124)&lt;L$119,($B124*$H124),L$119)</f>
        <v>8.2017968776576189E-2</v>
      </c>
      <c r="M124" s="240">
        <f t="shared" si="93"/>
        <v>6.8253897883358394E-2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6.8253897883358394E-2</v>
      </c>
      <c r="J130" s="228">
        <f>(J119)</f>
        <v>6.8253897883358394E-2</v>
      </c>
      <c r="K130" s="29">
        <f>(B130)</f>
        <v>2.8926368740329336</v>
      </c>
      <c r="L130" s="29">
        <f>(L119)</f>
        <v>8.2017968776576189E-2</v>
      </c>
      <c r="M130" s="240">
        <f t="shared" si="93"/>
        <v>6.8253897883358394E-2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2.4760073190797813</v>
      </c>
      <c r="J131" s="237">
        <f>IF(SUMPRODUCT($B124:$B125,$H124:$H125)&gt;(J119-J128),SUMPRODUCT($B124:$B125,$H124:$H125)+J128-J119,0)</f>
        <v>2.4760073190797813</v>
      </c>
      <c r="K131" s="29"/>
      <c r="L131" s="29">
        <f>IF(I131&lt;SUM(L126:L127),0,I131-(SUM(L126:L127)))</f>
        <v>2.4760073190797813</v>
      </c>
      <c r="M131" s="237">
        <f>IF(I131&lt;SUM(M126:M127),0,I131-(SUM(M126:M127)))</f>
        <v>2.4760073190797813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1968.3453187318571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9.6292029887920308E-3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9.6292029887920308E-3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11926.532946759869</v>
      </c>
      <c r="T23" s="179">
        <f>SUM(T7:T22)</f>
        <v>12923.065581933366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17904.576075388693</v>
      </c>
      <c r="T30" s="234">
        <f t="shared" si="24"/>
        <v>16908.043440215199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8.7788891725601018E-2</v>
      </c>
      <c r="AB30" s="122">
        <f>IF($Y30=0,0,AC30/($Y$30))</f>
        <v>0</v>
      </c>
      <c r="AC30" s="187">
        <f>IF(AC79*4/$I$84+SUM(AC6:AC29)&lt;1,AC79*4/$I$84,1-SUM(AC6:AC29))</f>
        <v>-0.26821530483695449</v>
      </c>
      <c r="AD30" s="122">
        <f>IF($Y30=0,0,AE30/($Y$30))</f>
        <v>0</v>
      </c>
      <c r="AE30" s="187">
        <f>IF(AE79*4/$I$84+SUM(AE6:AE29)&lt;1,AE79*4/$I$84,1-SUM(AE6:AE29))</f>
        <v>-0.26821530483695449</v>
      </c>
      <c r="AF30" s="122">
        <f>IF($Y30=0,0,AG30/($Y$30))</f>
        <v>0</v>
      </c>
      <c r="AG30" s="187">
        <f>IF(AG79*4/$I$84+SUM(AG6:AG29)&lt;1,AG79*4/$I$84,1-SUM(AG6:AG29))</f>
        <v>-0.15323466508087491</v>
      </c>
      <c r="AH30" s="123">
        <f t="shared" si="12"/>
        <v>0</v>
      </c>
      <c r="AI30" s="183">
        <f t="shared" si="13"/>
        <v>-0.15046909575729572</v>
      </c>
      <c r="AJ30" s="120">
        <f t="shared" si="14"/>
        <v>-9.0213206555676745E-2</v>
      </c>
      <c r="AK30" s="119">
        <f t="shared" si="15"/>
        <v>-0.2107249849589147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0.46260856754898916</v>
      </c>
      <c r="K31" s="22" t="str">
        <f t="shared" si="4"/>
        <v/>
      </c>
      <c r="L31" s="22">
        <f>(1-SUM(L6:L30))</f>
        <v>0.47308277019584299</v>
      </c>
      <c r="M31" s="178">
        <f t="shared" si="6"/>
        <v>0.46260856754898916</v>
      </c>
      <c r="N31" s="167">
        <f>M31*I83</f>
        <v>6455.7829107516663</v>
      </c>
      <c r="P31" s="22"/>
      <c r="Q31" s="238" t="s">
        <v>142</v>
      </c>
      <c r="R31" s="234">
        <f t="shared" si="24"/>
        <v>0</v>
      </c>
      <c r="S31" s="234">
        <f t="shared" si="24"/>
        <v>34399.402742055361</v>
      </c>
      <c r="T31" s="234">
        <f>IF(T25&gt;T$23,T25-T$23,0)</f>
        <v>33402.870106881863</v>
      </c>
      <c r="V31" s="56"/>
      <c r="W31" s="129" t="s">
        <v>84</v>
      </c>
      <c r="X31" s="130"/>
      <c r="Y31" s="121">
        <f>M31*4</f>
        <v>1.8504342701959566</v>
      </c>
      <c r="Z31" s="131"/>
      <c r="AA31" s="132">
        <f>1-AA32+IF($Y32&lt;0,$Y32/4,0)</f>
        <v>0.21389785324306432</v>
      </c>
      <c r="AB31" s="131"/>
      <c r="AC31" s="133">
        <f>1-AC32+IF($Y32&lt;0,$Y32/4,0)</f>
        <v>0.90007847166365229</v>
      </c>
      <c r="AD31" s="134"/>
      <c r="AE31" s="133">
        <f>1-AE32+IF($Y32&lt;0,$Y32/4,0)</f>
        <v>0.8581838557564293</v>
      </c>
      <c r="AF31" s="134"/>
      <c r="AG31" s="133">
        <f>1-AG32+IF($Y32&lt;0,$Y32/4,0)</f>
        <v>0.69851885363297739</v>
      </c>
      <c r="AH31" s="123"/>
      <c r="AI31" s="182">
        <f>SUM(AA31,AC31,AE31,AG31)/4</f>
        <v>0.66766975857403077</v>
      </c>
      <c r="AJ31" s="135">
        <f t="shared" si="14"/>
        <v>0.55698816245335836</v>
      </c>
      <c r="AK31" s="136">
        <f t="shared" si="15"/>
        <v>0.7783513546947034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0.53739143245101084</v>
      </c>
      <c r="J32" s="17"/>
      <c r="L32" s="22">
        <f>SUM(L6:L30)</f>
        <v>0.52691722980415701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67137.322742055359</v>
      </c>
      <c r="T32" s="234">
        <f t="shared" si="24"/>
        <v>66140.790106881861</v>
      </c>
      <c r="V32" s="56"/>
      <c r="W32" s="110"/>
      <c r="X32" s="118"/>
      <c r="Y32" s="115">
        <f>SUM(Y6:Y31)</f>
        <v>3.7816316189290164</v>
      </c>
      <c r="Z32" s="137"/>
      <c r="AA32" s="138">
        <f>SUM(AA6:AA30)</f>
        <v>0.78610214675693568</v>
      </c>
      <c r="AB32" s="137"/>
      <c r="AC32" s="139">
        <f>SUM(AC6:AC30)</f>
        <v>9.9921528336347765E-2</v>
      </c>
      <c r="AD32" s="137"/>
      <c r="AE32" s="139">
        <f>SUM(AE6:AE30)</f>
        <v>0.1418161442435707</v>
      </c>
      <c r="AF32" s="137"/>
      <c r="AG32" s="139">
        <f>SUM(AG6:AG30)</f>
        <v>0.30148114636702261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105.79342179169207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26947.0871961302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8558.52</v>
      </c>
      <c r="J65" s="39">
        <f>SUM(J37:J64)</f>
        <v>8558.52</v>
      </c>
      <c r="K65" s="40">
        <f>SUM(K37:K64)</f>
        <v>1</v>
      </c>
      <c r="L65" s="22">
        <f>SUM(L37:L64)</f>
        <v>0.23180158476765447</v>
      </c>
      <c r="M65" s="24">
        <f>SUM(M37:M64)</f>
        <v>0.24841145908919399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8558.52</v>
      </c>
      <c r="J70" s="51">
        <f t="shared" ref="J70:J77" si="44">J124*I$83</f>
        <v>8558.52</v>
      </c>
      <c r="K70" s="40">
        <f>B70/B$76</f>
        <v>0.39413487793854846</v>
      </c>
      <c r="L70" s="22">
        <f t="shared" ref="L70:L75" si="45">(L124*G$37*F$9/F$7)/B$130</f>
        <v>0.23180158476765444</v>
      </c>
      <c r="M70" s="24">
        <f>J70/B$76</f>
        <v>0.24841145908919399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2139.63</v>
      </c>
      <c r="AB70" s="156">
        <f>Poor!AB70</f>
        <v>0.25</v>
      </c>
      <c r="AC70" s="147">
        <f>$J70*AB70</f>
        <v>2139.63</v>
      </c>
      <c r="AD70" s="156">
        <f>Poor!AD70</f>
        <v>0.25</v>
      </c>
      <c r="AE70" s="147">
        <f>$J70*AD70</f>
        <v>2139.63</v>
      </c>
      <c r="AF70" s="156">
        <f>Poor!AF70</f>
        <v>0.25</v>
      </c>
      <c r="AG70" s="147">
        <f>$J70*AF70</f>
        <v>2139.63</v>
      </c>
      <c r="AH70" s="155">
        <f>SUM(Z70,AB70,AD70,AF70)</f>
        <v>1</v>
      </c>
      <c r="AI70" s="147">
        <f>SUM(AA70,AC70,AE70,AG70)</f>
        <v>8558.52</v>
      </c>
      <c r="AJ70" s="148">
        <f>(AA70+AC70)</f>
        <v>4279.26</v>
      </c>
      <c r="AK70" s="147">
        <f>(AE70+AG70)</f>
        <v>4279.26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0.13859392323812963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654.71</v>
      </c>
      <c r="AB74" s="156"/>
      <c r="AC74" s="147">
        <f>AC30*$I$84/4</f>
        <v>-2000.2900000000002</v>
      </c>
      <c r="AD74" s="156"/>
      <c r="AE74" s="147">
        <f>AE30*$I$84/4</f>
        <v>-2000.2900000000002</v>
      </c>
      <c r="AF74" s="156"/>
      <c r="AG74" s="147">
        <f>AG30*$I$84/4</f>
        <v>-1142.7900000000002</v>
      </c>
      <c r="AH74" s="155"/>
      <c r="AI74" s="147">
        <f>SUM(AA74,AC74,AE74,AG74)</f>
        <v>-4488.6600000000008</v>
      </c>
      <c r="AJ74" s="148">
        <f>(AA74+AC74)</f>
        <v>-1345.5800000000002</v>
      </c>
      <c r="AK74" s="147">
        <f>(AE74+AG74)</f>
        <v>-3143.0800000000004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8558.52</v>
      </c>
      <c r="J76" s="51">
        <f t="shared" si="44"/>
        <v>8558.52</v>
      </c>
      <c r="K76" s="40">
        <f>SUM(K70:K75)</f>
        <v>1.9617093447190888</v>
      </c>
      <c r="L76" s="22">
        <f>SUM(L70:L75)</f>
        <v>0.23180158476765444</v>
      </c>
      <c r="M76" s="24">
        <f>SUM(M70:M75)</f>
        <v>0.24841145908919399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26947.0871961302</v>
      </c>
      <c r="J77" s="100">
        <f t="shared" si="44"/>
        <v>26947.0871961302</v>
      </c>
      <c r="K77" s="40"/>
      <c r="L77" s="22">
        <f>-(L131*G$37*F$9/F$7)/B$130</f>
        <v>-0.78214051595304324</v>
      </c>
      <c r="M77" s="24">
        <f>-J77/B$76</f>
        <v>-0.78214051595304324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1595.2025449243463</v>
      </c>
      <c r="AB77" s="112"/>
      <c r="AC77" s="111">
        <f>AC31*$I$84/4</f>
        <v>6712.5847541718176</v>
      </c>
      <c r="AD77" s="112"/>
      <c r="AE77" s="111">
        <f>AE31*$I$84/4</f>
        <v>6400.1440405294652</v>
      </c>
      <c r="AF77" s="112"/>
      <c r="AG77" s="111">
        <f>AG31*$I$84/4</f>
        <v>5209.3980191878964</v>
      </c>
      <c r="AH77" s="110"/>
      <c r="AI77" s="154">
        <f>SUM(AA77,AC77,AE77,AG77)</f>
        <v>19917.329358813528</v>
      </c>
      <c r="AJ77" s="153">
        <f>SUM(AA77,AC77)</f>
        <v>8307.7872990961641</v>
      </c>
      <c r="AK77" s="160">
        <f>SUM(AE77,AG77)</f>
        <v>11609.542059717362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654.71</v>
      </c>
      <c r="AB79" s="112"/>
      <c r="AC79" s="112">
        <f>AA79-AA74+AC65-AC70</f>
        <v>-2000.2900000000002</v>
      </c>
      <c r="AD79" s="112"/>
      <c r="AE79" s="112">
        <f>AC79-AC74+AE65-AE70</f>
        <v>-2000.2900000000002</v>
      </c>
      <c r="AF79" s="112"/>
      <c r="AG79" s="112">
        <f>AE79-AE74+AG65-AG70</f>
        <v>-1142.7900000000002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0.6132865265567593</v>
      </c>
      <c r="J119" s="24">
        <f>SUM(J91:J118)</f>
        <v>0.6132865265567593</v>
      </c>
      <c r="K119" s="22">
        <f>SUM(K91:K118)</f>
        <v>4.0735752389559234</v>
      </c>
      <c r="L119" s="22">
        <f>SUM(L91:L118)</f>
        <v>0.57227951276379385</v>
      </c>
      <c r="M119" s="57">
        <f t="shared" si="49"/>
        <v>0.6132865265567593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0.6132865265567593</v>
      </c>
      <c r="J124" s="237">
        <f>IF(SUMPRODUCT($B$124:$B124,$H$124:$H124)&lt;J$119,($B124*$H124),J$119)</f>
        <v>0.6132865265567593</v>
      </c>
      <c r="K124" s="22">
        <f>(B124)</f>
        <v>1.6055380795793861</v>
      </c>
      <c r="L124" s="29">
        <f>IF(SUMPRODUCT($B$124:$B124,$H$124:$H124)&lt;L$119,($B124*$H124),L$119)</f>
        <v>0.57227951276379385</v>
      </c>
      <c r="M124" s="57">
        <f t="shared" si="63"/>
        <v>0.6132865265567593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0.6132865265567593</v>
      </c>
      <c r="J130" s="228">
        <f>(J119)</f>
        <v>0.6132865265567593</v>
      </c>
      <c r="K130" s="22">
        <f>(B130)</f>
        <v>4.0735752389559234</v>
      </c>
      <c r="L130" s="22">
        <f>(L119)</f>
        <v>0.57227951276379385</v>
      </c>
      <c r="M130" s="57">
        <f t="shared" si="63"/>
        <v>0.6132865265567593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1.9309746904063803</v>
      </c>
      <c r="J131" s="237">
        <f>IF(SUMPRODUCT($B124:$B125,$H124:$H125)&gt;(J119-J128),SUMPRODUCT($B124:$B125,$H124:$H125)+J128-J119,0)</f>
        <v>1.9309746904063803</v>
      </c>
      <c r="K131" s="29"/>
      <c r="L131" s="29">
        <f>IF(I131&lt;SUM(L126:L127),0,I131-(SUM(L126:L127)))</f>
        <v>1.9309746904063803</v>
      </c>
      <c r="M131" s="237">
        <f>IF(I131&lt;SUM(M126:M127),0,I131-(SUM(M126:M127)))</f>
        <v>1.9309746904063803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2139.4737629065053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247.10751417050889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4.5303840694499026E-3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4.5303840694499026E-3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1.7707233149155063E-2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1.7707233149155063E-2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32000.918200174856</v>
      </c>
      <c r="T23" s="179">
        <f>SUM(T7:T22)</f>
        <v>33339.296925248927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0.63982336124061678</v>
      </c>
      <c r="J30" s="231">
        <f>IF(I$32&lt;=1,I30,1-SUM(J6:J29))</f>
        <v>0.38843359132702704</v>
      </c>
      <c r="K30" s="22">
        <f t="shared" si="4"/>
        <v>0.60560871481942702</v>
      </c>
      <c r="L30" s="22">
        <f>IF(L124=L119,0,IF(K30="",0,(L119-L124)/(B119-B124)*K30))</f>
        <v>7.9331231271760214E-2</v>
      </c>
      <c r="M30" s="175">
        <f t="shared" si="6"/>
        <v>0.38843359132702704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1.5537343653081082</v>
      </c>
      <c r="Z30" s="122">
        <f>IF($Y30=0,0,AA30/($Y$30))</f>
        <v>0.13001601362243612</v>
      </c>
      <c r="AA30" s="187">
        <f>IF(AA79*4/$I$83+SUM(AA6:AA29)&lt;1,AA79*4/$I$83,1-SUM(AA6:AA29))</f>
        <v>0.2020103484055461</v>
      </c>
      <c r="AB30" s="122">
        <f>IF($Y30=0,0,AC30/($Y$30))</f>
        <v>0.4078010963171152</v>
      </c>
      <c r="AC30" s="187">
        <f>IF(AC79*4/$I$83+SUM(AC6:AC29)&lt;1,AC79*4/$I$83,1-SUM(AC6:AC29))</f>
        <v>0.6336145775582237</v>
      </c>
      <c r="AD30" s="122">
        <f>IF($Y30=0,0,AE30/($Y$30))</f>
        <v>0.38185418785064895</v>
      </c>
      <c r="AE30" s="187">
        <f>IF(AE79*4/$I$83+SUM(AE6:AE29)&lt;1,AE79*4/$I$83,1-SUM(AE6:AE29))</f>
        <v>0.59329997420037117</v>
      </c>
      <c r="AF30" s="122">
        <f>IF($Y30=0,0,AG30/($Y$30))</f>
        <v>0.3528661633628149</v>
      </c>
      <c r="AG30" s="187">
        <f>IF(AG79*4/$I$83+SUM(AG6:AG29)&lt;1,AG79*4/$I$83,1-SUM(AG6:AG29))</f>
        <v>0.54826028437123042</v>
      </c>
      <c r="AH30" s="123">
        <f t="shared" si="12"/>
        <v>1.2725374611530151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0.34188839556345441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14325.017488640377</v>
      </c>
      <c r="T31" s="234">
        <f>IF(T25&gt;T$23,T25-T$23,0)</f>
        <v>12986.638763566305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1.2467175325206385</v>
      </c>
      <c r="J32" s="17"/>
      <c r="L32" s="22">
        <f>SUM(L6:L30)</f>
        <v>0.65811160443654559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47062.937488640382</v>
      </c>
      <c r="T32" s="234">
        <f t="shared" si="24"/>
        <v>45724.558763566311</v>
      </c>
      <c r="V32" s="56"/>
      <c r="W32" s="110"/>
      <c r="X32" s="118"/>
      <c r="Y32" s="115">
        <f>SUM(Y6:Y31)</f>
        <v>3.5765491807727368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2.0505992420304318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14609.968609012099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31432.079999999998</v>
      </c>
      <c r="J65" s="39">
        <f>SUM(J37:J64)</f>
        <v>31432.079999999998</v>
      </c>
      <c r="K65" s="40">
        <f>SUM(K37:K64)</f>
        <v>1</v>
      </c>
      <c r="L65" s="22">
        <f>SUM(L37:L64)</f>
        <v>0.52932670661171333</v>
      </c>
      <c r="M65" s="24">
        <f>SUM(M37:M64)</f>
        <v>0.5443161431094794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10044.951904353518</v>
      </c>
      <c r="J71" s="51">
        <f t="shared" ref="J71:J72" si="49">J125*I$83</f>
        <v>10044.951904353518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10044.951904353518</v>
      </c>
      <c r="J74" s="51">
        <f>J128*I$83</f>
        <v>6098.2405133656221</v>
      </c>
      <c r="K74" s="40">
        <f>B74/B$76</f>
        <v>9.9787015593890305E-2</v>
      </c>
      <c r="L74" s="22">
        <f>(L128*G$37*F$9/F$7)/B$130</f>
        <v>2.1568009046386873E-2</v>
      </c>
      <c r="M74" s="24">
        <f>J74/B$76</f>
        <v>0.10560455292774602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31432.079999999994</v>
      </c>
      <c r="J76" s="51">
        <f>J130*I$83</f>
        <v>31432.079999999994</v>
      </c>
      <c r="K76" s="40">
        <f>SUM(K70:K75)</f>
        <v>0.56365499031627642</v>
      </c>
      <c r="L76" s="22">
        <f>SUM(L70:L75)</f>
        <v>0.3919335425144449</v>
      </c>
      <c r="M76" s="24">
        <f>SUM(M70:M75)</f>
        <v>0.47597008639580402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14609.968609012101</v>
      </c>
      <c r="K77" s="40"/>
      <c r="L77" s="22">
        <f>-(L131*G$37*F$9/F$7)/B$130</f>
        <v>-0.32135005021992868</v>
      </c>
      <c r="M77" s="24">
        <f>-J77/B$76</f>
        <v>-0.25300399350625324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2.0020980954291869</v>
      </c>
      <c r="J119" s="24">
        <f>SUM(J91:J118)</f>
        <v>2.0020980954291869</v>
      </c>
      <c r="K119" s="22">
        <f>SUM(K91:K118)</f>
        <v>6.0690131999148269</v>
      </c>
      <c r="L119" s="22">
        <f>SUM(L91:L118)</f>
        <v>1.9469641027235949</v>
      </c>
      <c r="M119" s="57">
        <f t="shared" si="50"/>
        <v>2.0020980954291869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0.63982336124061678</v>
      </c>
      <c r="J125" s="237">
        <f>IF(SUMPRODUCT($B$124:$B125,$H$124:$H125)&lt;J$119,($B125*$H125),IF(SUMPRODUCT($B$124:$B124,$H$124:$H124)&lt;J$119,J$119-SUMPRODUCT($B$124:$B124,$H$124:$H124),0))</f>
        <v>0.63982336124061678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0.58468936853502473</v>
      </c>
      <c r="M125" s="57">
        <f t="shared" ref="M125:M126" si="92">(J125)</f>
        <v>0.63982336124061678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0.63982336124061678</v>
      </c>
      <c r="J128" s="228">
        <f>(J30)</f>
        <v>0.38843359132702704</v>
      </c>
      <c r="K128" s="22">
        <f>(B128)</f>
        <v>0.60560871481942702</v>
      </c>
      <c r="L128" s="22">
        <f>IF(L124=L119,0,(L119-L124)/(B119-B124)*K128)</f>
        <v>7.9331231271760214E-2</v>
      </c>
      <c r="M128" s="57">
        <f t="shared" si="90"/>
        <v>0.38843359132702704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2.0020980954291869</v>
      </c>
      <c r="J130" s="228">
        <f>(J119)</f>
        <v>2.0020980954291869</v>
      </c>
      <c r="K130" s="22">
        <f>(B130)</f>
        <v>6.0690131999148269</v>
      </c>
      <c r="L130" s="22">
        <f>(L119)</f>
        <v>1.9469641027235949</v>
      </c>
      <c r="M130" s="57">
        <f t="shared" si="90"/>
        <v>2.0020980954291869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0.93059671286097956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2" workbookViewId="0">
      <selection activeCell="T62" sqref="T6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1237.5659141805309</v>
      </c>
      <c r="H72" s="109">
        <f>Middle!T7</f>
        <v>1968.3453187318571</v>
      </c>
      <c r="I72" s="109">
        <f>Rich!T7</f>
        <v>2139.4737629065053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247.10751417050889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2763.6006430430243</v>
      </c>
      <c r="G88" s="109">
        <f>Poor!T23</f>
        <v>4475.9732952466156</v>
      </c>
      <c r="H88" s="109">
        <f>Middle!T23</f>
        <v>12923.065581933366</v>
      </c>
      <c r="I88" s="109">
        <f>Rich!T23</f>
        <v>33339.296925248927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27067.50837910554</v>
      </c>
      <c r="G98" s="239">
        <f t="shared" si="0"/>
        <v>25355.13572690195</v>
      </c>
      <c r="H98" s="239">
        <f t="shared" si="0"/>
        <v>16908.043440215199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43562.335045772212</v>
      </c>
      <c r="G99" s="239">
        <f t="shared" si="0"/>
        <v>41849.962393568618</v>
      </c>
      <c r="H99" s="239">
        <f t="shared" si="0"/>
        <v>33402.870106881863</v>
      </c>
      <c r="I99" s="239">
        <f t="shared" si="0"/>
        <v>12986.638763566305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76300.255045772195</v>
      </c>
      <c r="G100" s="239">
        <f t="shared" si="0"/>
        <v>74587.882393568609</v>
      </c>
      <c r="H100" s="239">
        <f t="shared" si="0"/>
        <v>66140.790106881861</v>
      </c>
      <c r="I100" s="239">
        <f t="shared" si="0"/>
        <v>45724.558763566311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2016-08-08T16:19:30Z</dcterms:modified>
  <cp:category/>
</cp:coreProperties>
</file>