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E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<sst xmlns="http://schemas.openxmlformats.org/spreadsheetml/2006/main" count="790" uniqueCount="145">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</sst>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0.0175013280024315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0.0561678941309863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0.0337007364785918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0.00685452818454175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0.005350574993787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0.144795435303335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0.0923906207963313</c:v>
                </c:pt>
                <c:pt idx="2" formatCode="0.0%">
                  <c:v>0.211755256439703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124264"/>
        <c:axId val="-2058880440"/>
      </c:barChart>
      <c:catAx>
        <c:axId val="-206312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8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12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0.0615577105302965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0.00461682828977224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0.0289806746106532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0.00572078037281778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55000"/>
        <c:axId val="-2055779240"/>
      </c:barChart>
      <c:catAx>
        <c:axId val="-205625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7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77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5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0.00625735091069684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0.0408365874289591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82344"/>
        <c:axId val="-2071679352"/>
      </c:barChart>
      <c:catAx>
        <c:axId val="-20716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67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67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68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935352"/>
        <c:axId val="-2055932360"/>
      </c:barChart>
      <c:catAx>
        <c:axId val="-205593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3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93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3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Non-Affected Area without Grants</a:t>
            </a:r>
          </a:p>
        </c:rich>
      </c:tx>
      <c:layout>
        <c:manualLayout>
          <c:xMode val="edge"/>
          <c:yMode val="edge"/>
          <c:x val="0.295992411570315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4482.483378037715</c:v>
                </c:pt>
                <c:pt idx="6">
                  <c:v>4928.20682812503</c:v>
                </c:pt>
                <c:pt idx="7">
                  <c:v>6221.86396715412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348.2874840705913</c:v>
                </c:pt>
                <c:pt idx="6">
                  <c:v>5089.620760679703</c:v>
                </c:pt>
                <c:pt idx="7">
                  <c:v>15049.24533884233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9705.740199292897</c:v>
                </c:pt>
                <c:pt idx="7">
                  <c:v>11110.95657054757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14740.83374810868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5412.47763577028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246856"/>
        <c:axId val="-20622435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46856"/>
        <c:axId val="-2062243528"/>
      </c:lineChart>
      <c:catAx>
        <c:axId val="-206224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4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24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4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436840"/>
        <c:axId val="-2071218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36840"/>
        <c:axId val="-2071218024"/>
      </c:lineChart>
      <c:catAx>
        <c:axId val="-207143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1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21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43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89576"/>
        <c:axId val="-20679862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89576"/>
        <c:axId val="-2067986232"/>
      </c:lineChart>
      <c:catAx>
        <c:axId val="-2067989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8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8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8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0.0165682346201722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0.0177026074780337</c:v>
                </c:pt>
                <c:pt idx="2">
                  <c:v>0.0405736010198048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-0.232119433919407</c:v>
                </c:pt>
                <c:pt idx="2">
                  <c:v>-0.00325862757407823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724280"/>
        <c:axId val="-2071720920"/>
      </c:barChart>
      <c:catAx>
        <c:axId val="-207172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7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2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0.0195139003025587</c:v>
                </c:pt>
                <c:pt idx="2">
                  <c:v>0.0162455492612221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0.171381280884602</c:v>
                </c:pt>
                <c:pt idx="2">
                  <c:v>0.174610060864967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0.0195139003025587</c:v>
                </c:pt>
                <c:pt idx="2">
                  <c:v>0.0162455492612221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627864"/>
        <c:axId val="-2056218504"/>
      </c:barChart>
      <c:catAx>
        <c:axId val="-20566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21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1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62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0.00952250324642271</c:v>
                </c:pt>
                <c:pt idx="2">
                  <c:v>0.00158998427081593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0.491782857890662</c:v>
                </c:pt>
                <c:pt idx="2">
                  <c:v>0.500308325542411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0.00952250324642271</c:v>
                </c:pt>
                <c:pt idx="2">
                  <c:v>0.00158998427081593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494152"/>
        <c:axId val="-2063490632"/>
      </c:barChart>
      <c:catAx>
        <c:axId val="-206349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49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49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49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0.386811112788766</c:v>
                </c:pt>
                <c:pt idx="2">
                  <c:v>0.400653782273894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-0.977664413766289</c:v>
                </c:pt>
                <c:pt idx="2">
                  <c:v>-0.977664413766289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48904"/>
        <c:axId val="-2099904680"/>
      </c:barChart>
      <c:catAx>
        <c:axId val="213424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0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0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4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0.406444224869905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0.0574941178524472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0.0133240712536213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0.0104006345215471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0.263282915564357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0.269434473087217</c:v>
                </c:pt>
                <c:pt idx="2" formatCode="0.0%">
                  <c:v>0.22430733668532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89768"/>
        <c:axId val="-2056039592"/>
      </c:barChart>
      <c:catAx>
        <c:axId val="-205548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03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3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8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63080"/>
        <c:axId val="-20672529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63080"/>
        <c:axId val="-20672529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63080"/>
        <c:axId val="-2067252968"/>
      </c:scatterChart>
      <c:catAx>
        <c:axId val="-2067363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25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25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363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68216"/>
        <c:axId val="-20997581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68216"/>
        <c:axId val="-2099758184"/>
      </c:lineChart>
      <c:catAx>
        <c:axId val="-2099768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58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758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682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68808"/>
        <c:axId val="-21394556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19496"/>
        <c:axId val="-2058880024"/>
      </c:scatterChart>
      <c:valAx>
        <c:axId val="-21030688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455608"/>
        <c:crosses val="autoZero"/>
        <c:crossBetween val="midCat"/>
      </c:valAx>
      <c:valAx>
        <c:axId val="-2139455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068808"/>
        <c:crosses val="autoZero"/>
        <c:crossBetween val="midCat"/>
      </c:valAx>
      <c:valAx>
        <c:axId val="-20975194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8880024"/>
        <c:crosses val="autoZero"/>
        <c:crossBetween val="midCat"/>
      </c:valAx>
      <c:valAx>
        <c:axId val="-2058880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5194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567464"/>
        <c:axId val="-20616458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567464"/>
        <c:axId val="-2061645832"/>
      </c:lineChart>
      <c:catAx>
        <c:axId val="-206256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645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1645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5674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0.541534218943707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0.013410580840356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0.0209363260503873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0.295329557948512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0.293480953022724</c:v>
                </c:pt>
                <c:pt idx="2">
                  <c:v>0.0490028815968635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15304"/>
        <c:axId val="-2144138312"/>
      </c:barChart>
      <c:catAx>
        <c:axId val="-205541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3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13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1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519528"/>
        <c:axId val="-2062896648"/>
      </c:barChart>
      <c:catAx>
        <c:axId val="-206151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89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89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1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0.411982918983753</c:v>
                </c:pt>
                <c:pt idx="1">
                  <c:v>0.485209142759757</c:v>
                </c:pt>
                <c:pt idx="2">
                  <c:v>0.478143061544161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0.0661830926982203</c:v>
                </c:pt>
                <c:pt idx="1">
                  <c:v>0.0779465366003666</c:v>
                </c:pt>
                <c:pt idx="2">
                  <c:v>0.0768114043253235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0.0209701565078861</c:v>
                </c:pt>
                <c:pt idx="1">
                  <c:v>0.0246974114553779</c:v>
                </c:pt>
                <c:pt idx="2">
                  <c:v>0.024337744046462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0.0064797007488803</c:v>
                </c:pt>
                <c:pt idx="1">
                  <c:v>0.00763140873281679</c:v>
                </c:pt>
                <c:pt idx="2">
                  <c:v>0.00752027283461672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0.224671576523945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0.134802945914367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0.010701149987574</c:v>
                </c:pt>
                <c:pt idx="3">
                  <c:v>0.010701149987574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0.144795435303335</c:v>
                </c:pt>
                <c:pt idx="1">
                  <c:v>0.144795435303335</c:v>
                </c:pt>
                <c:pt idx="2">
                  <c:v>0.144795435303335</c:v>
                </c:pt>
                <c:pt idx="3">
                  <c:v>0.144795435303335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0.130104271504125</c:v>
                </c:pt>
                <c:pt idx="3">
                  <c:v>0.716916754254688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877384"/>
        <c:axId val="-2067891192"/>
      </c:barChart>
      <c:catAx>
        <c:axId val="-2067877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1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89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7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208536"/>
        <c:axId val="-2068407416"/>
      </c:barChart>
      <c:catAx>
        <c:axId val="-2068208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07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40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0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0.62181821576675</c:v>
                </c:pt>
                <c:pt idx="1">
                  <c:v>0.62181821576675</c:v>
                </c:pt>
                <c:pt idx="2">
                  <c:v>0.382140467946121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0.0879601371911119</c:v>
                </c:pt>
                <c:pt idx="1">
                  <c:v>0.0879601371911119</c:v>
                </c:pt>
                <c:pt idx="2">
                  <c:v>0.0540561970275652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0.0208012690430942</c:v>
                </c:pt>
                <c:pt idx="3">
                  <c:v>0.0208012690430942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0.263282915564357</c:v>
                </c:pt>
                <c:pt idx="1">
                  <c:v>0.263282915564357</c:v>
                </c:pt>
                <c:pt idx="2">
                  <c:v>0.263282915564357</c:v>
                </c:pt>
                <c:pt idx="3">
                  <c:v>0.263282915564357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0.239966621083049</c:v>
                </c:pt>
                <c:pt idx="3">
                  <c:v>0.65726272565823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557432"/>
        <c:axId val="-2143925736"/>
      </c:barChart>
      <c:catAx>
        <c:axId val="-2056557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92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392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55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0.626522134983321</c:v>
                </c:pt>
                <c:pt idx="1">
                  <c:v>0.626522134983321</c:v>
                </c:pt>
                <c:pt idx="2">
                  <c:v>0.575961352832207</c:v>
                </c:pt>
                <c:pt idx="3">
                  <c:v>0.337131252975978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0.0511230660036512</c:v>
                </c:pt>
                <c:pt idx="1">
                  <c:v>0.0511230660036512</c:v>
                </c:pt>
                <c:pt idx="2">
                  <c:v>0.0469973981959584</c:v>
                </c:pt>
                <c:pt idx="3">
                  <c:v>0.0275092966958675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0.0418726521007746</c:v>
                </c:pt>
                <c:pt idx="3">
                  <c:v>0.0418726521007746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0.295329557948512</c:v>
                </c:pt>
                <c:pt idx="1">
                  <c:v>0.295329557948512</c:v>
                </c:pt>
                <c:pt idx="2">
                  <c:v>0.295329557948512</c:v>
                </c:pt>
                <c:pt idx="3">
                  <c:v>0.295329557948512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0.0</c:v>
                </c:pt>
                <c:pt idx="3">
                  <c:v>0.196011526387454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967592"/>
        <c:axId val="-2055964280"/>
      </c:barChart>
      <c:catAx>
        <c:axId val="-2055967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64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96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67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0.00628229843470073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0.0976285434711763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09928"/>
        <c:axId val="-2056006936"/>
      </c:barChart>
      <c:catAx>
        <c:axId val="-20560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0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13757.686780496559</v>
      </c>
      <c r="T23" s="179">
        <f>SUM(T7:T22)</f>
        <v>14124.406780496558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0.75497962640099636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17205.931142193644</v>
      </c>
      <c r="T30" s="233">
        <f t="shared" si="24"/>
        <v>16839.211142193642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0.44490699964119296</v>
      </c>
      <c r="K31" s="22" t="str">
        <f t="shared" si="4"/>
        <v/>
      </c>
      <c r="L31" s="22">
        <f>(1-SUM(L6:L30))</f>
        <v>0.62897926050722486</v>
      </c>
      <c r="M31" s="240">
        <f t="shared" si="6"/>
        <v>0.44490699964119296</v>
      </c>
      <c r="N31" s="167">
        <f>M31*I83</f>
        <v>4726.0454926971261</v>
      </c>
      <c r="P31" s="22"/>
      <c r="Q31" s="237" t="s">
        <v>142</v>
      </c>
      <c r="R31" s="233">
        <f t="shared" si="24"/>
        <v>3107.5149048317398</v>
      </c>
      <c r="S31" s="233">
        <f t="shared" si="24"/>
        <v>30993.051142193639</v>
      </c>
      <c r="T31" s="233">
        <f>IF(T25&gt;T$23,T25-T$23,0)</f>
        <v>30626.331142193638</v>
      </c>
      <c r="V31" s="56"/>
      <c r="W31" s="129" t="s">
        <v>84</v>
      </c>
      <c r="X31" s="130"/>
      <c r="Y31" s="121">
        <f>M31*4</f>
        <v>1.7796279985647718</v>
      </c>
      <c r="Z31" s="131"/>
      <c r="AA31" s="132">
        <f>1-AA32+IF($Y32&lt;0,$Y32/4,0)</f>
        <v>9.6177321932600202E-2</v>
      </c>
      <c r="AB31" s="131"/>
      <c r="AC31" s="133">
        <f>1-AC32+IF($Y32&lt;0,$Y32/4,0)</f>
        <v>0.64631137124766858</v>
      </c>
      <c r="AD31" s="134"/>
      <c r="AE31" s="133">
        <f>1-AE32+IF($Y32&lt;0,$Y32/4,0)</f>
        <v>0.48911084820906336</v>
      </c>
      <c r="AF31" s="134"/>
      <c r="AG31" s="133">
        <f>1-AG32+IF($Y32&lt;0,$Y32/4,0)</f>
        <v>0.56888424795999737</v>
      </c>
      <c r="AH31" s="123"/>
      <c r="AI31" s="182">
        <f>SUM(AA31,AC31,AE31,AG31)/4</f>
        <v>0.45012094733733238</v>
      </c>
      <c r="AJ31" s="135">
        <f t="shared" si="14"/>
        <v>0.37124434659013439</v>
      </c>
      <c r="AK31" s="136">
        <f t="shared" si="15"/>
        <v>0.52899754808453037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0.55509300035880704</v>
      </c>
      <c r="J32" s="17"/>
      <c r="L32" s="22">
        <f>SUM(L6:L30)</f>
        <v>0.37102073949277509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55546.491142193641</v>
      </c>
      <c r="T32" s="233">
        <f t="shared" si="24"/>
        <v>55179.77114219364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0.9038226780673998</v>
      </c>
      <c r="AB32" s="137"/>
      <c r="AC32" s="139">
        <f>SUM(AC6:AC30)</f>
        <v>0.35368862875233142</v>
      </c>
      <c r="AD32" s="137"/>
      <c r="AE32" s="139">
        <f>SUM(AE6:AE30)</f>
        <v>0.51088915179093664</v>
      </c>
      <c r="AF32" s="137"/>
      <c r="AG32" s="139">
        <f>SUM(AG6:AG30)</f>
        <v>0.43111575204000263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3.9692105006989289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25900.285649496516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0.62735920277819723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10614.12</v>
      </c>
      <c r="J65" s="39">
        <f>SUM(J37:J64)</f>
        <v>10614.12</v>
      </c>
      <c r="K65" s="40">
        <f>SUM(K37:K64)</f>
        <v>1</v>
      </c>
      <c r="L65" s="22">
        <f>SUM(L37:L64)</f>
        <v>0.38681111278876645</v>
      </c>
      <c r="M65" s="24">
        <f>SUM(M37:M64)</f>
        <v>0.40065378227389403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2653.53</v>
      </c>
      <c r="AB65" s="137"/>
      <c r="AC65" s="153">
        <f>SUM(AC37:AC64)</f>
        <v>2653.53</v>
      </c>
      <c r="AD65" s="137"/>
      <c r="AE65" s="153">
        <f>SUM(AE37:AE64)</f>
        <v>2653.53</v>
      </c>
      <c r="AF65" s="137"/>
      <c r="AG65" s="153">
        <f>SUM(AG37:AG64)</f>
        <v>2653.53</v>
      </c>
      <c r="AH65" s="137"/>
      <c r="AI65" s="153">
        <f>SUM(AI37:AI64)</f>
        <v>10614.12</v>
      </c>
      <c r="AJ65" s="153">
        <f>SUM(AJ37:AJ64)</f>
        <v>5307.06</v>
      </c>
      <c r="AK65" s="153">
        <f>SUM(AK37:AK64)</f>
        <v>5307.06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10614.12</v>
      </c>
      <c r="J70" s="51">
        <f t="shared" ref="J70:J77" si="44">J124*I$83</f>
        <v>10614.12</v>
      </c>
      <c r="K70" s="40">
        <f>B70/B$76</f>
        <v>0.61278029080198115</v>
      </c>
      <c r="L70" s="22">
        <f t="shared" ref="L70:L74" si="45">(L124*G$37*F$9/F$7)/B$130</f>
        <v>0.38681111278876651</v>
      </c>
      <c r="M70" s="24">
        <f>J70/B$76</f>
        <v>0.40065378227389403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2653.53</v>
      </c>
      <c r="AB70" s="156">
        <f>Poor!AB70</f>
        <v>0.25</v>
      </c>
      <c r="AC70" s="147">
        <f>$J70*AB70</f>
        <v>2653.53</v>
      </c>
      <c r="AD70" s="156">
        <f>Poor!AD70</f>
        <v>0.25</v>
      </c>
      <c r="AE70" s="147">
        <f>$J70*AD70</f>
        <v>2653.53</v>
      </c>
      <c r="AF70" s="156">
        <f>Poor!AF70</f>
        <v>0.25</v>
      </c>
      <c r="AG70" s="147">
        <f>$J70*AF70</f>
        <v>2653.53</v>
      </c>
      <c r="AH70" s="155">
        <f>SUM(Z70,AB70,AD70,AF70)</f>
        <v>1</v>
      </c>
      <c r="AI70" s="147">
        <f>SUM(AA70,AC70,AE70,AG70)</f>
        <v>10614.12</v>
      </c>
      <c r="AJ70" s="148">
        <f>(AA70+AC70)</f>
        <v>5307.06</v>
      </c>
      <c r="AK70" s="147">
        <f>(AE70+AG70)</f>
        <v>5307.06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0.44103880416729579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0.18347005908698555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10614.12</v>
      </c>
      <c r="J76" s="51">
        <f t="shared" si="44"/>
        <v>10614.12</v>
      </c>
      <c r="K76" s="40">
        <f>SUM(K70:K75)</f>
        <v>2.0572725452687042</v>
      </c>
      <c r="L76" s="22">
        <f>SUM(L70:L75)</f>
        <v>0.38681111278876651</v>
      </c>
      <c r="M76" s="24">
        <f>SUM(M70:M75)</f>
        <v>0.40065378227389403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2653.53</v>
      </c>
      <c r="AB76" s="137"/>
      <c r="AC76" s="153">
        <f>AC65</f>
        <v>2653.53</v>
      </c>
      <c r="AD76" s="137"/>
      <c r="AE76" s="153">
        <f>AE65</f>
        <v>2653.53</v>
      </c>
      <c r="AF76" s="137"/>
      <c r="AG76" s="153">
        <f>AG65</f>
        <v>2653.53</v>
      </c>
      <c r="AH76" s="137"/>
      <c r="AI76" s="153">
        <f>SUM(AA76,AC76,AE76,AG76)</f>
        <v>10614.12</v>
      </c>
      <c r="AJ76" s="154">
        <f>SUM(AA76,AC76)</f>
        <v>5307.06</v>
      </c>
      <c r="AK76" s="154">
        <f>SUM(AE76,AG76)</f>
        <v>5307.06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25900.285649496516</v>
      </c>
      <c r="J77" s="100">
        <f t="shared" si="44"/>
        <v>25900.285649496516</v>
      </c>
      <c r="K77" s="40"/>
      <c r="L77" s="22">
        <f>-(L131*G$37*F$9/F$7)/B$130</f>
        <v>-0.97766441376628876</v>
      </c>
      <c r="M77" s="24">
        <f>-J77/B$76</f>
        <v>-0.97766441376628854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255.41202947235047</v>
      </c>
      <c r="AB77" s="112"/>
      <c r="AC77" s="111">
        <f>AC31*$I$83/4</f>
        <v>1716.3682215762635</v>
      </c>
      <c r="AD77" s="112"/>
      <c r="AE77" s="111">
        <f>AE31*$I$83/4</f>
        <v>1298.9007373855272</v>
      </c>
      <c r="AF77" s="112"/>
      <c r="AG77" s="111">
        <f>AG31*$I$83/4</f>
        <v>1510.7499084673934</v>
      </c>
      <c r="AH77" s="110"/>
      <c r="AI77" s="154">
        <f>SUM(AA77,AC77,AE77,AG77)</f>
        <v>4781.4308969015347</v>
      </c>
      <c r="AJ77" s="153">
        <f>SUM(AA77,AC77)</f>
        <v>1971.780251048614</v>
      </c>
      <c r="AK77" s="160">
        <f>SUM(AE77,AG77)</f>
        <v>2809.6506458529207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2.5815842589779168</v>
      </c>
      <c r="L104" s="22">
        <f t="shared" si="57"/>
        <v>0</v>
      </c>
      <c r="M104" s="227">
        <f t="shared" si="49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0.9992066920068079</v>
      </c>
      <c r="J119" s="24">
        <f>SUM(J91:J118)</f>
        <v>0.9992066920068079</v>
      </c>
      <c r="K119" s="22">
        <f>SUM(K91:K118)</f>
        <v>4.1150018164165445</v>
      </c>
      <c r="L119" s="22">
        <f>SUM(L91:L118)</f>
        <v>0.96468389802174492</v>
      </c>
      <c r="M119" s="57">
        <f t="shared" si="49"/>
        <v>0.9992066920068079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0.9992066920068079</v>
      </c>
      <c r="J124" s="236">
        <f>IF(SUMPRODUCT($B$124:$B124,$H$124:$H124)&lt;J$119,($B124*$H124),J$119)</f>
        <v>0.9992066920068079</v>
      </c>
      <c r="K124" s="29">
        <f>(B124)</f>
        <v>2.5215920097144111</v>
      </c>
      <c r="L124" s="29">
        <f>IF(SUMPRODUCT($B$124:$B124,$H$124:$H124)&lt;L$119,($B124*$H124),L$119)</f>
        <v>0.96468389802174492</v>
      </c>
      <c r="M124" s="239">
        <f t="shared" si="66"/>
        <v>0.9992066920068079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0.75497962640099636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0.9992066920068079</v>
      </c>
      <c r="J130" s="227">
        <f>(J119)</f>
        <v>0.9992066920068079</v>
      </c>
      <c r="K130" s="29">
        <f>(B130)</f>
        <v>4.1150018164165445</v>
      </c>
      <c r="L130" s="29">
        <f>(L119)</f>
        <v>0.96468389802174492</v>
      </c>
      <c r="M130" s="239">
        <f t="shared" si="66"/>
        <v>0.9992066920068079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2.4382368718146026</v>
      </c>
      <c r="J131" s="236">
        <f>IF(SUMPRODUCT($B124:$B125,$H124:$H125)&gt;(J119-J128),SUMPRODUCT($B124:$B125,$H124:$H125)+J128-J119,0)</f>
        <v>2.4382368718146026</v>
      </c>
      <c r="K131" s="29"/>
      <c r="L131" s="29">
        <f>IF(I131&lt;SUM(L126:L127),0,I131-(SUM(L126:L127)))</f>
        <v>2.4382368718146026</v>
      </c>
      <c r="M131" s="236">
        <f>IF(I131&lt;SUM(M126:M127),0,I131-(SUM(M126:M127)))</f>
        <v>2.4382368718146026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4482.4833780377148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348.28748407059135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0.29955093272025823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0.41198291898375333</v>
      </c>
      <c r="AB8" s="125">
        <f>IF($Y8=0,0,AC8/$Y8)</f>
        <v>0.35279339162071865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0.48520914275975685</v>
      </c>
      <c r="AD8" s="125">
        <f>IF($Y8=0,0,AE8/$Y8)</f>
        <v>0.34765567565902306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0.47814306154416114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0.44859603087175509</v>
      </c>
      <c r="AK8" s="119">
        <f t="shared" si="15"/>
        <v>0.23907153077208057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0.29955093272025829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6.61830926982203E-2</v>
      </c>
      <c r="AB9" s="125">
        <f>IF($Y9=0,0,AC9/$Y9)</f>
        <v>0.35279339162071865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7.7946536600366587E-2</v>
      </c>
      <c r="AD9" s="125">
        <f>IF($Y9=0,0,AE9/$Y9)</f>
        <v>0.347655675659023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7.6811404325323476E-2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7.2064814649293443E-2</v>
      </c>
      <c r="AK9" s="119">
        <f t="shared" si="15"/>
        <v>3.8405702162661738E-2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1.7501328002431513E-2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1.7501328002431513E-2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7.0005312009726053E-2</v>
      </c>
      <c r="Z10" s="125">
        <f>IF($Y10=0,0,AA10/$Y10)</f>
        <v>0.29955093272025823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2.0970156507886136E-2</v>
      </c>
      <c r="AB10" s="125">
        <f>IF($Y10=0,0,AC10/$Y10)</f>
        <v>0.35279339162071871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2.4697411455377887E-2</v>
      </c>
      <c r="AD10" s="125">
        <f>IF($Y10=0,0,AE10/$Y10)</f>
        <v>0.347655675659023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2.4337744046462027E-2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1.7501328002431513E-2</v>
      </c>
      <c r="AJ10" s="120">
        <f t="shared" si="14"/>
        <v>2.2833783981632012E-2</v>
      </c>
      <c r="AK10" s="119">
        <f t="shared" si="15"/>
        <v>1.2168872023231013E-2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0.29955093272025823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6.4797007488803056E-3</v>
      </c>
      <c r="AB11" s="125">
        <f>IF($Y11=0,0,AC11/$Y11)</f>
        <v>0.35279339162071871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7.6314087328167917E-3</v>
      </c>
      <c r="AD11" s="125">
        <f>IF($Y11=0,0,AE11/$Y11)</f>
        <v>0.34765567565902306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7.5202728346167253E-3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5.4078455790784559E-3</v>
      </c>
      <c r="AJ11" s="120">
        <f t="shared" si="14"/>
        <v>7.0555547408485486E-3</v>
      </c>
      <c r="AK11" s="119">
        <f t="shared" si="15"/>
        <v>3.7601364173083626E-3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5.6167894130986315E-2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5.6167894130986315E-2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14740.833748108684</v>
      </c>
      <c r="U13" s="222">
        <v>7</v>
      </c>
      <c r="V13" s="56"/>
      <c r="W13" s="110"/>
      <c r="X13" s="118"/>
      <c r="Y13" s="183">
        <f t="shared" si="9"/>
        <v>0.22467157652394526</v>
      </c>
      <c r="Z13" s="116">
        <v>1</v>
      </c>
      <c r="AA13" s="121">
        <f>$M13*Z13*4</f>
        <v>0.22467157652394526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5.6167894130986315E-2</v>
      </c>
      <c r="AJ13" s="120">
        <f t="shared" si="14"/>
        <v>0.11233578826197263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3.3700736478591786E-2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3.3700736478591786E-2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0.13480294591436714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0.13480294591436714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3.3700736478591786E-2</v>
      </c>
      <c r="AJ14" s="120">
        <f t="shared" si="14"/>
        <v>6.7401472957183572E-2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5412.4776357702804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45440.424484080395</v>
      </c>
      <c r="T23" s="179">
        <f>SUM(T7:T22)</f>
        <v>45239.550326090735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6.8545281845417477E-3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6.8545281845417477E-3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2.7418112738166991E-2</v>
      </c>
      <c r="Z27" s="116">
        <v>0.25</v>
      </c>
      <c r="AA27" s="121">
        <f t="shared" si="16"/>
        <v>6.8545281845417477E-3</v>
      </c>
      <c r="AB27" s="116">
        <v>0.25</v>
      </c>
      <c r="AC27" s="121">
        <f t="shared" si="7"/>
        <v>6.8545281845417477E-3</v>
      </c>
      <c r="AD27" s="116">
        <v>0.25</v>
      </c>
      <c r="AE27" s="121">
        <f t="shared" si="8"/>
        <v>6.8545281845417477E-3</v>
      </c>
      <c r="AF27" s="122">
        <f t="shared" si="10"/>
        <v>0.25</v>
      </c>
      <c r="AG27" s="121">
        <f t="shared" si="11"/>
        <v>6.8545281845417477E-3</v>
      </c>
      <c r="AH27" s="123">
        <f t="shared" si="12"/>
        <v>1</v>
      </c>
      <c r="AI27" s="183">
        <f t="shared" si="13"/>
        <v>6.8545281845417477E-3</v>
      </c>
      <c r="AJ27" s="120">
        <f t="shared" si="14"/>
        <v>6.8545281845417477E-3</v>
      </c>
      <c r="AK27" s="119">
        <f t="shared" si="15"/>
        <v>6.8545281845417477E-3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5.3505749937870044E-3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5.3505749937870044E-3</v>
      </c>
      <c r="N28" s="228"/>
      <c r="O28" s="2"/>
      <c r="P28" s="22"/>
      <c r="V28" s="56"/>
      <c r="W28" s="110"/>
      <c r="X28" s="118"/>
      <c r="Y28" s="183">
        <f t="shared" si="9"/>
        <v>2.1402299975148018E-2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1.0701149987574009E-2</v>
      </c>
      <c r="AF28" s="122">
        <f t="shared" si="10"/>
        <v>0.5</v>
      </c>
      <c r="AG28" s="121">
        <f t="shared" si="11"/>
        <v>1.0701149987574009E-2</v>
      </c>
      <c r="AH28" s="123">
        <f t="shared" si="12"/>
        <v>1</v>
      </c>
      <c r="AI28" s="183">
        <f t="shared" si="13"/>
        <v>5.3505749937870044E-3</v>
      </c>
      <c r="AJ28" s="120">
        <f t="shared" si="14"/>
        <v>0</v>
      </c>
      <c r="AK28" s="119">
        <f t="shared" si="15"/>
        <v>1.0701149987574009E-2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0.14479543530333527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0.14479543530333527</v>
      </c>
      <c r="N29" s="228"/>
      <c r="P29" s="22"/>
      <c r="V29" s="56"/>
      <c r="W29" s="110"/>
      <c r="X29" s="118"/>
      <c r="Y29" s="183">
        <f t="shared" si="9"/>
        <v>0.57918174121334109</v>
      </c>
      <c r="Z29" s="116">
        <v>0.25</v>
      </c>
      <c r="AA29" s="121">
        <f t="shared" si="16"/>
        <v>0.14479543530333527</v>
      </c>
      <c r="AB29" s="116">
        <v>0.25</v>
      </c>
      <c r="AC29" s="121">
        <f t="shared" si="7"/>
        <v>0.14479543530333527</v>
      </c>
      <c r="AD29" s="116">
        <v>0.25</v>
      </c>
      <c r="AE29" s="121">
        <f t="shared" si="8"/>
        <v>0.14479543530333527</v>
      </c>
      <c r="AF29" s="122">
        <f t="shared" si="10"/>
        <v>0.25</v>
      </c>
      <c r="AG29" s="121">
        <f t="shared" si="11"/>
        <v>0.14479543530333527</v>
      </c>
      <c r="AH29" s="123">
        <f t="shared" si="12"/>
        <v>1</v>
      </c>
      <c r="AI29" s="183">
        <f t="shared" si="13"/>
        <v>0.14479543530333527</v>
      </c>
      <c r="AJ29" s="120">
        <f t="shared" si="14"/>
        <v>0.14479543530333527</v>
      </c>
      <c r="AK29" s="119">
        <f t="shared" si="15"/>
        <v>0.14479543530333527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1.5187956734208807</v>
      </c>
      <c r="J30" s="230">
        <f>IF(I$32&lt;=1,I30,1-SUM(J6:J29))</f>
        <v>0.21175525643970305</v>
      </c>
      <c r="K30" s="22">
        <f t="shared" si="4"/>
        <v>0.38133509962640105</v>
      </c>
      <c r="L30" s="22">
        <f>IF(L124=L119,0,IF(K30="",0,(L119-L124)/(B119-B124)*K30))</f>
        <v>9.2390620796331341E-2</v>
      </c>
      <c r="M30" s="175">
        <f t="shared" si="6"/>
        <v>0.21175525643970305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0.84702102575881222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2.6214768957607685E-16</v>
      </c>
      <c r="AC30" s="187">
        <f>IF(AC79*4/$I$83+SUM(AC6:AC29)&lt;1,AC79*4/$I$83,1-SUM(AC6:AC29))</f>
        <v>2.2204460492503131E-16</v>
      </c>
      <c r="AD30" s="122">
        <f>IF($Y30=0,0,AE30/($Y$30))</f>
        <v>0.15360217461847456</v>
      </c>
      <c r="AE30" s="187">
        <f>IF(AE79*4/$I$83+SUM(AE6:AE29)&lt;1,AE79*4/$I$83,1-SUM(AE6:AE29))</f>
        <v>0.13010427150412451</v>
      </c>
      <c r="AF30" s="122">
        <f>IF($Y30=0,0,AG30/($Y$30))</f>
        <v>0.84639782538152575</v>
      </c>
      <c r="AG30" s="187">
        <f>IF(AG79*4/$I$83+SUM(AG6:AG29)&lt;1,AG79*4/$I$83,1-SUM(AG6:AG29))</f>
        <v>0.71691675425468793</v>
      </c>
      <c r="AH30" s="123">
        <f t="shared" si="12"/>
        <v>1.0000000000000004</v>
      </c>
      <c r="AI30" s="183">
        <f t="shared" si="13"/>
        <v>0.21175525643970317</v>
      </c>
      <c r="AJ30" s="120">
        <f t="shared" si="14"/>
        <v>1.1102230246251565E-16</v>
      </c>
      <c r="AK30" s="119">
        <f t="shared" si="15"/>
        <v>0.42351051287940622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0.12568086748175278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2.3174312268307462</v>
      </c>
      <c r="J32" s="17"/>
      <c r="L32" s="22">
        <f>SUM(L6:L30)</f>
        <v>0.87431913251824722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23814.753438609805</v>
      </c>
      <c r="T32" s="233">
        <f t="shared" si="50"/>
        <v>24015.627596599465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0.37805806415965837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180.65668339310994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0.29955093272025823</v>
      </c>
      <c r="AA39" s="147">
        <f t="shared" ref="AA39:AA64" si="64">$J39*Z39</f>
        <v>3.1105368853671616</v>
      </c>
      <c r="AB39" s="122">
        <f>AB8</f>
        <v>0.35279339162071865</v>
      </c>
      <c r="AC39" s="147">
        <f t="shared" ref="AC39:AC64" si="65">$J39*AB39</f>
        <v>3.6634065785895427</v>
      </c>
      <c r="AD39" s="122">
        <f>AD8</f>
        <v>0.34765567565902306</v>
      </c>
      <c r="AE39" s="147">
        <f t="shared" ref="AE39:AE64" si="66">$J39*AD39</f>
        <v>3.6100565360432957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6.7739434639567042</v>
      </c>
      <c r="AK39" s="147">
        <f t="shared" si="63"/>
        <v>3.6100565360432957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0.29955093272025829</v>
      </c>
      <c r="AA40" s="147">
        <f t="shared" si="64"/>
        <v>0</v>
      </c>
      <c r="AB40" s="122">
        <f>AB9</f>
        <v>0.35279339162071865</v>
      </c>
      <c r="AC40" s="147">
        <f t="shared" si="65"/>
        <v>0</v>
      </c>
      <c r="AD40" s="122">
        <f>AD9</f>
        <v>0.347655675659023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0.29955093272025823</v>
      </c>
      <c r="AA41" s="147">
        <f t="shared" si="64"/>
        <v>0</v>
      </c>
      <c r="AB41" s="122">
        <f>AB11</f>
        <v>0.35279339162071871</v>
      </c>
      <c r="AC41" s="147">
        <f t="shared" si="65"/>
        <v>0</v>
      </c>
      <c r="AD41" s="122">
        <f>AD11</f>
        <v>0.34765567565902306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348.28748407059135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6.2822984347007341E-3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87.071871017647837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174.14374203529567</v>
      </c>
      <c r="AF42" s="122">
        <f t="shared" si="57"/>
        <v>0.25</v>
      </c>
      <c r="AG42" s="147">
        <f t="shared" si="60"/>
        <v>87.071871017647837</v>
      </c>
      <c r="AH42" s="123">
        <f t="shared" si="61"/>
        <v>1</v>
      </c>
      <c r="AI42" s="112">
        <f t="shared" si="61"/>
        <v>348.28748407059135</v>
      </c>
      <c r="AJ42" s="148">
        <f t="shared" si="62"/>
        <v>87.071871017647837</v>
      </c>
      <c r="AK42" s="147">
        <f t="shared" si="63"/>
        <v>261.21561305294352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5412.4776357702804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9.7628543471176332E-2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1353.1194089425701</v>
      </c>
      <c r="AB48" s="116">
        <v>0.25</v>
      </c>
      <c r="AC48" s="147">
        <f t="shared" si="65"/>
        <v>1353.1194089425701</v>
      </c>
      <c r="AD48" s="116">
        <v>0.25</v>
      </c>
      <c r="AE48" s="147">
        <f t="shared" si="66"/>
        <v>1353.1194089425701</v>
      </c>
      <c r="AF48" s="122">
        <f t="shared" si="57"/>
        <v>0.25</v>
      </c>
      <c r="AG48" s="147">
        <f t="shared" si="60"/>
        <v>1353.1194089425701</v>
      </c>
      <c r="AH48" s="123">
        <f t="shared" si="61"/>
        <v>1</v>
      </c>
      <c r="AI48" s="112">
        <f t="shared" si="61"/>
        <v>5412.4776357702804</v>
      </c>
      <c r="AJ48" s="148">
        <f t="shared" si="62"/>
        <v>2706.2388178851402</v>
      </c>
      <c r="AK48" s="147">
        <f t="shared" si="63"/>
        <v>2706.2388178851402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0.29978625348352711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38811.76400000001</v>
      </c>
      <c r="J65" s="39">
        <f>SUM(J37:J64)</f>
        <v>38534.12911984088</v>
      </c>
      <c r="K65" s="40">
        <f>SUM(K37:K64)</f>
        <v>1</v>
      </c>
      <c r="L65" s="22">
        <f>SUM(L37:L64)</f>
        <v>0.69202218634727952</v>
      </c>
      <c r="M65" s="24">
        <f>SUM(M37:M64)</f>
        <v>0.69506631769480021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8174.9718168455847</v>
      </c>
      <c r="AB65" s="137"/>
      <c r="AC65" s="153">
        <f>SUM(AC37:AC64)</f>
        <v>8088.4528155211592</v>
      </c>
      <c r="AD65" s="137"/>
      <c r="AE65" s="153">
        <f>SUM(AE37:AE64)</f>
        <v>8262.5432075139088</v>
      </c>
      <c r="AF65" s="137"/>
      <c r="AG65" s="153">
        <f>SUM(AG37:AG64)</f>
        <v>11681.181279960218</v>
      </c>
      <c r="AH65" s="137"/>
      <c r="AI65" s="153">
        <f>SUM(AI37:AI64)</f>
        <v>36207.149119840877</v>
      </c>
      <c r="AJ65" s="153">
        <f>SUM(AJ37:AJ64)</f>
        <v>16263.424632366745</v>
      </c>
      <c r="AK65" s="153">
        <f>SUM(AK37:AK64)</f>
        <v>19943.72448747413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0.37532806031800431</v>
      </c>
      <c r="L72" s="22">
        <f t="shared" si="76"/>
        <v>1.6568234620172186E-2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16133.478350503487</v>
      </c>
      <c r="J74" s="51">
        <f t="shared" si="75"/>
        <v>2249.3801537374688</v>
      </c>
      <c r="K74" s="40">
        <f>B74/B$76</f>
        <v>4.4282506155358545E-2</v>
      </c>
      <c r="L74" s="22">
        <f t="shared" si="76"/>
        <v>1.7702607478033691E-2</v>
      </c>
      <c r="M74" s="24">
        <f>J74/B$76</f>
        <v>4.0573601019804811E-2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5.8966981028055804E-13</v>
      </c>
      <c r="AD74" s="156"/>
      <c r="AE74" s="147">
        <f>AE30*$I$83/4</f>
        <v>345.50968315771382</v>
      </c>
      <c r="AF74" s="156"/>
      <c r="AG74" s="147">
        <f>AG30*$I$83/4</f>
        <v>1903.8704705797556</v>
      </c>
      <c r="AH74" s="155"/>
      <c r="AI74" s="147">
        <f>SUM(AA74,AC74,AE74,AG74)</f>
        <v>2249.3801537374702</v>
      </c>
      <c r="AJ74" s="148">
        <f>(AA74+AC74)</f>
        <v>5.8966981028055804E-13</v>
      </c>
      <c r="AK74" s="147">
        <f>(AE74+AG74)</f>
        <v>2249.3801537374693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6613.1398014777869</v>
      </c>
      <c r="AB75" s="158"/>
      <c r="AC75" s="149">
        <f>AA75+AC65-SUM(AC70,AC74)</f>
        <v>9032.0212046248162</v>
      </c>
      <c r="AD75" s="158"/>
      <c r="AE75" s="149">
        <f>AC75+AE65-SUM(AE70,AE74)</f>
        <v>11279.483316606878</v>
      </c>
      <c r="AF75" s="158"/>
      <c r="AG75" s="149">
        <f>IF(SUM(AG6:AG29)+((AG65-AG70-$J$75)*4/I$83)&lt;1,0,AG65-AG70-$J$75-(1-SUM(AG6:AG29))*I$83/4)</f>
        <v>4107.7393970063322</v>
      </c>
      <c r="AH75" s="134"/>
      <c r="AI75" s="149">
        <f>AI76-SUM(AI70,AI74)</f>
        <v>11279.483316606878</v>
      </c>
      <c r="AJ75" s="151">
        <f>AJ76-SUM(AJ70,AJ74)</f>
        <v>4924.2818076184831</v>
      </c>
      <c r="AK75" s="149">
        <f>AJ75+AK76-SUM(AK70,AK74)</f>
        <v>11279.483316606878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38811.764000000003</v>
      </c>
      <c r="J76" s="51">
        <f t="shared" si="75"/>
        <v>38534.12911984088</v>
      </c>
      <c r="K76" s="40">
        <f>SUM(K70:K75)</f>
        <v>0.99999999999999989</v>
      </c>
      <c r="L76" s="22">
        <f>SUM(L70:L75)</f>
        <v>0.69202218634727963</v>
      </c>
      <c r="M76" s="24">
        <f>SUM(M70:M75)</f>
        <v>0.69832494526887845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8174.9718168455847</v>
      </c>
      <c r="AB76" s="137"/>
      <c r="AC76" s="153">
        <f>AC65</f>
        <v>8088.4528155211592</v>
      </c>
      <c r="AD76" s="137"/>
      <c r="AE76" s="153">
        <f>AE65</f>
        <v>8262.5432075139088</v>
      </c>
      <c r="AF76" s="137"/>
      <c r="AG76" s="153">
        <f>AG65</f>
        <v>11681.181279960218</v>
      </c>
      <c r="AH76" s="137"/>
      <c r="AI76" s="153">
        <f>SUM(AA76,AC76,AE76,AG76)</f>
        <v>36207.149119840869</v>
      </c>
      <c r="AJ76" s="154">
        <f>SUM(AA76,AC76)</f>
        <v>16263.424632366743</v>
      </c>
      <c r="AK76" s="154">
        <f>SUM(AE76,AG76)</f>
        <v>19943.724487474126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180.65668339310994</v>
      </c>
      <c r="K77" s="40"/>
      <c r="L77" s="22">
        <f>-(L131*G$37*F$9/F$7)/B$130</f>
        <v>-0.23211943391940698</v>
      </c>
      <c r="M77" s="24">
        <f>-J77/B$76</f>
        <v>-3.2586275740782286E-3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4107.7393970063322</v>
      </c>
      <c r="AB78" s="112"/>
      <c r="AC78" s="112">
        <f>IF(AA75&lt;0,0,AA75)</f>
        <v>6613.1398014777869</v>
      </c>
      <c r="AD78" s="112"/>
      <c r="AE78" s="112">
        <f>AC75</f>
        <v>9032.0212046248162</v>
      </c>
      <c r="AF78" s="112"/>
      <c r="AG78" s="112">
        <f>AE75</f>
        <v>11279.483316606878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6613.1398014777869</v>
      </c>
      <c r="AB79" s="112"/>
      <c r="AC79" s="112">
        <f>AA79-AA74+AC65-AC70</f>
        <v>9032.0212046248162</v>
      </c>
      <c r="AD79" s="112"/>
      <c r="AE79" s="112">
        <f>AC79-AC74+AE65-AE70</f>
        <v>11624.992999764592</v>
      </c>
      <c r="AF79" s="112"/>
      <c r="AG79" s="112">
        <f>AE79-AE74+AG65-AG70</f>
        <v>17291.093184192967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3.2787568335910025E-2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3.2787568335910025E-2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0.50952729703440791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0.50952729703440791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2.5815842589779168</v>
      </c>
      <c r="L104" s="22">
        <f t="shared" si="91"/>
        <v>0</v>
      </c>
      <c r="M104" s="226">
        <f t="shared" si="9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3.6537154580303328</v>
      </c>
      <c r="J119" s="24">
        <f>SUM(J91:J118)</f>
        <v>3.6275790821282787</v>
      </c>
      <c r="K119" s="22">
        <f>SUM(K91:K118)</f>
        <v>8.611416397449231</v>
      </c>
      <c r="L119" s="22">
        <f>SUM(L91:L118)</f>
        <v>3.611691638127049</v>
      </c>
      <c r="M119" s="57">
        <f t="shared" si="80"/>
        <v>3.6275790821282787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8.6470283202991993E-2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1.5187956734208807</v>
      </c>
      <c r="J128" s="227">
        <f>(J30)</f>
        <v>0.21175525643970305</v>
      </c>
      <c r="K128" s="29">
        <f>(B128)</f>
        <v>0.38133509962640105</v>
      </c>
      <c r="L128" s="29">
        <f>IF(L124=L119,0,(L119-L124)/(B119-B124)*K128)</f>
        <v>9.2390620796331341E-2</v>
      </c>
      <c r="M128" s="239">
        <f t="shared" si="93"/>
        <v>0.21175525643970305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3.6537154580303328</v>
      </c>
      <c r="J130" s="227">
        <f>(J119)</f>
        <v>3.6275790821282787</v>
      </c>
      <c r="K130" s="29">
        <f>(B130)</f>
        <v>8.611416397449231</v>
      </c>
      <c r="L130" s="29">
        <f>(L119)</f>
        <v>3.611691638127049</v>
      </c>
      <c r="M130" s="239">
        <f t="shared" si="93"/>
        <v>3.6275790821282787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1.7006908439149981E-2</v>
      </c>
      <c r="K131" s="29"/>
      <c r="L131" s="29">
        <f>IF(I131&lt;SUM(L126:L127),0,I131-(SUM(L126:L127)))</f>
        <v>1.2114406663152817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4928.2068281250304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0.40644422486990511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0.40644422486990511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5089.6207606797034</v>
      </c>
      <c r="U8" s="222">
        <v>2</v>
      </c>
      <c r="V8" s="56"/>
      <c r="W8" s="115"/>
      <c r="X8" s="118">
        <f>Poor!X8</f>
        <v>1</v>
      </c>
      <c r="Y8" s="183">
        <f t="shared" si="9"/>
        <v>1.6257768994796205</v>
      </c>
      <c r="Z8" s="125">
        <f>IF($Y8=0,0,AA8/$Y8)</f>
        <v>0.38247450555225737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0.62181821576674989</v>
      </c>
      <c r="AB8" s="125">
        <f>IF($Y8=0,0,AC8/$Y8)</f>
        <v>0.38247450555225737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0.62181821576674989</v>
      </c>
      <c r="AD8" s="125">
        <f>IF($Y8=0,0,AE8/$Y8)</f>
        <v>0.23505098889548529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0.38214046794612078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0.40644422486990517</v>
      </c>
      <c r="AJ8" s="120">
        <f t="shared" si="14"/>
        <v>0.62181821576674989</v>
      </c>
      <c r="AK8" s="119">
        <f t="shared" si="15"/>
        <v>0.19107023397306039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5.7494117852447249E-2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5.7494117852447249E-2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0.229976471409789</v>
      </c>
      <c r="Z9" s="125">
        <f>IF($Y9=0,0,AA9/$Y9)</f>
        <v>0.38247450555225743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8.7960137191111912E-2</v>
      </c>
      <c r="AB9" s="125">
        <f>IF($Y9=0,0,AC9/$Y9)</f>
        <v>0.38247450555225743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8.7960137191111912E-2</v>
      </c>
      <c r="AD9" s="125">
        <f>IF($Y9=0,0,AE9/$Y9)</f>
        <v>0.2350509888954852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5.4056197027565187E-2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5.7494117852447249E-2</v>
      </c>
      <c r="AJ9" s="120">
        <f t="shared" si="14"/>
        <v>8.7960137191111912E-2</v>
      </c>
      <c r="AK9" s="119">
        <f t="shared" si="15"/>
        <v>2.7028098513782593E-2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9705.7401992928972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136962.07504183898</v>
      </c>
      <c r="T23" s="179">
        <f>SUM(T7:T22)</f>
        <v>136891.4007628028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1.3324071253621327E-2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1.3324071253621327E-2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5.3296285014485308E-2</v>
      </c>
      <c r="Z27" s="156">
        <f>Poor!Z27</f>
        <v>0.25</v>
      </c>
      <c r="AA27" s="121">
        <f t="shared" si="16"/>
        <v>1.3324071253621327E-2</v>
      </c>
      <c r="AB27" s="156">
        <f>Poor!AB27</f>
        <v>0.25</v>
      </c>
      <c r="AC27" s="121">
        <f t="shared" si="7"/>
        <v>1.3324071253621327E-2</v>
      </c>
      <c r="AD27" s="156">
        <f>Poor!AD27</f>
        <v>0.25</v>
      </c>
      <c r="AE27" s="121">
        <f t="shared" si="8"/>
        <v>1.3324071253621327E-2</v>
      </c>
      <c r="AF27" s="122">
        <f t="shared" si="10"/>
        <v>0.25</v>
      </c>
      <c r="AG27" s="121">
        <f t="shared" si="11"/>
        <v>1.3324071253621327E-2</v>
      </c>
      <c r="AH27" s="123">
        <f t="shared" si="12"/>
        <v>1</v>
      </c>
      <c r="AI27" s="183">
        <f t="shared" si="13"/>
        <v>1.3324071253621327E-2</v>
      </c>
      <c r="AJ27" s="120">
        <f t="shared" si="14"/>
        <v>1.3324071253621327E-2</v>
      </c>
      <c r="AK27" s="119">
        <f t="shared" si="15"/>
        <v>1.3324071253621327E-2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1.040063452154711E-2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1.040063452154711E-2</v>
      </c>
      <c r="N28" s="228"/>
      <c r="O28" s="2"/>
      <c r="P28" s="22"/>
      <c r="V28" s="56"/>
      <c r="W28" s="110"/>
      <c r="X28" s="118"/>
      <c r="Y28" s="183">
        <f t="shared" si="9"/>
        <v>4.160253808618844E-2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2.080126904309422E-2</v>
      </c>
      <c r="AF28" s="122">
        <f t="shared" si="10"/>
        <v>0.5</v>
      </c>
      <c r="AG28" s="121">
        <f t="shared" si="11"/>
        <v>2.080126904309422E-2</v>
      </c>
      <c r="AH28" s="123">
        <f t="shared" si="12"/>
        <v>1</v>
      </c>
      <c r="AI28" s="183">
        <f t="shared" si="13"/>
        <v>1.040063452154711E-2</v>
      </c>
      <c r="AJ28" s="120">
        <f t="shared" si="14"/>
        <v>0</v>
      </c>
      <c r="AK28" s="119">
        <f t="shared" si="15"/>
        <v>2.080126904309422E-2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0.26328291556435746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0.26328291556435746</v>
      </c>
      <c r="N29" s="228"/>
      <c r="P29" s="22"/>
      <c r="V29" s="56"/>
      <c r="W29" s="110"/>
      <c r="X29" s="118"/>
      <c r="Y29" s="183">
        <f t="shared" si="9"/>
        <v>1.0531316622574298</v>
      </c>
      <c r="Z29" s="156">
        <f>Poor!Z29</f>
        <v>0.25</v>
      </c>
      <c r="AA29" s="121">
        <f t="shared" si="16"/>
        <v>0.26328291556435746</v>
      </c>
      <c r="AB29" s="156">
        <f>Poor!AB29</f>
        <v>0.25</v>
      </c>
      <c r="AC29" s="121">
        <f t="shared" si="7"/>
        <v>0.26328291556435746</v>
      </c>
      <c r="AD29" s="156">
        <f>Poor!AD29</f>
        <v>0.25</v>
      </c>
      <c r="AE29" s="121">
        <f t="shared" si="8"/>
        <v>0.26328291556435746</v>
      </c>
      <c r="AF29" s="122">
        <f t="shared" si="10"/>
        <v>0.25</v>
      </c>
      <c r="AG29" s="121">
        <f t="shared" si="11"/>
        <v>0.26328291556435746</v>
      </c>
      <c r="AH29" s="123">
        <f t="shared" si="12"/>
        <v>1</v>
      </c>
      <c r="AI29" s="183">
        <f t="shared" si="13"/>
        <v>0.26328291556435746</v>
      </c>
      <c r="AJ29" s="120">
        <f t="shared" si="14"/>
        <v>0.26328291556435746</v>
      </c>
      <c r="AK29" s="119">
        <f t="shared" si="15"/>
        <v>0.26328291556435746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10.340977060683024</v>
      </c>
      <c r="J30" s="230">
        <f>IF(I$32&lt;=1,I30,1-SUM(J6:J29))</f>
        <v>0.22430733668531977</v>
      </c>
      <c r="K30" s="22">
        <f t="shared" si="4"/>
        <v>0.53191651606475721</v>
      </c>
      <c r="L30" s="22">
        <f>IF(L124=L119,0,IF(K30="",0,(L119-L124)/(B119-B124)*K30))</f>
        <v>0.26943447308721713</v>
      </c>
      <c r="M30" s="175">
        <f t="shared" si="6"/>
        <v>0.22430733668531977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0.89722934674127908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0.26745293380628232</v>
      </c>
      <c r="AE30" s="187">
        <f>IF(AE79*4/$I$84+SUM(AE6:AE29)&lt;1,AE79*4/$I$84,1-SUM(AE6:AE29))</f>
        <v>0.23996662108304923</v>
      </c>
      <c r="AF30" s="122">
        <f>IF($Y30=0,0,AG30/($Y$30))</f>
        <v>0.73254706619371746</v>
      </c>
      <c r="AG30" s="187">
        <f>IF(AG79*4/$I$84+SUM(AG6:AG29)&lt;1,AG79*4/$I$84,1-SUM(AG6:AG29))</f>
        <v>0.65726272565822963</v>
      </c>
      <c r="AH30" s="123">
        <f t="shared" si="12"/>
        <v>0.99999999999999978</v>
      </c>
      <c r="AI30" s="183">
        <f t="shared" si="13"/>
        <v>0.22430733668531971</v>
      </c>
      <c r="AJ30" s="120">
        <f t="shared" si="14"/>
        <v>0</v>
      </c>
      <c r="AK30" s="119">
        <f t="shared" si="15"/>
        <v>0.44861467337063943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-5.0772134980118677E-2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11.878978582570227</v>
      </c>
      <c r="J32" s="17"/>
      <c r="L32" s="22">
        <f>SUM(L6:L30)</f>
        <v>1.0507721349801187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-7.4603782163771785E-3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7523.8296118549588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6.1557710530296496E-2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7523.8296118549588</v>
      </c>
      <c r="AH37" s="123">
        <f>SUM(Z37,AB37,AD37,AF37)</f>
        <v>1</v>
      </c>
      <c r="AI37" s="112">
        <f>SUM(AA37,AC37,AE37,AG37)</f>
        <v>7523.8296118549588</v>
      </c>
      <c r="AJ37" s="148">
        <f>(AA37+AC37)</f>
        <v>0</v>
      </c>
      <c r="AK37" s="147">
        <f>(AE37+AG37)</f>
        <v>7523.8296118549588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564.28722088912195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4.6168282897722374E-3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564.28722088912195</v>
      </c>
      <c r="AH38" s="123">
        <f t="shared" ref="AH38:AI58" si="37">SUM(Z38,AB38,AD38,AF38)</f>
        <v>1</v>
      </c>
      <c r="AI38" s="112">
        <f t="shared" si="37"/>
        <v>564.28722088912195</v>
      </c>
      <c r="AJ38" s="148">
        <f t="shared" ref="AJ38:AJ64" si="38">(AA38+AC38)</f>
        <v>0</v>
      </c>
      <c r="AK38" s="147">
        <f t="shared" ref="AK38:AK64" si="39">(AE38+AG38)</f>
        <v>564.28722088912195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0.38247450555225737</v>
      </c>
      <c r="AA39" s="147">
        <f t="shared" ref="AA39:AA64" si="40">$J39*Z39</f>
        <v>0</v>
      </c>
      <c r="AB39" s="122">
        <f>AB8</f>
        <v>0.38247450555225737</v>
      </c>
      <c r="AC39" s="147">
        <f t="shared" ref="AC39:AC64" si="41">$J39*AB39</f>
        <v>0</v>
      </c>
      <c r="AD39" s="122">
        <f>AD8</f>
        <v>0.23505098889548529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3542.1339736124733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2.8980674610653172E-2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0.38247450555225743</v>
      </c>
      <c r="AA40" s="147">
        <f t="shared" si="40"/>
        <v>1354.7759401572835</v>
      </c>
      <c r="AB40" s="122">
        <f>AB9</f>
        <v>0.38247450555225743</v>
      </c>
      <c r="AC40" s="147">
        <f t="shared" si="41"/>
        <v>1354.7759401572835</v>
      </c>
      <c r="AD40" s="122">
        <f>AD9</f>
        <v>0.2350509888954852</v>
      </c>
      <c r="AE40" s="147">
        <f t="shared" si="42"/>
        <v>832.58209329790634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3542.1339736124733</v>
      </c>
      <c r="AJ40" s="148">
        <f t="shared" si="38"/>
        <v>2709.5518803145669</v>
      </c>
      <c r="AK40" s="147">
        <f t="shared" si="39"/>
        <v>832.58209329790634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699.21666028728032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5.7207803728177801E-3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699.21666028728032</v>
      </c>
      <c r="AH41" s="123">
        <f t="shared" si="37"/>
        <v>1</v>
      </c>
      <c r="AI41" s="112">
        <f t="shared" si="37"/>
        <v>699.21666028728032</v>
      </c>
      <c r="AJ41" s="148">
        <f t="shared" si="38"/>
        <v>0</v>
      </c>
      <c r="AK41" s="147">
        <f t="shared" si="39"/>
        <v>699.21666028728032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6.2344547715669593E-2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110403.4</v>
      </c>
      <c r="J65" s="39">
        <f>SUM(J37:J64)</f>
        <v>109750.26746664383</v>
      </c>
      <c r="K65" s="40">
        <f>SUM(K37:K64)</f>
        <v>0.99999999999999989</v>
      </c>
      <c r="L65" s="22">
        <f>SUM(L37:L64)</f>
        <v>0.89798324388008888</v>
      </c>
      <c r="M65" s="24">
        <f>SUM(M37:M64)</f>
        <v>0.89794367281911758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25709.975940157281</v>
      </c>
      <c r="AB65" s="137"/>
      <c r="AC65" s="153">
        <f>SUM(AC37:AC64)</f>
        <v>25709.975940157281</v>
      </c>
      <c r="AD65" s="137"/>
      <c r="AE65" s="153">
        <f>SUM(AE37:AE64)</f>
        <v>25187.782093297905</v>
      </c>
      <c r="AF65" s="137"/>
      <c r="AG65" s="153">
        <f>SUM(AG37:AG64)</f>
        <v>33142.533493031355</v>
      </c>
      <c r="AH65" s="137"/>
      <c r="AI65" s="153">
        <f>SUM(AI37:AI64)</f>
        <v>109750.26746664383</v>
      </c>
      <c r="AJ65" s="153">
        <f>SUM(AJ37:AJ64)</f>
        <v>51419.951880314562</v>
      </c>
      <c r="AK65" s="153">
        <f>SUM(AK37:AK64)</f>
        <v>58330.315586329263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91539.595292086218</v>
      </c>
      <c r="J74" s="51">
        <f t="shared" si="44"/>
        <v>1985.5960129036091</v>
      </c>
      <c r="K74" s="40">
        <f>B74/B$76</f>
        <v>2.3348041243885415E-2</v>
      </c>
      <c r="L74" s="22">
        <f t="shared" si="45"/>
        <v>1.9513900302558732E-2</v>
      </c>
      <c r="M74" s="24">
        <f>J74/B$76</f>
        <v>1.6245549261222094E-2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1543.4302078228868</v>
      </c>
      <c r="AF74" s="156"/>
      <c r="AG74" s="147">
        <f>AG30*$I$84/4</f>
        <v>4227.4177161740945</v>
      </c>
      <c r="AH74" s="155"/>
      <c r="AI74" s="147">
        <f>SUM(AA74,AC74,AE74,AG74)</f>
        <v>5770.8479239969811</v>
      </c>
      <c r="AJ74" s="148">
        <f>(AA74+AC74)</f>
        <v>0</v>
      </c>
      <c r="AK74" s="147">
        <f>(AE74+AG74)</f>
        <v>5770.8479239969811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21341.540079159779</v>
      </c>
      <c r="K75" s="40">
        <f>B75/B$76</f>
        <v>0.39797827039208566</v>
      </c>
      <c r="L75" s="22">
        <f t="shared" si="45"/>
        <v>0.17138128088460203</v>
      </c>
      <c r="M75" s="24">
        <f>J75/B$76</f>
        <v>0.17461006086496741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26624.524466173494</v>
      </c>
      <c r="AB75" s="158"/>
      <c r="AC75" s="149">
        <f>AA75+AC65-SUM(AC70,AC74)</f>
        <v>47618.549229352328</v>
      </c>
      <c r="AD75" s="158"/>
      <c r="AE75" s="149">
        <f>AC75+AE65-SUM(AE70,AE74)</f>
        <v>66546.949937848913</v>
      </c>
      <c r="AF75" s="158"/>
      <c r="AG75" s="149">
        <f>IF(SUM(AG6:AG29)+((AG65-AG70-$J$75)*4/I$83)&lt;1,0,AG65-AG70-$J$75-(1-SUM(AG6:AG29))*I$83/4)</f>
        <v>5630.4997029946544</v>
      </c>
      <c r="AH75" s="134"/>
      <c r="AI75" s="149">
        <f>AI76-SUM(AI70,AI74)</f>
        <v>85115.614834733075</v>
      </c>
      <c r="AJ75" s="151">
        <f>AJ76-SUM(AJ70,AJ74)</f>
        <v>41988.049526357681</v>
      </c>
      <c r="AK75" s="149">
        <f>AJ75+AK76-SUM(AK70,AK74)</f>
        <v>85115.614834733075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110403.4</v>
      </c>
      <c r="J76" s="51">
        <f t="shared" si="44"/>
        <v>109750.26746664383</v>
      </c>
      <c r="K76" s="40">
        <f>SUM(K70:K75)</f>
        <v>1</v>
      </c>
      <c r="L76" s="22">
        <f>SUM(L70:L75)</f>
        <v>0.89798324388008888</v>
      </c>
      <c r="M76" s="24">
        <f>SUM(M70:M75)</f>
        <v>0.89794367281911758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25709.975940157281</v>
      </c>
      <c r="AB76" s="137"/>
      <c r="AC76" s="153">
        <f>AC65</f>
        <v>25709.975940157281</v>
      </c>
      <c r="AD76" s="137"/>
      <c r="AE76" s="153">
        <f>AE65</f>
        <v>25187.782093297905</v>
      </c>
      <c r="AF76" s="137"/>
      <c r="AG76" s="153">
        <f>AG65</f>
        <v>33142.533493031355</v>
      </c>
      <c r="AH76" s="137"/>
      <c r="AI76" s="153">
        <f>SUM(AA76,AC76,AE76,AG76)</f>
        <v>109750.26746664383</v>
      </c>
      <c r="AJ76" s="154">
        <f>SUM(AA76,AC76)</f>
        <v>51419.951880314562</v>
      </c>
      <c r="AK76" s="154">
        <f>SUM(AE76,AG76)</f>
        <v>58330.315586329263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5630.4997029946544</v>
      </c>
      <c r="AB78" s="112"/>
      <c r="AC78" s="112">
        <f>IF(AA75&lt;0,0,AA75)</f>
        <v>26624.524466173494</v>
      </c>
      <c r="AD78" s="112"/>
      <c r="AE78" s="112">
        <f>AC75</f>
        <v>47618.549229352328</v>
      </c>
      <c r="AF78" s="112"/>
      <c r="AG78" s="112">
        <f>AE75</f>
        <v>66546.949937848913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26624.524466173494</v>
      </c>
      <c r="AB79" s="112"/>
      <c r="AC79" s="112">
        <f>AA79-AA74+AC65-AC70</f>
        <v>47618.549229352328</v>
      </c>
      <c r="AD79" s="112"/>
      <c r="AE79" s="112">
        <f>AC79-AC74+AE65-AE70</f>
        <v>68090.380145671792</v>
      </c>
      <c r="AF79" s="112"/>
      <c r="AG79" s="112">
        <f>AE79-AE74+AG65-AG70</f>
        <v>94973.532253901809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0.84994639943974137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0.84994639943974137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6.3745979957980606E-2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6.3745979957980606E-2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0.40014516177524823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0.40014516177524823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7.8988588723892458E-2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7.8988588723892458E-2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1.4203373323762978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12.471969350296138</v>
      </c>
      <c r="J119" s="24">
        <f>SUM(J91:J118)</f>
        <v>12.398186759019969</v>
      </c>
      <c r="K119" s="22">
        <f>SUM(K91:K118)</f>
        <v>22.782061694535514</v>
      </c>
      <c r="L119" s="22">
        <f>SUM(L91:L118)</f>
        <v>12.398733128930495</v>
      </c>
      <c r="M119" s="57">
        <f t="shared" si="49"/>
        <v>12.398186759019969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10.340977060683024</v>
      </c>
      <c r="J128" s="227">
        <f>(J30)</f>
        <v>0.22430733668531977</v>
      </c>
      <c r="K128" s="22">
        <f>(B128)</f>
        <v>0.53191651606475721</v>
      </c>
      <c r="L128" s="22">
        <f>IF(L124=L119,0,(L119-L124)/(B119-B124)*K128)</f>
        <v>0.26943447308721713</v>
      </c>
      <c r="M128" s="57">
        <f t="shared" si="63"/>
        <v>0.22430733668531977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2.4108952600680542</v>
      </c>
      <c r="K129" s="29">
        <f>(B129)</f>
        <v>9.0667655091570314</v>
      </c>
      <c r="L129" s="60">
        <f>IF(SUM(L124:L128)&gt;L130,0,L130-SUM(L124:L128))</f>
        <v>2.3663144935766809</v>
      </c>
      <c r="M129" s="57">
        <f t="shared" si="63"/>
        <v>2.4108952600680542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12.471969350296138</v>
      </c>
      <c r="J130" s="227">
        <f>(J119)</f>
        <v>12.398186759019969</v>
      </c>
      <c r="K130" s="22">
        <f>(B130)</f>
        <v>22.782061694535514</v>
      </c>
      <c r="L130" s="22">
        <f>(L119)</f>
        <v>12.398733128930495</v>
      </c>
      <c r="M130" s="57">
        <f t="shared" si="63"/>
        <v>12.398186759019969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6221.8639671541205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0.54153421894370679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0.54153421894370679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15049.245338842335</v>
      </c>
      <c r="U8" s="222">
        <v>2</v>
      </c>
      <c r="V8" s="56"/>
      <c r="W8" s="115"/>
      <c r="X8" s="118">
        <f>Poor!X8</f>
        <v>1</v>
      </c>
      <c r="Y8" s="183">
        <f t="shared" si="9"/>
        <v>2.1661368757748272</v>
      </c>
      <c r="Z8" s="125">
        <f>IF($Y8=0,0,AA8/$Y8)</f>
        <v>0.28923478566386263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0.62652213498332121</v>
      </c>
      <c r="AB8" s="125">
        <f>IF($Y8=0,0,AC8/$Y8)</f>
        <v>0.28923478566386263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0.62652213498332121</v>
      </c>
      <c r="AD8" s="125">
        <f>IF($Y8=0,0,AE8/$Y8)</f>
        <v>0.26589333262986242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0.57596135283220706</v>
      </c>
      <c r="AF8" s="122">
        <f t="shared" si="10"/>
        <v>0.15563709604241227</v>
      </c>
      <c r="AG8" s="121">
        <f t="shared" si="11"/>
        <v>0.33713125297597762</v>
      </c>
      <c r="AH8" s="123">
        <f t="shared" si="12"/>
        <v>1</v>
      </c>
      <c r="AI8" s="183">
        <f t="shared" si="13"/>
        <v>0.54153421894370679</v>
      </c>
      <c r="AJ8" s="120">
        <f t="shared" si="14"/>
        <v>0.62652213498332121</v>
      </c>
      <c r="AK8" s="119">
        <f t="shared" si="15"/>
        <v>0.45654630290409237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0.28923478566386268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5.1123066003651178E-2</v>
      </c>
      <c r="AB9" s="125">
        <f>IF($Y9=0,0,AC9/$Y9)</f>
        <v>0.28923478566386268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5.1123066003651178E-2</v>
      </c>
      <c r="AD9" s="125">
        <f>IF($Y9=0,0,AE9/$Y9)</f>
        <v>0.26589333262986237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4.6997398195958391E-2</v>
      </c>
      <c r="AF9" s="122">
        <f t="shared" si="10"/>
        <v>0.15563709604241227</v>
      </c>
      <c r="AG9" s="121">
        <f t="shared" si="11"/>
        <v>2.7509296695867495E-2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5.1123066003651178E-2</v>
      </c>
      <c r="AK9" s="119">
        <f t="shared" si="15"/>
        <v>3.7253347445912945E-2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11110.956570547572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312977.79115467437</v>
      </c>
      <c r="T23" s="179">
        <f>SUM(T7:T22)</f>
        <v>312788.36972374958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1.341058084035596E-2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1.341058084035596E-2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5.3642323361423841E-2</v>
      </c>
      <c r="Z27" s="156">
        <f>Poor!Z27</f>
        <v>0.25</v>
      </c>
      <c r="AA27" s="121">
        <f t="shared" si="16"/>
        <v>1.341058084035596E-2</v>
      </c>
      <c r="AB27" s="156">
        <f>Poor!AB27</f>
        <v>0.25</v>
      </c>
      <c r="AC27" s="121">
        <f t="shared" si="7"/>
        <v>1.341058084035596E-2</v>
      </c>
      <c r="AD27" s="156">
        <f>Poor!AD27</f>
        <v>0.25</v>
      </c>
      <c r="AE27" s="121">
        <f t="shared" si="8"/>
        <v>1.341058084035596E-2</v>
      </c>
      <c r="AF27" s="122">
        <f t="shared" si="10"/>
        <v>0.25</v>
      </c>
      <c r="AG27" s="121">
        <f t="shared" si="11"/>
        <v>1.341058084035596E-2</v>
      </c>
      <c r="AH27" s="123">
        <f t="shared" si="12"/>
        <v>1</v>
      </c>
      <c r="AI27" s="183">
        <f t="shared" si="13"/>
        <v>1.341058084035596E-2</v>
      </c>
      <c r="AJ27" s="120">
        <f t="shared" si="14"/>
        <v>1.341058084035596E-2</v>
      </c>
      <c r="AK27" s="119">
        <f t="shared" si="15"/>
        <v>1.341058084035596E-2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2.0936326050387311E-2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2.0936326050387311E-2</v>
      </c>
      <c r="N28" s="228"/>
      <c r="O28" s="2"/>
      <c r="P28" s="22"/>
      <c r="V28" s="56"/>
      <c r="W28" s="110"/>
      <c r="X28" s="118"/>
      <c r="Y28" s="183">
        <f t="shared" si="9"/>
        <v>8.3745304201549242E-2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4.1872652100774621E-2</v>
      </c>
      <c r="AF28" s="122">
        <f t="shared" si="10"/>
        <v>0.5</v>
      </c>
      <c r="AG28" s="121">
        <f t="shared" si="11"/>
        <v>4.1872652100774621E-2</v>
      </c>
      <c r="AH28" s="123">
        <f t="shared" si="12"/>
        <v>1</v>
      </c>
      <c r="AI28" s="183">
        <f t="shared" si="13"/>
        <v>2.0936326050387311E-2</v>
      </c>
      <c r="AJ28" s="120">
        <f t="shared" si="14"/>
        <v>0</v>
      </c>
      <c r="AK28" s="119">
        <f t="shared" si="15"/>
        <v>4.1872652100774621E-2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0.29532955794851218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0.29532955794851218</v>
      </c>
      <c r="N29" s="228"/>
      <c r="P29" s="22"/>
      <c r="V29" s="56"/>
      <c r="W29" s="110"/>
      <c r="X29" s="118"/>
      <c r="Y29" s="183">
        <f t="shared" si="9"/>
        <v>1.1813182317940487</v>
      </c>
      <c r="Z29" s="156">
        <f>Poor!Z29</f>
        <v>0.25</v>
      </c>
      <c r="AA29" s="121">
        <f t="shared" si="16"/>
        <v>0.29532955794851218</v>
      </c>
      <c r="AB29" s="156">
        <f>Poor!AB29</f>
        <v>0.25</v>
      </c>
      <c r="AC29" s="121">
        <f t="shared" si="7"/>
        <v>0.29532955794851218</v>
      </c>
      <c r="AD29" s="156">
        <f>Poor!AD29</f>
        <v>0.25</v>
      </c>
      <c r="AE29" s="121">
        <f t="shared" si="8"/>
        <v>0.29532955794851218</v>
      </c>
      <c r="AF29" s="122">
        <f t="shared" si="10"/>
        <v>0.25</v>
      </c>
      <c r="AG29" s="121">
        <f t="shared" si="11"/>
        <v>0.29532955794851218</v>
      </c>
      <c r="AH29" s="123">
        <f t="shared" si="12"/>
        <v>1</v>
      </c>
      <c r="AI29" s="183">
        <f t="shared" si="13"/>
        <v>0.29532955794851218</v>
      </c>
      <c r="AJ29" s="120">
        <f t="shared" si="14"/>
        <v>0.29532955794851218</v>
      </c>
      <c r="AK29" s="119">
        <f t="shared" si="15"/>
        <v>0.29532955794851218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25.360448448277456</v>
      </c>
      <c r="J30" s="230">
        <f>IF(I$32&lt;=1,I30,1-SUM(J6:J29))</f>
        <v>4.9002881596863501E-2</v>
      </c>
      <c r="K30" s="22">
        <f t="shared" si="4"/>
        <v>0.53191651606475721</v>
      </c>
      <c r="L30" s="22">
        <f>IF(L124=L119,0,IF(K30="",0,(L119-L124)/(B119-B124)*K30))</f>
        <v>0.29348095302272381</v>
      </c>
      <c r="M30" s="23">
        <f t="shared" si="6"/>
        <v>4.9002881596863501E-2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0.196011526387454</v>
      </c>
      <c r="Z30" s="122">
        <f>IF($Y30=0,0,AA30/($Y$30))</f>
        <v>1.1328140187333574E-15</v>
      </c>
      <c r="AA30" s="187">
        <f>IF(AA79*4/$I$83+SUM(AA6:AA29)&lt;1,AA79*4/$I$83,1-SUM(AA6:AA29))</f>
        <v>2.2204460492503131E-16</v>
      </c>
      <c r="AB30" s="122">
        <f>IF($Y30=0,0,AC30/($Y$30))</f>
        <v>1.1328140187333574E-15</v>
      </c>
      <c r="AC30" s="187">
        <f>IF(AC79*4/$I$83+SUM(AC6:AC29)&lt;1,AC79*4/$I$83,1-SUM(AC6:AC29))</f>
        <v>2.2204460492503131E-16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0.99999999999999778</v>
      </c>
      <c r="AG30" s="187">
        <f>IF(AG79*4/$I$83+SUM(AG6:AG29)&lt;1,AG79*4/$I$83,1-SUM(AG6:AG29))</f>
        <v>0.19601152638745356</v>
      </c>
      <c r="AH30" s="123">
        <f t="shared" si="12"/>
        <v>1</v>
      </c>
      <c r="AI30" s="183">
        <f t="shared" si="13"/>
        <v>4.9002881596863501E-2</v>
      </c>
      <c r="AJ30" s="120">
        <f t="shared" si="14"/>
        <v>2.2204460492503131E-16</v>
      </c>
      <c r="AK30" s="119">
        <f t="shared" si="15"/>
        <v>9.800576319372678E-2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-0.27913419421824059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28.821265764784833</v>
      </c>
      <c r="J32" s="17"/>
      <c r="L32" s="22">
        <f>SUM(L6:L30)</f>
        <v>1.2791341942182406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-1.4001545650267073E-2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1707.1304754563112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6.2573509106968375E-3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1707.1304754563112</v>
      </c>
      <c r="AH38" s="123">
        <f t="shared" ref="AH38:AI58" si="35">SUM(Z38,AB38,AD38,AF38)</f>
        <v>1</v>
      </c>
      <c r="AI38" s="112">
        <f t="shared" si="35"/>
        <v>1707.1304754563112</v>
      </c>
      <c r="AJ38" s="148">
        <f t="shared" ref="AJ38:AJ64" si="36">(AA38+AC38)</f>
        <v>0</v>
      </c>
      <c r="AK38" s="147">
        <f t="shared" ref="AK38:AK64" si="37">(AE38+AG38)</f>
        <v>1707.1304754563112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0.28923478566386263</v>
      </c>
      <c r="AA39" s="147">
        <f>$J39*Z39</f>
        <v>0</v>
      </c>
      <c r="AB39" s="122">
        <f>AB8</f>
        <v>0.28923478566386263</v>
      </c>
      <c r="AC39" s="147">
        <f>$J39*AB39</f>
        <v>0</v>
      </c>
      <c r="AD39" s="122">
        <f>AD8</f>
        <v>0.26589333262986242</v>
      </c>
      <c r="AE39" s="147">
        <f>$J39*AD39</f>
        <v>0</v>
      </c>
      <c r="AF39" s="122">
        <f t="shared" si="31"/>
        <v>0.15563709604241227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11141.037782368612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4.0836587428959063E-2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0.28923478566386268</v>
      </c>
      <c r="AA40" s="147">
        <f>$J40*Z40</f>
        <v>3222.3756750563816</v>
      </c>
      <c r="AB40" s="122">
        <f>AB9</f>
        <v>0.28923478566386268</v>
      </c>
      <c r="AC40" s="147">
        <f>$J40*AB40</f>
        <v>3222.3756750563816</v>
      </c>
      <c r="AD40" s="122">
        <f>AD9</f>
        <v>0.26589333262986237</v>
      </c>
      <c r="AE40" s="147">
        <f>$J40*AD40</f>
        <v>2962.3276649092018</v>
      </c>
      <c r="AF40" s="122">
        <f t="shared" si="31"/>
        <v>0.15563709604241227</v>
      </c>
      <c r="AG40" s="147">
        <f t="shared" si="34"/>
        <v>1733.9587673466476</v>
      </c>
      <c r="AH40" s="123">
        <f t="shared" si="35"/>
        <v>1</v>
      </c>
      <c r="AI40" s="112">
        <f t="shared" si="35"/>
        <v>11141.037782368614</v>
      </c>
      <c r="AJ40" s="148">
        <f t="shared" si="36"/>
        <v>6444.7513501127632</v>
      </c>
      <c r="AK40" s="147">
        <f t="shared" si="37"/>
        <v>4696.2864322558489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2.7930503628766219E-2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243441.59999999998</v>
      </c>
      <c r="J65" s="39">
        <f>SUM(J37:J64)</f>
        <v>255156.96825782492</v>
      </c>
      <c r="K65" s="40">
        <f>SUM(K37:K64)</f>
        <v>1</v>
      </c>
      <c r="L65" s="22">
        <f>SUM(L37:L64)</f>
        <v>0.93466461403122947</v>
      </c>
      <c r="M65" s="24">
        <f>SUM(M37:M64)</f>
        <v>0.93525756270737082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61561.575675056381</v>
      </c>
      <c r="AB65" s="137"/>
      <c r="AC65" s="153">
        <f>SUM(AC37:AC64)</f>
        <v>61561.575675056381</v>
      </c>
      <c r="AD65" s="137"/>
      <c r="AE65" s="153">
        <f>SUM(AE37:AE64)</f>
        <v>61301.527664909197</v>
      </c>
      <c r="AF65" s="137"/>
      <c r="AG65" s="153">
        <f>SUM(AG37:AG64)</f>
        <v>70732.289242802959</v>
      </c>
      <c r="AH65" s="137"/>
      <c r="AI65" s="153">
        <f>SUM(AI37:AI64)</f>
        <v>255156.96825782492</v>
      </c>
      <c r="AJ65" s="153">
        <f>SUM(AJ37:AJ64)</f>
        <v>123123.15135011276</v>
      </c>
      <c r="AK65" s="153">
        <f>SUM(AK37:AK64)</f>
        <v>132033.81690771214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224493.79529208623</v>
      </c>
      <c r="J74" s="51">
        <f>J128*I$83</f>
        <v>433.77950876400291</v>
      </c>
      <c r="K74" s="40">
        <f>B74/B$76</f>
        <v>1.0459977248708494E-2</v>
      </c>
      <c r="L74" s="22">
        <f>(L128*G$37*F$9/F$7)/B$130</f>
        <v>9.5225032464227172E-3</v>
      </c>
      <c r="M74" s="24">
        <f>J74/B$76</f>
        <v>1.5899842708159333E-3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4.9139150856713176E-13</v>
      </c>
      <c r="AB74" s="156"/>
      <c r="AC74" s="147">
        <f>AC30*$I$83/4</f>
        <v>4.9139150856713176E-13</v>
      </c>
      <c r="AD74" s="156"/>
      <c r="AE74" s="147">
        <f>AE30*$I$83/4</f>
        <v>0</v>
      </c>
      <c r="AF74" s="156"/>
      <c r="AG74" s="147">
        <f>AG30*$I$83/4</f>
        <v>433.77950876400189</v>
      </c>
      <c r="AH74" s="155"/>
      <c r="AI74" s="147">
        <f>SUM(AA74,AC74,AE74,AG74)</f>
        <v>433.77950876400286</v>
      </c>
      <c r="AJ74" s="148">
        <f>(AA74+AC74)</f>
        <v>9.8278301713426353E-13</v>
      </c>
      <c r="AK74" s="147">
        <f>(AE74+AG74)</f>
        <v>433.77950876400189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136494.11737448047</v>
      </c>
      <c r="K75" s="40">
        <f>B75/B$76</f>
        <v>0.63153543039514071</v>
      </c>
      <c r="L75" s="22">
        <f>(L129*G$37*F$9/F$7)/B$130</f>
        <v>0.49178285789066245</v>
      </c>
      <c r="M75" s="24">
        <f>J75/B$76</f>
        <v>0.50030832554241067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56824.624498077937</v>
      </c>
      <c r="AB75" s="158"/>
      <c r="AC75" s="149">
        <f>AA75+AC65-SUM(AC70,AC74)</f>
        <v>113649.24899615587</v>
      </c>
      <c r="AD75" s="158"/>
      <c r="AE75" s="149">
        <f>AC75+AE65-SUM(AE70,AE74)</f>
        <v>170213.82548408661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235775.38404114713</v>
      </c>
      <c r="AJ75" s="151">
        <f>AJ76-SUM(AJ70,AJ74)</f>
        <v>113649.24899615587</v>
      </c>
      <c r="AK75" s="149">
        <f>AJ75+AK76-SUM(AK70,AK74)</f>
        <v>235775.38404114713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243441.6</v>
      </c>
      <c r="J76" s="51">
        <f>J130*I$83</f>
        <v>255156.96825782489</v>
      </c>
      <c r="K76" s="40">
        <f>SUM(K70:K75)</f>
        <v>0.90075263299367103</v>
      </c>
      <c r="L76" s="22">
        <f>SUM(L70:L75)</f>
        <v>0.8175527209637613</v>
      </c>
      <c r="M76" s="24">
        <f>SUM(M70:M75)</f>
        <v>0.81814566963990265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61561.575675056381</v>
      </c>
      <c r="AB76" s="137"/>
      <c r="AC76" s="153">
        <f>AC65</f>
        <v>61561.575675056381</v>
      </c>
      <c r="AD76" s="137"/>
      <c r="AE76" s="153">
        <f>AE65</f>
        <v>61301.527664909197</v>
      </c>
      <c r="AF76" s="137"/>
      <c r="AG76" s="153">
        <f>AG65</f>
        <v>70732.289242802959</v>
      </c>
      <c r="AH76" s="137"/>
      <c r="AI76" s="153">
        <f>SUM(AA76,AC76,AE76,AG76)</f>
        <v>255156.96825782489</v>
      </c>
      <c r="AJ76" s="154">
        <f>SUM(AA76,AC76)</f>
        <v>123123.15135011276</v>
      </c>
      <c r="AK76" s="154">
        <f>SUM(AE76,AG76)</f>
        <v>132033.81690771214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56824.624498077937</v>
      </c>
      <c r="AD78" s="112"/>
      <c r="AE78" s="112">
        <f>AC75</f>
        <v>113649.24899615587</v>
      </c>
      <c r="AF78" s="112"/>
      <c r="AG78" s="112">
        <f>AE75</f>
        <v>170213.82548408661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56824.624498077937</v>
      </c>
      <c r="AB79" s="112"/>
      <c r="AC79" s="112">
        <f>AA79-AA74+AC65-AC70</f>
        <v>113649.24899615587</v>
      </c>
      <c r="AD79" s="112"/>
      <c r="AE79" s="112">
        <f>AC79-AC74+AE65-AE70</f>
        <v>170213.82548408661</v>
      </c>
      <c r="AF79" s="112"/>
      <c r="AG79" s="112">
        <f>AE79-AE74+AG65-AG70</f>
        <v>236209.16354991114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0.19284984852683512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0.19284984852683512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1.2585724873707931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1.2585724873707931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1.4203373323762978</v>
      </c>
      <c r="L104" s="22">
        <f t="shared" si="62"/>
        <v>0</v>
      </c>
      <c r="M104" s="226">
        <f t="shared" si="6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27.500929987546151</v>
      </c>
      <c r="J119" s="24">
        <f>SUM(J91:J118)</f>
        <v>28.824383013802809</v>
      </c>
      <c r="K119" s="22">
        <f>SUM(K91:K118)</f>
        <v>50.852550002480513</v>
      </c>
      <c r="L119" s="22">
        <f>SUM(L91:L118)</f>
        <v>28.806108497316515</v>
      </c>
      <c r="M119" s="57">
        <f t="shared" si="50"/>
        <v>28.824383013802809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25.360448448277456</v>
      </c>
      <c r="J128" s="227">
        <f>(J30)</f>
        <v>4.9002881596863501E-2</v>
      </c>
      <c r="K128" s="22">
        <f>(B128)</f>
        <v>0.53191651606475721</v>
      </c>
      <c r="L128" s="22">
        <f>IF(L124=L119,0,(L119-L124)/(B119-B124)*K128)</f>
        <v>0.29348095302272381</v>
      </c>
      <c r="M128" s="57">
        <f t="shared" si="90"/>
        <v>4.9002881596863501E-2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15.419366146244084</v>
      </c>
      <c r="K129" s="29">
        <f>(B129)</f>
        <v>32.115187052506947</v>
      </c>
      <c r="L129" s="60">
        <f>IF(SUM(L124:L128)&gt;L130,0,L130-SUM(L124:L128))</f>
        <v>15.156613558331928</v>
      </c>
      <c r="M129" s="57">
        <f t="shared" si="90"/>
        <v>15.419366146244084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27.500929987546151</v>
      </c>
      <c r="J130" s="227">
        <f>(J119)</f>
        <v>28.824383013802809</v>
      </c>
      <c r="K130" s="22">
        <f>(B130)</f>
        <v>50.852550002480513</v>
      </c>
      <c r="L130" s="22">
        <f>(L119)</f>
        <v>28.806108497316515</v>
      </c>
      <c r="M130" s="57">
        <f t="shared" si="90"/>
        <v>28.824383013802809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4" workbookViewId="0">
      <selection activeCell="T66" sqref="T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4482.4833780377148</v>
      </c>
      <c r="H72" s="109">
        <f>Middle!T7</f>
        <v>4928.2068281250304</v>
      </c>
      <c r="I72" s="109">
        <f>Rich!T7</f>
        <v>6221.8639671541205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348.28748407059135</v>
      </c>
      <c r="H73" s="109">
        <f>Middle!T8</f>
        <v>5089.6207606797034</v>
      </c>
      <c r="I73" s="109">
        <f>Rich!T8</f>
        <v>15049.245338842335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9705.7401992928972</v>
      </c>
      <c r="I76" s="109">
        <f>Rich!T11</f>
        <v>11110.956570547572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14740.833748108684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5412.4776357702804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14124.406780496558</v>
      </c>
      <c r="G88" s="109">
        <f>Poor!T23</f>
        <v>45239.550326090735</v>
      </c>
      <c r="H88" s="109">
        <f>Middle!T23</f>
        <v>136891.4007628028</v>
      </c>
      <c r="I88" s="109">
        <f>Rich!T23</f>
        <v>312788.36972374958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16839.211142193642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30626.331142193638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55179.77114219364</v>
      </c>
      <c r="G100" s="238">
        <f t="shared" si="0"/>
        <v>24015.627596599465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2016-08-08T16:52:46Z</dcterms:modified>
  <cp:category/>
</cp:coreProperties>
</file>