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17920" windowHeight="16940" activeTab="1"/>
  </bookViews>
  <sheets>
    <sheet name="V.Poor" sheetId="12" r:id="rId1"/>
    <sheet name="Poor" sheetId="1" r:id="rId2"/>
    <sheet name="Middle" sheetId="7" r:id="rId3"/>
    <sheet name="Rich" sheetId="8" r:id="rId4"/>
    <sheet name="Food" sheetId="10" r:id="rId5"/>
    <sheet name="Income" sheetId="9" r:id="rId6"/>
    <sheet name="Expenditure" sheetId="11" r:id="rId7"/>
    <sheet name="Percentiles" sheetId="13" r:id="rId8"/>
  </sheets>
  <definedNames>
    <definedName name="_xlnm.Print_Area" localSheetId="2">Middle!$A$1:$M$132</definedName>
    <definedName name="_xlnm.Print_Area" localSheetId="1">Poor!$A$1:$AK$86</definedName>
    <definedName name="_xlnm.Print_Area" localSheetId="3">Rich!$A$1:$M$132</definedName>
    <definedName name="_xlnm.Print_Area" localSheetId="0">V.Poor!$A$1:$M$132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9" i="1" l="1"/>
  <c r="E48" i="1"/>
  <c r="E47" i="1"/>
  <c r="E46" i="1"/>
  <c r="E45" i="1"/>
  <c r="E44" i="1"/>
  <c r="E43" i="1"/>
  <c r="E42" i="1"/>
  <c r="E41" i="1"/>
  <c r="B1" i="8"/>
  <c r="B1" i="7"/>
  <c r="B1" i="12"/>
  <c r="B72" i="8"/>
  <c r="B71" i="8"/>
  <c r="B70" i="8"/>
  <c r="B72" i="7"/>
  <c r="B70" i="7"/>
  <c r="B71" i="7"/>
  <c r="D6" i="8"/>
  <c r="E6" i="7"/>
  <c r="E6" i="8"/>
  <c r="H6" i="8"/>
  <c r="I6" i="8"/>
  <c r="D7" i="8"/>
  <c r="E7" i="7"/>
  <c r="E7" i="8"/>
  <c r="H7" i="8"/>
  <c r="I7" i="8"/>
  <c r="D8" i="8"/>
  <c r="E8" i="7"/>
  <c r="E8" i="8"/>
  <c r="H8" i="8"/>
  <c r="I8" i="8"/>
  <c r="D9" i="8"/>
  <c r="E9" i="7"/>
  <c r="E9" i="8"/>
  <c r="H9" i="8"/>
  <c r="I9" i="8"/>
  <c r="D10" i="8"/>
  <c r="E10" i="7"/>
  <c r="E10" i="8"/>
  <c r="H10" i="8"/>
  <c r="I10" i="8"/>
  <c r="D11" i="8"/>
  <c r="E11" i="7"/>
  <c r="E11" i="8"/>
  <c r="H11" i="8"/>
  <c r="I11" i="8"/>
  <c r="D12" i="8"/>
  <c r="E12" i="7"/>
  <c r="E12" i="8"/>
  <c r="H12" i="8"/>
  <c r="I12" i="8"/>
  <c r="D13" i="8"/>
  <c r="E13" i="7"/>
  <c r="E13" i="8"/>
  <c r="H13" i="8"/>
  <c r="I13" i="8"/>
  <c r="D14" i="8"/>
  <c r="E14" i="7"/>
  <c r="E14" i="8"/>
  <c r="H14" i="8"/>
  <c r="I14" i="8"/>
  <c r="D15" i="8"/>
  <c r="E15" i="7"/>
  <c r="E15" i="8"/>
  <c r="H15" i="8"/>
  <c r="I15" i="8"/>
  <c r="D16" i="8"/>
  <c r="E16" i="7"/>
  <c r="E16" i="8"/>
  <c r="H16" i="8"/>
  <c r="I16" i="8"/>
  <c r="D17" i="8"/>
  <c r="E17" i="7"/>
  <c r="E17" i="8"/>
  <c r="H17" i="8"/>
  <c r="I17" i="8"/>
  <c r="D18" i="8"/>
  <c r="E18" i="7"/>
  <c r="E18" i="8"/>
  <c r="H18" i="8"/>
  <c r="I18" i="8"/>
  <c r="D19" i="8"/>
  <c r="E19" i="7"/>
  <c r="E19" i="8"/>
  <c r="H19" i="8"/>
  <c r="I19" i="8"/>
  <c r="D20" i="8"/>
  <c r="E20" i="7"/>
  <c r="E20" i="8"/>
  <c r="H20" i="8"/>
  <c r="I20" i="8"/>
  <c r="D21" i="8"/>
  <c r="I21" i="8"/>
  <c r="D22" i="8"/>
  <c r="I22" i="8"/>
  <c r="D23" i="8"/>
  <c r="I23" i="8"/>
  <c r="D24" i="8"/>
  <c r="I24" i="8"/>
  <c r="D25" i="8"/>
  <c r="I25" i="8"/>
  <c r="D26" i="8"/>
  <c r="I26" i="8"/>
  <c r="D27" i="8"/>
  <c r="I27" i="8"/>
  <c r="D28" i="8"/>
  <c r="I28" i="8"/>
  <c r="D29" i="8"/>
  <c r="I29" i="8"/>
  <c r="B83" i="8"/>
  <c r="B91" i="8"/>
  <c r="C91" i="8"/>
  <c r="D91" i="8"/>
  <c r="E37" i="7"/>
  <c r="E37" i="8"/>
  <c r="F37" i="7"/>
  <c r="F37" i="8"/>
  <c r="H91" i="8"/>
  <c r="I91" i="8"/>
  <c r="B92" i="8"/>
  <c r="C92" i="8"/>
  <c r="D92" i="8"/>
  <c r="E38" i="7"/>
  <c r="E38" i="8"/>
  <c r="F38" i="7"/>
  <c r="F38" i="8"/>
  <c r="H92" i="8"/>
  <c r="I92" i="8"/>
  <c r="B93" i="8"/>
  <c r="C93" i="8"/>
  <c r="D93" i="8"/>
  <c r="E39" i="7"/>
  <c r="E39" i="8"/>
  <c r="F39" i="7"/>
  <c r="F39" i="8"/>
  <c r="H93" i="8"/>
  <c r="I93" i="8"/>
  <c r="B94" i="8"/>
  <c r="C94" i="8"/>
  <c r="D94" i="8"/>
  <c r="E40" i="7"/>
  <c r="E40" i="8"/>
  <c r="F40" i="7"/>
  <c r="F40" i="8"/>
  <c r="H94" i="8"/>
  <c r="I94" i="8"/>
  <c r="B95" i="8"/>
  <c r="C95" i="8"/>
  <c r="D95" i="8"/>
  <c r="E41" i="7"/>
  <c r="E41" i="8"/>
  <c r="F41" i="7"/>
  <c r="F41" i="8"/>
  <c r="H95" i="8"/>
  <c r="I95" i="8"/>
  <c r="B96" i="8"/>
  <c r="C96" i="8"/>
  <c r="D96" i="8"/>
  <c r="E42" i="7"/>
  <c r="E42" i="8"/>
  <c r="F42" i="7"/>
  <c r="F42" i="8"/>
  <c r="H96" i="8"/>
  <c r="I96" i="8"/>
  <c r="B97" i="8"/>
  <c r="C97" i="8"/>
  <c r="D97" i="8"/>
  <c r="E43" i="7"/>
  <c r="E43" i="8"/>
  <c r="F43" i="7"/>
  <c r="F43" i="8"/>
  <c r="H97" i="8"/>
  <c r="I97" i="8"/>
  <c r="B98" i="8"/>
  <c r="C98" i="8"/>
  <c r="D98" i="8"/>
  <c r="E44" i="7"/>
  <c r="E44" i="8"/>
  <c r="F44" i="7"/>
  <c r="F44" i="8"/>
  <c r="H98" i="8"/>
  <c r="I98" i="8"/>
  <c r="B99" i="8"/>
  <c r="C99" i="8"/>
  <c r="D99" i="8"/>
  <c r="E45" i="7"/>
  <c r="E45" i="8"/>
  <c r="F45" i="7"/>
  <c r="F45" i="8"/>
  <c r="H99" i="8"/>
  <c r="I99" i="8"/>
  <c r="B100" i="8"/>
  <c r="C100" i="8"/>
  <c r="D100" i="8"/>
  <c r="E46" i="7"/>
  <c r="E46" i="8"/>
  <c r="F46" i="7"/>
  <c r="F46" i="8"/>
  <c r="H100" i="8"/>
  <c r="I100" i="8"/>
  <c r="B101" i="8"/>
  <c r="C101" i="8"/>
  <c r="D101" i="8"/>
  <c r="E47" i="7"/>
  <c r="E47" i="8"/>
  <c r="F47" i="7"/>
  <c r="F47" i="8"/>
  <c r="H101" i="8"/>
  <c r="I101" i="8"/>
  <c r="B102" i="8"/>
  <c r="C102" i="8"/>
  <c r="D102" i="8"/>
  <c r="E48" i="7"/>
  <c r="E48" i="8"/>
  <c r="F48" i="7"/>
  <c r="F48" i="8"/>
  <c r="H102" i="8"/>
  <c r="I102" i="8"/>
  <c r="B103" i="8"/>
  <c r="C103" i="8"/>
  <c r="D103" i="8"/>
  <c r="E49" i="7"/>
  <c r="E49" i="8"/>
  <c r="F49" i="7"/>
  <c r="F49" i="8"/>
  <c r="H103" i="8"/>
  <c r="I103" i="8"/>
  <c r="B104" i="8"/>
  <c r="C104" i="8"/>
  <c r="D104" i="8"/>
  <c r="F50" i="7"/>
  <c r="F50" i="8"/>
  <c r="E50" i="7"/>
  <c r="E50" i="8"/>
  <c r="H104" i="8"/>
  <c r="I104" i="8"/>
  <c r="B105" i="8"/>
  <c r="C105" i="8"/>
  <c r="D105" i="8"/>
  <c r="F51" i="7"/>
  <c r="F51" i="8"/>
  <c r="E51" i="7"/>
  <c r="E51" i="8"/>
  <c r="H105" i="8"/>
  <c r="I105" i="8"/>
  <c r="B106" i="8"/>
  <c r="C106" i="8"/>
  <c r="D106" i="8"/>
  <c r="F52" i="7"/>
  <c r="F52" i="8"/>
  <c r="E52" i="7"/>
  <c r="E52" i="8"/>
  <c r="H106" i="8"/>
  <c r="I106" i="8"/>
  <c r="B107" i="8"/>
  <c r="C107" i="8"/>
  <c r="D107" i="8"/>
  <c r="F53" i="7"/>
  <c r="F53" i="8"/>
  <c r="E53" i="7"/>
  <c r="E53" i="8"/>
  <c r="H107" i="8"/>
  <c r="I107" i="8"/>
  <c r="B108" i="8"/>
  <c r="C108" i="8"/>
  <c r="D108" i="8"/>
  <c r="F54" i="7"/>
  <c r="F54" i="8"/>
  <c r="E54" i="7"/>
  <c r="E54" i="8"/>
  <c r="H108" i="8"/>
  <c r="I108" i="8"/>
  <c r="B109" i="8"/>
  <c r="C109" i="8"/>
  <c r="D109" i="8"/>
  <c r="F55" i="7"/>
  <c r="F55" i="8"/>
  <c r="E55" i="7"/>
  <c r="E55" i="8"/>
  <c r="H109" i="8"/>
  <c r="I109" i="8"/>
  <c r="B110" i="8"/>
  <c r="C110" i="8"/>
  <c r="D110" i="8"/>
  <c r="F56" i="7"/>
  <c r="F56" i="8"/>
  <c r="E56" i="7"/>
  <c r="E56" i="8"/>
  <c r="H110" i="8"/>
  <c r="I110" i="8"/>
  <c r="B111" i="8"/>
  <c r="C111" i="8"/>
  <c r="D111" i="8"/>
  <c r="F57" i="7"/>
  <c r="F57" i="8"/>
  <c r="H111" i="8"/>
  <c r="I111" i="8"/>
  <c r="B112" i="8"/>
  <c r="C112" i="8"/>
  <c r="D112" i="8"/>
  <c r="F58" i="7"/>
  <c r="F58" i="8"/>
  <c r="H112" i="8"/>
  <c r="I112" i="8"/>
  <c r="B113" i="8"/>
  <c r="C113" i="8"/>
  <c r="D113" i="8"/>
  <c r="F59" i="7"/>
  <c r="F59" i="8"/>
  <c r="H113" i="8"/>
  <c r="I113" i="8"/>
  <c r="B114" i="8"/>
  <c r="C114" i="8"/>
  <c r="D114" i="8"/>
  <c r="I114" i="8"/>
  <c r="B115" i="8"/>
  <c r="C115" i="8"/>
  <c r="D115" i="8"/>
  <c r="F61" i="7"/>
  <c r="F61" i="8"/>
  <c r="H115" i="8"/>
  <c r="I115" i="8"/>
  <c r="B116" i="8"/>
  <c r="C116" i="8"/>
  <c r="D116" i="8"/>
  <c r="I116" i="8"/>
  <c r="B117" i="8"/>
  <c r="C117" i="8"/>
  <c r="D117" i="8"/>
  <c r="I117" i="8"/>
  <c r="B118" i="8"/>
  <c r="C118" i="8"/>
  <c r="D118" i="8"/>
  <c r="I118" i="8"/>
  <c r="I119" i="8"/>
  <c r="B124" i="8"/>
  <c r="F70" i="7"/>
  <c r="F70" i="8"/>
  <c r="H124" i="8"/>
  <c r="I124" i="8"/>
  <c r="I30" i="8"/>
  <c r="I32" i="8"/>
  <c r="B125" i="8"/>
  <c r="I128" i="8"/>
  <c r="F71" i="7"/>
  <c r="F71" i="8"/>
  <c r="H125" i="8"/>
  <c r="I131" i="8"/>
  <c r="B127" i="8"/>
  <c r="K127" i="8"/>
  <c r="K6" i="8"/>
  <c r="L6" i="8"/>
  <c r="K7" i="8"/>
  <c r="L7" i="8"/>
  <c r="K8" i="8"/>
  <c r="L8" i="8"/>
  <c r="K9" i="8"/>
  <c r="L9" i="8"/>
  <c r="K10" i="8"/>
  <c r="L10" i="8"/>
  <c r="K11" i="8"/>
  <c r="L11" i="8"/>
  <c r="K12" i="8"/>
  <c r="L12" i="8"/>
  <c r="K13" i="8"/>
  <c r="L13" i="8"/>
  <c r="K14" i="8"/>
  <c r="L14" i="8"/>
  <c r="K15" i="8"/>
  <c r="L15" i="8"/>
  <c r="K16" i="8"/>
  <c r="L16" i="8"/>
  <c r="K17" i="8"/>
  <c r="L17" i="8"/>
  <c r="K18" i="8"/>
  <c r="L18" i="8"/>
  <c r="K19" i="8"/>
  <c r="L19" i="8"/>
  <c r="K20" i="8"/>
  <c r="L20" i="8"/>
  <c r="K21" i="8"/>
  <c r="L21" i="8"/>
  <c r="K22" i="8"/>
  <c r="L22" i="8"/>
  <c r="K23" i="8"/>
  <c r="L23" i="8"/>
  <c r="K24" i="8"/>
  <c r="L24" i="8"/>
  <c r="K25" i="8"/>
  <c r="L25" i="8"/>
  <c r="K26" i="8"/>
  <c r="L26" i="8"/>
  <c r="K27" i="8"/>
  <c r="L27" i="8"/>
  <c r="K28" i="8"/>
  <c r="L28" i="8"/>
  <c r="K29" i="8"/>
  <c r="L29" i="8"/>
  <c r="K91" i="8"/>
  <c r="L91" i="8"/>
  <c r="K92" i="8"/>
  <c r="L92" i="8"/>
  <c r="K93" i="8"/>
  <c r="L93" i="8"/>
  <c r="K94" i="8"/>
  <c r="L94" i="8"/>
  <c r="K95" i="8"/>
  <c r="L95" i="8"/>
  <c r="K96" i="8"/>
  <c r="L96" i="8"/>
  <c r="K97" i="8"/>
  <c r="L97" i="8"/>
  <c r="K98" i="8"/>
  <c r="L98" i="8"/>
  <c r="K99" i="8"/>
  <c r="L99" i="8"/>
  <c r="K100" i="8"/>
  <c r="L100" i="8"/>
  <c r="K101" i="8"/>
  <c r="L101" i="8"/>
  <c r="K102" i="8"/>
  <c r="L102" i="8"/>
  <c r="K103" i="8"/>
  <c r="L103" i="8"/>
  <c r="K104" i="8"/>
  <c r="L104" i="8"/>
  <c r="K105" i="8"/>
  <c r="L105" i="8"/>
  <c r="K106" i="8"/>
  <c r="L106" i="8"/>
  <c r="K107" i="8"/>
  <c r="L107" i="8"/>
  <c r="K108" i="8"/>
  <c r="L108" i="8"/>
  <c r="K109" i="8"/>
  <c r="L109" i="8"/>
  <c r="K110" i="8"/>
  <c r="L110" i="8"/>
  <c r="K111" i="8"/>
  <c r="L111" i="8"/>
  <c r="K112" i="8"/>
  <c r="L112" i="8"/>
  <c r="K113" i="8"/>
  <c r="L113" i="8"/>
  <c r="K114" i="8"/>
  <c r="L114" i="8"/>
  <c r="K115" i="8"/>
  <c r="L115" i="8"/>
  <c r="K116" i="8"/>
  <c r="L116" i="8"/>
  <c r="K117" i="8"/>
  <c r="L117" i="8"/>
  <c r="K118" i="8"/>
  <c r="L118" i="8"/>
  <c r="L119" i="8"/>
  <c r="L124" i="8"/>
  <c r="K30" i="8"/>
  <c r="B119" i="8"/>
  <c r="L30" i="8"/>
  <c r="L32" i="8"/>
  <c r="B126" i="8"/>
  <c r="B128" i="8"/>
  <c r="K128" i="8"/>
  <c r="L128" i="8"/>
  <c r="F72" i="7"/>
  <c r="F72" i="8"/>
  <c r="H126" i="8"/>
  <c r="F73" i="7"/>
  <c r="F73" i="8"/>
  <c r="H127" i="8"/>
  <c r="L127" i="8"/>
  <c r="J33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D6" i="7"/>
  <c r="H6" i="7"/>
  <c r="I6" i="7"/>
  <c r="D7" i="7"/>
  <c r="H7" i="7"/>
  <c r="I7" i="7"/>
  <c r="D8" i="7"/>
  <c r="H8" i="7"/>
  <c r="I8" i="7"/>
  <c r="D9" i="7"/>
  <c r="H9" i="7"/>
  <c r="I9" i="7"/>
  <c r="D10" i="7"/>
  <c r="H10" i="7"/>
  <c r="I10" i="7"/>
  <c r="D11" i="7"/>
  <c r="H11" i="7"/>
  <c r="I11" i="7"/>
  <c r="D12" i="7"/>
  <c r="H12" i="7"/>
  <c r="I12" i="7"/>
  <c r="D13" i="7"/>
  <c r="H13" i="7"/>
  <c r="I13" i="7"/>
  <c r="D14" i="7"/>
  <c r="H14" i="7"/>
  <c r="I14" i="7"/>
  <c r="D15" i="7"/>
  <c r="H15" i="7"/>
  <c r="I15" i="7"/>
  <c r="D16" i="7"/>
  <c r="H16" i="7"/>
  <c r="I16" i="7"/>
  <c r="D17" i="7"/>
  <c r="H17" i="7"/>
  <c r="I17" i="7"/>
  <c r="D18" i="7"/>
  <c r="H18" i="7"/>
  <c r="I18" i="7"/>
  <c r="D19" i="7"/>
  <c r="H19" i="7"/>
  <c r="I19" i="7"/>
  <c r="D20" i="7"/>
  <c r="H20" i="7"/>
  <c r="I20" i="7"/>
  <c r="D21" i="7"/>
  <c r="I21" i="7"/>
  <c r="D22" i="7"/>
  <c r="I22" i="7"/>
  <c r="D23" i="7"/>
  <c r="I23" i="7"/>
  <c r="D24" i="7"/>
  <c r="I24" i="7"/>
  <c r="D25" i="7"/>
  <c r="I25" i="7"/>
  <c r="D26" i="7"/>
  <c r="I26" i="7"/>
  <c r="D27" i="7"/>
  <c r="I27" i="7"/>
  <c r="D28" i="7"/>
  <c r="I28" i="7"/>
  <c r="D29" i="7"/>
  <c r="I29" i="7"/>
  <c r="B83" i="7"/>
  <c r="B91" i="7"/>
  <c r="C91" i="7"/>
  <c r="D91" i="7"/>
  <c r="H91" i="7"/>
  <c r="I91" i="7"/>
  <c r="B92" i="7"/>
  <c r="C92" i="7"/>
  <c r="D92" i="7"/>
  <c r="H92" i="7"/>
  <c r="I92" i="7"/>
  <c r="B93" i="7"/>
  <c r="C93" i="7"/>
  <c r="D93" i="7"/>
  <c r="H93" i="7"/>
  <c r="I93" i="7"/>
  <c r="B94" i="7"/>
  <c r="C94" i="7"/>
  <c r="D94" i="7"/>
  <c r="H94" i="7"/>
  <c r="I94" i="7"/>
  <c r="B95" i="7"/>
  <c r="C95" i="7"/>
  <c r="D95" i="7"/>
  <c r="H95" i="7"/>
  <c r="I95" i="7"/>
  <c r="B96" i="7"/>
  <c r="C96" i="7"/>
  <c r="D96" i="7"/>
  <c r="H96" i="7"/>
  <c r="I96" i="7"/>
  <c r="B97" i="7"/>
  <c r="C97" i="7"/>
  <c r="D97" i="7"/>
  <c r="H97" i="7"/>
  <c r="I97" i="7"/>
  <c r="B98" i="7"/>
  <c r="C98" i="7"/>
  <c r="D98" i="7"/>
  <c r="H98" i="7"/>
  <c r="I98" i="7"/>
  <c r="B99" i="7"/>
  <c r="C99" i="7"/>
  <c r="D99" i="7"/>
  <c r="H99" i="7"/>
  <c r="I99" i="7"/>
  <c r="B100" i="7"/>
  <c r="C100" i="7"/>
  <c r="D100" i="7"/>
  <c r="H100" i="7"/>
  <c r="I100" i="7"/>
  <c r="B101" i="7"/>
  <c r="C101" i="7"/>
  <c r="D101" i="7"/>
  <c r="H101" i="7"/>
  <c r="I101" i="7"/>
  <c r="B102" i="7"/>
  <c r="C102" i="7"/>
  <c r="D102" i="7"/>
  <c r="H102" i="7"/>
  <c r="I102" i="7"/>
  <c r="B103" i="7"/>
  <c r="C103" i="7"/>
  <c r="D103" i="7"/>
  <c r="H103" i="7"/>
  <c r="I103" i="7"/>
  <c r="B104" i="7"/>
  <c r="C104" i="7"/>
  <c r="D104" i="7"/>
  <c r="H104" i="7"/>
  <c r="I104" i="7"/>
  <c r="B105" i="7"/>
  <c r="C105" i="7"/>
  <c r="D105" i="7"/>
  <c r="H105" i="7"/>
  <c r="I105" i="7"/>
  <c r="B106" i="7"/>
  <c r="C106" i="7"/>
  <c r="D106" i="7"/>
  <c r="H106" i="7"/>
  <c r="I106" i="7"/>
  <c r="B107" i="7"/>
  <c r="C107" i="7"/>
  <c r="D107" i="7"/>
  <c r="H107" i="7"/>
  <c r="I107" i="7"/>
  <c r="B108" i="7"/>
  <c r="C108" i="7"/>
  <c r="D108" i="7"/>
  <c r="H108" i="7"/>
  <c r="I108" i="7"/>
  <c r="B109" i="7"/>
  <c r="C109" i="7"/>
  <c r="D109" i="7"/>
  <c r="H109" i="7"/>
  <c r="I109" i="7"/>
  <c r="B110" i="7"/>
  <c r="C110" i="7"/>
  <c r="D110" i="7"/>
  <c r="H110" i="7"/>
  <c r="I110" i="7"/>
  <c r="B111" i="7"/>
  <c r="C111" i="7"/>
  <c r="D111" i="7"/>
  <c r="H111" i="7"/>
  <c r="I111" i="7"/>
  <c r="B112" i="7"/>
  <c r="C112" i="7"/>
  <c r="D112" i="7"/>
  <c r="H112" i="7"/>
  <c r="I112" i="7"/>
  <c r="B113" i="7"/>
  <c r="C113" i="7"/>
  <c r="D113" i="7"/>
  <c r="H113" i="7"/>
  <c r="I113" i="7"/>
  <c r="B114" i="7"/>
  <c r="C114" i="7"/>
  <c r="D114" i="7"/>
  <c r="I114" i="7"/>
  <c r="B115" i="7"/>
  <c r="C115" i="7"/>
  <c r="D115" i="7"/>
  <c r="H115" i="7"/>
  <c r="I115" i="7"/>
  <c r="B116" i="7"/>
  <c r="C116" i="7"/>
  <c r="D116" i="7"/>
  <c r="I116" i="7"/>
  <c r="B117" i="7"/>
  <c r="C117" i="7"/>
  <c r="D117" i="7"/>
  <c r="I117" i="7"/>
  <c r="B118" i="7"/>
  <c r="C118" i="7"/>
  <c r="D118" i="7"/>
  <c r="I118" i="7"/>
  <c r="I119" i="7"/>
  <c r="B124" i="7"/>
  <c r="H124" i="7"/>
  <c r="I124" i="7"/>
  <c r="I30" i="7"/>
  <c r="I32" i="7"/>
  <c r="B125" i="7"/>
  <c r="I128" i="7"/>
  <c r="H125" i="7"/>
  <c r="I131" i="7"/>
  <c r="B127" i="7"/>
  <c r="K127" i="7"/>
  <c r="K6" i="7"/>
  <c r="L6" i="7"/>
  <c r="K7" i="7"/>
  <c r="L7" i="7"/>
  <c r="K8" i="7"/>
  <c r="L8" i="7"/>
  <c r="K9" i="7"/>
  <c r="L9" i="7"/>
  <c r="K10" i="7"/>
  <c r="L10" i="7"/>
  <c r="K11" i="7"/>
  <c r="L11" i="7"/>
  <c r="K12" i="7"/>
  <c r="L12" i="7"/>
  <c r="K13" i="7"/>
  <c r="L13" i="7"/>
  <c r="K14" i="7"/>
  <c r="L14" i="7"/>
  <c r="K15" i="7"/>
  <c r="L15" i="7"/>
  <c r="K16" i="7"/>
  <c r="L16" i="7"/>
  <c r="K17" i="7"/>
  <c r="L17" i="7"/>
  <c r="K18" i="7"/>
  <c r="L18" i="7"/>
  <c r="K19" i="7"/>
  <c r="L19" i="7"/>
  <c r="K20" i="7"/>
  <c r="L20" i="7"/>
  <c r="K21" i="7"/>
  <c r="L21" i="7"/>
  <c r="K22" i="7"/>
  <c r="L22" i="7"/>
  <c r="K23" i="7"/>
  <c r="L23" i="7"/>
  <c r="K24" i="7"/>
  <c r="L24" i="7"/>
  <c r="K25" i="7"/>
  <c r="L25" i="7"/>
  <c r="K26" i="7"/>
  <c r="L26" i="7"/>
  <c r="K27" i="7"/>
  <c r="L27" i="7"/>
  <c r="K28" i="7"/>
  <c r="L28" i="7"/>
  <c r="K29" i="7"/>
  <c r="L29" i="7"/>
  <c r="K91" i="7"/>
  <c r="L91" i="7"/>
  <c r="K92" i="7"/>
  <c r="L92" i="7"/>
  <c r="K93" i="7"/>
  <c r="L93" i="7"/>
  <c r="K94" i="7"/>
  <c r="L94" i="7"/>
  <c r="K95" i="7"/>
  <c r="L95" i="7"/>
  <c r="K96" i="7"/>
  <c r="L96" i="7"/>
  <c r="K97" i="7"/>
  <c r="L97" i="7"/>
  <c r="K98" i="7"/>
  <c r="L98" i="7"/>
  <c r="K99" i="7"/>
  <c r="L99" i="7"/>
  <c r="K100" i="7"/>
  <c r="L100" i="7"/>
  <c r="K101" i="7"/>
  <c r="L101" i="7"/>
  <c r="K102" i="7"/>
  <c r="L102" i="7"/>
  <c r="K103" i="7"/>
  <c r="L103" i="7"/>
  <c r="K104" i="7"/>
  <c r="L104" i="7"/>
  <c r="K105" i="7"/>
  <c r="L105" i="7"/>
  <c r="K106" i="7"/>
  <c r="L106" i="7"/>
  <c r="K107" i="7"/>
  <c r="L107" i="7"/>
  <c r="K108" i="7"/>
  <c r="L108" i="7"/>
  <c r="K109" i="7"/>
  <c r="L109" i="7"/>
  <c r="K110" i="7"/>
  <c r="L110" i="7"/>
  <c r="K111" i="7"/>
  <c r="L111" i="7"/>
  <c r="K112" i="7"/>
  <c r="L112" i="7"/>
  <c r="K113" i="7"/>
  <c r="L113" i="7"/>
  <c r="K114" i="7"/>
  <c r="L114" i="7"/>
  <c r="K115" i="7"/>
  <c r="L115" i="7"/>
  <c r="K116" i="7"/>
  <c r="L116" i="7"/>
  <c r="K117" i="7"/>
  <c r="L117" i="7"/>
  <c r="K118" i="7"/>
  <c r="L118" i="7"/>
  <c r="L119" i="7"/>
  <c r="L124" i="7"/>
  <c r="K30" i="7"/>
  <c r="B119" i="7"/>
  <c r="L30" i="7"/>
  <c r="L32" i="7"/>
  <c r="B126" i="7"/>
  <c r="B128" i="7"/>
  <c r="K128" i="7"/>
  <c r="L128" i="7"/>
  <c r="H126" i="7"/>
  <c r="H127" i="7"/>
  <c r="L127" i="7"/>
  <c r="J33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D6" i="1"/>
  <c r="H6" i="1"/>
  <c r="I6" i="1"/>
  <c r="D7" i="1"/>
  <c r="H7" i="1"/>
  <c r="I7" i="1"/>
  <c r="D8" i="1"/>
  <c r="H8" i="1"/>
  <c r="I8" i="1"/>
  <c r="D9" i="1"/>
  <c r="H9" i="1"/>
  <c r="I9" i="1"/>
  <c r="D10" i="1"/>
  <c r="H10" i="1"/>
  <c r="I10" i="1"/>
  <c r="D11" i="1"/>
  <c r="H11" i="1"/>
  <c r="I11" i="1"/>
  <c r="D12" i="1"/>
  <c r="H12" i="1"/>
  <c r="I12" i="1"/>
  <c r="D13" i="1"/>
  <c r="H13" i="1"/>
  <c r="I13" i="1"/>
  <c r="D14" i="1"/>
  <c r="H14" i="1"/>
  <c r="I14" i="1"/>
  <c r="D15" i="1"/>
  <c r="H15" i="1"/>
  <c r="I15" i="1"/>
  <c r="D16" i="1"/>
  <c r="H16" i="1"/>
  <c r="I16" i="1"/>
  <c r="D17" i="1"/>
  <c r="H17" i="1"/>
  <c r="I17" i="1"/>
  <c r="D18" i="1"/>
  <c r="H18" i="1"/>
  <c r="I18" i="1"/>
  <c r="D19" i="1"/>
  <c r="H19" i="1"/>
  <c r="I19" i="1"/>
  <c r="D20" i="1"/>
  <c r="H20" i="1"/>
  <c r="I20" i="1"/>
  <c r="D21" i="1"/>
  <c r="H21" i="1"/>
  <c r="I21" i="1"/>
  <c r="D22" i="1"/>
  <c r="H22" i="1"/>
  <c r="I22" i="1"/>
  <c r="D23" i="1"/>
  <c r="H23" i="1"/>
  <c r="I23" i="1"/>
  <c r="D24" i="1"/>
  <c r="H24" i="1"/>
  <c r="I24" i="1"/>
  <c r="D25" i="1"/>
  <c r="H25" i="1"/>
  <c r="I25" i="1"/>
  <c r="D26" i="1"/>
  <c r="H26" i="1"/>
  <c r="I26" i="1"/>
  <c r="D27" i="1"/>
  <c r="H27" i="1"/>
  <c r="I27" i="1"/>
  <c r="D28" i="1"/>
  <c r="H28" i="1"/>
  <c r="I28" i="1"/>
  <c r="D29" i="1"/>
  <c r="H29" i="1"/>
  <c r="I29" i="1"/>
  <c r="B83" i="1"/>
  <c r="B91" i="1"/>
  <c r="C91" i="1"/>
  <c r="D91" i="1"/>
  <c r="H91" i="1"/>
  <c r="I91" i="1"/>
  <c r="B92" i="1"/>
  <c r="C92" i="1"/>
  <c r="D92" i="1"/>
  <c r="H92" i="1"/>
  <c r="I92" i="1"/>
  <c r="B93" i="1"/>
  <c r="C93" i="1"/>
  <c r="D93" i="1"/>
  <c r="H93" i="1"/>
  <c r="I93" i="1"/>
  <c r="B94" i="1"/>
  <c r="C94" i="1"/>
  <c r="D94" i="1"/>
  <c r="H94" i="1"/>
  <c r="I94" i="1"/>
  <c r="B95" i="1"/>
  <c r="C95" i="1"/>
  <c r="D95" i="1"/>
  <c r="H95" i="1"/>
  <c r="I95" i="1"/>
  <c r="B96" i="1"/>
  <c r="C96" i="1"/>
  <c r="D96" i="1"/>
  <c r="H96" i="1"/>
  <c r="I96" i="1"/>
  <c r="B97" i="1"/>
  <c r="C97" i="1"/>
  <c r="D97" i="1"/>
  <c r="H97" i="1"/>
  <c r="I97" i="1"/>
  <c r="B98" i="1"/>
  <c r="C98" i="1"/>
  <c r="D98" i="1"/>
  <c r="H98" i="1"/>
  <c r="I98" i="1"/>
  <c r="B99" i="1"/>
  <c r="C99" i="1"/>
  <c r="D99" i="1"/>
  <c r="H99" i="1"/>
  <c r="I99" i="1"/>
  <c r="B100" i="1"/>
  <c r="C100" i="1"/>
  <c r="D100" i="1"/>
  <c r="H100" i="1"/>
  <c r="I100" i="1"/>
  <c r="B101" i="1"/>
  <c r="C101" i="1"/>
  <c r="D101" i="1"/>
  <c r="H101" i="1"/>
  <c r="I101" i="1"/>
  <c r="B102" i="1"/>
  <c r="C102" i="1"/>
  <c r="D102" i="1"/>
  <c r="H102" i="1"/>
  <c r="I102" i="1"/>
  <c r="B103" i="1"/>
  <c r="C103" i="1"/>
  <c r="D103" i="1"/>
  <c r="H103" i="1"/>
  <c r="I103" i="1"/>
  <c r="B104" i="1"/>
  <c r="C104" i="1"/>
  <c r="D104" i="1"/>
  <c r="H104" i="1"/>
  <c r="I104" i="1"/>
  <c r="B105" i="1"/>
  <c r="C105" i="1"/>
  <c r="D105" i="1"/>
  <c r="H105" i="1"/>
  <c r="I105" i="1"/>
  <c r="B106" i="1"/>
  <c r="C106" i="1"/>
  <c r="D106" i="1"/>
  <c r="H106" i="1"/>
  <c r="I106" i="1"/>
  <c r="B107" i="1"/>
  <c r="C107" i="1"/>
  <c r="D107" i="1"/>
  <c r="H107" i="1"/>
  <c r="I107" i="1"/>
  <c r="B108" i="1"/>
  <c r="C108" i="1"/>
  <c r="D108" i="1"/>
  <c r="H108" i="1"/>
  <c r="I108" i="1"/>
  <c r="B109" i="1"/>
  <c r="C109" i="1"/>
  <c r="D109" i="1"/>
  <c r="H109" i="1"/>
  <c r="I109" i="1"/>
  <c r="B110" i="1"/>
  <c r="C110" i="1"/>
  <c r="D110" i="1"/>
  <c r="H110" i="1"/>
  <c r="I110" i="1"/>
  <c r="B111" i="1"/>
  <c r="C111" i="1"/>
  <c r="D111" i="1"/>
  <c r="H111" i="1"/>
  <c r="I111" i="1"/>
  <c r="B112" i="1"/>
  <c r="C112" i="1"/>
  <c r="D112" i="1"/>
  <c r="H112" i="1"/>
  <c r="I112" i="1"/>
  <c r="B113" i="1"/>
  <c r="C113" i="1"/>
  <c r="D113" i="1"/>
  <c r="H113" i="1"/>
  <c r="I113" i="1"/>
  <c r="B114" i="1"/>
  <c r="C114" i="1"/>
  <c r="D114" i="1"/>
  <c r="H114" i="1"/>
  <c r="I114" i="1"/>
  <c r="B115" i="1"/>
  <c r="C115" i="1"/>
  <c r="D115" i="1"/>
  <c r="H115" i="1"/>
  <c r="I115" i="1"/>
  <c r="B116" i="1"/>
  <c r="C116" i="1"/>
  <c r="D116" i="1"/>
  <c r="H116" i="1"/>
  <c r="I116" i="1"/>
  <c r="B117" i="1"/>
  <c r="C117" i="1"/>
  <c r="D117" i="1"/>
  <c r="H117" i="1"/>
  <c r="I117" i="1"/>
  <c r="B118" i="1"/>
  <c r="C118" i="1"/>
  <c r="D118" i="1"/>
  <c r="H118" i="1"/>
  <c r="I118" i="1"/>
  <c r="I119" i="1"/>
  <c r="B124" i="1"/>
  <c r="H124" i="1"/>
  <c r="I124" i="1"/>
  <c r="I30" i="1"/>
  <c r="I32" i="1"/>
  <c r="B125" i="1"/>
  <c r="H125" i="1"/>
  <c r="I128" i="1"/>
  <c r="I131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L119" i="1"/>
  <c r="L124" i="1"/>
  <c r="B119" i="1"/>
  <c r="L30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2" i="1"/>
  <c r="L128" i="1"/>
  <c r="B126" i="1"/>
  <c r="B127" i="1"/>
  <c r="H126" i="1"/>
  <c r="H127" i="1"/>
  <c r="L127" i="1"/>
  <c r="K127" i="1"/>
  <c r="J33" i="1"/>
  <c r="J6" i="1"/>
  <c r="J7" i="1"/>
  <c r="J8" i="1"/>
  <c r="J9" i="1"/>
  <c r="J10" i="1"/>
  <c r="J11" i="1"/>
  <c r="J12" i="1"/>
  <c r="J13" i="1"/>
  <c r="J14" i="1"/>
  <c r="J15" i="1"/>
  <c r="J16" i="1"/>
  <c r="J17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B128" i="1"/>
  <c r="K128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D6" i="12"/>
  <c r="E6" i="12"/>
  <c r="H6" i="12"/>
  <c r="I6" i="12"/>
  <c r="D7" i="12"/>
  <c r="E7" i="12"/>
  <c r="H7" i="12"/>
  <c r="I7" i="12"/>
  <c r="D8" i="12"/>
  <c r="E8" i="12"/>
  <c r="H8" i="12"/>
  <c r="I8" i="12"/>
  <c r="D9" i="12"/>
  <c r="E9" i="12"/>
  <c r="H9" i="12"/>
  <c r="I9" i="12"/>
  <c r="D10" i="12"/>
  <c r="E10" i="12"/>
  <c r="H10" i="12"/>
  <c r="I10" i="12"/>
  <c r="D11" i="12"/>
  <c r="E11" i="12"/>
  <c r="H11" i="12"/>
  <c r="I11" i="12"/>
  <c r="D12" i="12"/>
  <c r="E12" i="12"/>
  <c r="H12" i="12"/>
  <c r="I12" i="12"/>
  <c r="D13" i="12"/>
  <c r="E13" i="12"/>
  <c r="H13" i="12"/>
  <c r="I13" i="12"/>
  <c r="D14" i="12"/>
  <c r="E14" i="12"/>
  <c r="H14" i="12"/>
  <c r="I14" i="12"/>
  <c r="D15" i="12"/>
  <c r="E15" i="12"/>
  <c r="H15" i="12"/>
  <c r="I15" i="12"/>
  <c r="D16" i="12"/>
  <c r="E16" i="12"/>
  <c r="H16" i="12"/>
  <c r="I16" i="12"/>
  <c r="D17" i="12"/>
  <c r="E17" i="12"/>
  <c r="H17" i="12"/>
  <c r="I17" i="12"/>
  <c r="D18" i="12"/>
  <c r="E18" i="12"/>
  <c r="H18" i="12"/>
  <c r="I18" i="12"/>
  <c r="D19" i="12"/>
  <c r="E19" i="12"/>
  <c r="H19" i="12"/>
  <c r="I19" i="12"/>
  <c r="D20" i="12"/>
  <c r="E20" i="12"/>
  <c r="H20" i="12"/>
  <c r="I20" i="12"/>
  <c r="D21" i="12"/>
  <c r="I21" i="12"/>
  <c r="D22" i="12"/>
  <c r="I22" i="12"/>
  <c r="D23" i="12"/>
  <c r="I23" i="12"/>
  <c r="D24" i="12"/>
  <c r="I24" i="12"/>
  <c r="D25" i="12"/>
  <c r="I25" i="12"/>
  <c r="D26" i="12"/>
  <c r="I26" i="12"/>
  <c r="D27" i="12"/>
  <c r="I27" i="12"/>
  <c r="D28" i="12"/>
  <c r="I28" i="12"/>
  <c r="D29" i="12"/>
  <c r="I29" i="12"/>
  <c r="B83" i="12"/>
  <c r="B91" i="12"/>
  <c r="C91" i="12"/>
  <c r="D91" i="12"/>
  <c r="E37" i="12"/>
  <c r="F37" i="12"/>
  <c r="H91" i="12"/>
  <c r="I91" i="12"/>
  <c r="B92" i="12"/>
  <c r="C92" i="12"/>
  <c r="D92" i="12"/>
  <c r="E38" i="12"/>
  <c r="F38" i="12"/>
  <c r="H92" i="12"/>
  <c r="I92" i="12"/>
  <c r="B93" i="12"/>
  <c r="C93" i="12"/>
  <c r="D93" i="12"/>
  <c r="E39" i="12"/>
  <c r="F39" i="12"/>
  <c r="H93" i="12"/>
  <c r="I93" i="12"/>
  <c r="B94" i="12"/>
  <c r="C94" i="12"/>
  <c r="D94" i="12"/>
  <c r="E40" i="12"/>
  <c r="F40" i="12"/>
  <c r="H94" i="12"/>
  <c r="I94" i="12"/>
  <c r="B95" i="12"/>
  <c r="C95" i="12"/>
  <c r="D95" i="12"/>
  <c r="E41" i="12"/>
  <c r="F41" i="12"/>
  <c r="H95" i="12"/>
  <c r="I95" i="12"/>
  <c r="B96" i="12"/>
  <c r="C96" i="12"/>
  <c r="D96" i="12"/>
  <c r="E42" i="12"/>
  <c r="F42" i="12"/>
  <c r="H96" i="12"/>
  <c r="I96" i="12"/>
  <c r="B97" i="12"/>
  <c r="C97" i="12"/>
  <c r="D97" i="12"/>
  <c r="E43" i="12"/>
  <c r="F43" i="12"/>
  <c r="H97" i="12"/>
  <c r="I97" i="12"/>
  <c r="B98" i="12"/>
  <c r="C98" i="12"/>
  <c r="D98" i="12"/>
  <c r="E44" i="12"/>
  <c r="F44" i="12"/>
  <c r="H98" i="12"/>
  <c r="I98" i="12"/>
  <c r="B99" i="12"/>
  <c r="C99" i="12"/>
  <c r="D99" i="12"/>
  <c r="E45" i="12"/>
  <c r="F45" i="12"/>
  <c r="H99" i="12"/>
  <c r="I99" i="12"/>
  <c r="B100" i="12"/>
  <c r="C100" i="12"/>
  <c r="D100" i="12"/>
  <c r="E46" i="12"/>
  <c r="F46" i="12"/>
  <c r="H100" i="12"/>
  <c r="I100" i="12"/>
  <c r="B101" i="12"/>
  <c r="C101" i="12"/>
  <c r="D101" i="12"/>
  <c r="E47" i="12"/>
  <c r="F47" i="12"/>
  <c r="H101" i="12"/>
  <c r="I101" i="12"/>
  <c r="B102" i="12"/>
  <c r="C102" i="12"/>
  <c r="D102" i="12"/>
  <c r="E48" i="12"/>
  <c r="F48" i="12"/>
  <c r="H102" i="12"/>
  <c r="I102" i="12"/>
  <c r="B103" i="12"/>
  <c r="C103" i="12"/>
  <c r="D103" i="12"/>
  <c r="E49" i="12"/>
  <c r="F49" i="12"/>
  <c r="H103" i="12"/>
  <c r="I103" i="12"/>
  <c r="B104" i="12"/>
  <c r="C104" i="12"/>
  <c r="D104" i="12"/>
  <c r="F50" i="12"/>
  <c r="E50" i="12"/>
  <c r="H104" i="12"/>
  <c r="I104" i="12"/>
  <c r="B105" i="12"/>
  <c r="C105" i="12"/>
  <c r="D105" i="12"/>
  <c r="F51" i="12"/>
  <c r="E51" i="12"/>
  <c r="H105" i="12"/>
  <c r="I105" i="12"/>
  <c r="B106" i="12"/>
  <c r="C106" i="12"/>
  <c r="D106" i="12"/>
  <c r="F52" i="12"/>
  <c r="E52" i="12"/>
  <c r="H106" i="12"/>
  <c r="I106" i="12"/>
  <c r="B107" i="12"/>
  <c r="C107" i="12"/>
  <c r="D107" i="12"/>
  <c r="F53" i="12"/>
  <c r="E53" i="12"/>
  <c r="H107" i="12"/>
  <c r="I107" i="12"/>
  <c r="B108" i="12"/>
  <c r="C108" i="12"/>
  <c r="D108" i="12"/>
  <c r="F54" i="12"/>
  <c r="E54" i="12"/>
  <c r="H108" i="12"/>
  <c r="I108" i="12"/>
  <c r="B109" i="12"/>
  <c r="C109" i="12"/>
  <c r="D109" i="12"/>
  <c r="F55" i="12"/>
  <c r="E55" i="12"/>
  <c r="H109" i="12"/>
  <c r="I109" i="12"/>
  <c r="B110" i="12"/>
  <c r="C110" i="12"/>
  <c r="D110" i="12"/>
  <c r="F56" i="12"/>
  <c r="E56" i="12"/>
  <c r="H110" i="12"/>
  <c r="I110" i="12"/>
  <c r="B111" i="12"/>
  <c r="C111" i="12"/>
  <c r="D111" i="12"/>
  <c r="F57" i="12"/>
  <c r="H111" i="12"/>
  <c r="I111" i="12"/>
  <c r="B112" i="12"/>
  <c r="C112" i="12"/>
  <c r="D112" i="12"/>
  <c r="F58" i="12"/>
  <c r="H112" i="12"/>
  <c r="I112" i="12"/>
  <c r="B113" i="12"/>
  <c r="C113" i="12"/>
  <c r="D113" i="12"/>
  <c r="F59" i="12"/>
  <c r="H113" i="12"/>
  <c r="I113" i="12"/>
  <c r="B114" i="12"/>
  <c r="C114" i="12"/>
  <c r="D114" i="12"/>
  <c r="I114" i="12"/>
  <c r="B115" i="12"/>
  <c r="C115" i="12"/>
  <c r="D115" i="12"/>
  <c r="F61" i="12"/>
  <c r="H115" i="12"/>
  <c r="I115" i="12"/>
  <c r="B116" i="12"/>
  <c r="C116" i="12"/>
  <c r="D116" i="12"/>
  <c r="I116" i="12"/>
  <c r="B117" i="12"/>
  <c r="C117" i="12"/>
  <c r="D117" i="12"/>
  <c r="I117" i="12"/>
  <c r="B118" i="12"/>
  <c r="C118" i="12"/>
  <c r="D118" i="12"/>
  <c r="I118" i="12"/>
  <c r="I119" i="12"/>
  <c r="B124" i="12"/>
  <c r="F70" i="12"/>
  <c r="H124" i="12"/>
  <c r="I124" i="12"/>
  <c r="I30" i="12"/>
  <c r="I32" i="12"/>
  <c r="B125" i="12"/>
  <c r="I128" i="12"/>
  <c r="F71" i="12"/>
  <c r="H125" i="12"/>
  <c r="I131" i="12"/>
  <c r="J6" i="12"/>
  <c r="J7" i="12"/>
  <c r="J8" i="12"/>
  <c r="J9" i="12"/>
  <c r="J10" i="12"/>
  <c r="J11" i="12"/>
  <c r="J12" i="12"/>
  <c r="J13" i="12"/>
  <c r="J14" i="12"/>
  <c r="J15" i="12"/>
  <c r="B127" i="12"/>
  <c r="K127" i="12"/>
  <c r="K6" i="12"/>
  <c r="L6" i="12"/>
  <c r="K7" i="12"/>
  <c r="L7" i="12"/>
  <c r="K8" i="12"/>
  <c r="L8" i="12"/>
  <c r="K9" i="12"/>
  <c r="L9" i="12"/>
  <c r="K10" i="12"/>
  <c r="L10" i="12"/>
  <c r="K11" i="12"/>
  <c r="L11" i="12"/>
  <c r="K12" i="12"/>
  <c r="L12" i="12"/>
  <c r="K13" i="12"/>
  <c r="L13" i="12"/>
  <c r="K14" i="12"/>
  <c r="L14" i="12"/>
  <c r="K15" i="12"/>
  <c r="L15" i="12"/>
  <c r="K16" i="12"/>
  <c r="L16" i="12"/>
  <c r="K17" i="12"/>
  <c r="L17" i="12"/>
  <c r="K18" i="12"/>
  <c r="L18" i="12"/>
  <c r="K19" i="12"/>
  <c r="L19" i="12"/>
  <c r="K20" i="12"/>
  <c r="L20" i="12"/>
  <c r="K21" i="12"/>
  <c r="L21" i="12"/>
  <c r="K22" i="12"/>
  <c r="L22" i="12"/>
  <c r="K23" i="12"/>
  <c r="L23" i="12"/>
  <c r="K24" i="12"/>
  <c r="L24" i="12"/>
  <c r="K25" i="12"/>
  <c r="L25" i="12"/>
  <c r="K26" i="12"/>
  <c r="L26" i="12"/>
  <c r="K27" i="12"/>
  <c r="L27" i="12"/>
  <c r="K28" i="12"/>
  <c r="L28" i="12"/>
  <c r="K29" i="12"/>
  <c r="L29" i="12"/>
  <c r="K91" i="12"/>
  <c r="L91" i="12"/>
  <c r="K92" i="12"/>
  <c r="L92" i="12"/>
  <c r="K93" i="12"/>
  <c r="L93" i="12"/>
  <c r="K94" i="12"/>
  <c r="L94" i="12"/>
  <c r="K95" i="12"/>
  <c r="L95" i="12"/>
  <c r="K96" i="12"/>
  <c r="L96" i="12"/>
  <c r="K97" i="12"/>
  <c r="L97" i="12"/>
  <c r="K98" i="12"/>
  <c r="L98" i="12"/>
  <c r="K99" i="12"/>
  <c r="L99" i="12"/>
  <c r="K100" i="12"/>
  <c r="L100" i="12"/>
  <c r="K101" i="12"/>
  <c r="L101" i="12"/>
  <c r="K102" i="12"/>
  <c r="L102" i="12"/>
  <c r="K103" i="12"/>
  <c r="L103" i="12"/>
  <c r="K104" i="12"/>
  <c r="L104" i="12"/>
  <c r="K105" i="12"/>
  <c r="L105" i="12"/>
  <c r="K106" i="12"/>
  <c r="L106" i="12"/>
  <c r="K107" i="12"/>
  <c r="L107" i="12"/>
  <c r="K108" i="12"/>
  <c r="L108" i="12"/>
  <c r="K109" i="12"/>
  <c r="L109" i="12"/>
  <c r="K110" i="12"/>
  <c r="L110" i="12"/>
  <c r="K111" i="12"/>
  <c r="L111" i="12"/>
  <c r="K112" i="12"/>
  <c r="L112" i="12"/>
  <c r="K113" i="12"/>
  <c r="L113" i="12"/>
  <c r="K114" i="12"/>
  <c r="L114" i="12"/>
  <c r="K115" i="12"/>
  <c r="L115" i="12"/>
  <c r="K116" i="12"/>
  <c r="L116" i="12"/>
  <c r="K117" i="12"/>
  <c r="L117" i="12"/>
  <c r="K118" i="12"/>
  <c r="L118" i="12"/>
  <c r="L119" i="12"/>
  <c r="L124" i="12"/>
  <c r="K30" i="12"/>
  <c r="B119" i="12"/>
  <c r="L30" i="12"/>
  <c r="L32" i="12"/>
  <c r="B126" i="12"/>
  <c r="B128" i="12"/>
  <c r="K128" i="12"/>
  <c r="L128" i="12"/>
  <c r="F72" i="12"/>
  <c r="H126" i="12"/>
  <c r="F73" i="12"/>
  <c r="H127" i="12"/>
  <c r="L127" i="12"/>
  <c r="J33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I83" i="8"/>
  <c r="H70" i="8"/>
  <c r="H71" i="8"/>
  <c r="H72" i="8"/>
  <c r="T26" i="8"/>
  <c r="M9" i="8"/>
  <c r="M10" i="8"/>
  <c r="M11" i="8"/>
  <c r="M12" i="8"/>
  <c r="M6" i="8"/>
  <c r="M7" i="8"/>
  <c r="M8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T7" i="8"/>
  <c r="J94" i="8"/>
  <c r="M94" i="8"/>
  <c r="J95" i="8"/>
  <c r="M95" i="8"/>
  <c r="J96" i="8"/>
  <c r="M96" i="8"/>
  <c r="J97" i="8"/>
  <c r="M97" i="8"/>
  <c r="J91" i="8"/>
  <c r="M91" i="8"/>
  <c r="J92" i="8"/>
  <c r="M92" i="8"/>
  <c r="J93" i="8"/>
  <c r="M93" i="8"/>
  <c r="J98" i="8"/>
  <c r="M98" i="8"/>
  <c r="J99" i="8"/>
  <c r="M99" i="8"/>
  <c r="J100" i="8"/>
  <c r="M100" i="8"/>
  <c r="J101" i="8"/>
  <c r="M101" i="8"/>
  <c r="J102" i="8"/>
  <c r="M102" i="8"/>
  <c r="J103" i="8"/>
  <c r="M103" i="8"/>
  <c r="J104" i="8"/>
  <c r="M104" i="8"/>
  <c r="J105" i="8"/>
  <c r="M105" i="8"/>
  <c r="J106" i="8"/>
  <c r="M106" i="8"/>
  <c r="J107" i="8"/>
  <c r="M107" i="8"/>
  <c r="J108" i="8"/>
  <c r="M108" i="8"/>
  <c r="J109" i="8"/>
  <c r="M109" i="8"/>
  <c r="J110" i="8"/>
  <c r="M110" i="8"/>
  <c r="J111" i="8"/>
  <c r="M111" i="8"/>
  <c r="J112" i="8"/>
  <c r="M112" i="8"/>
  <c r="J113" i="8"/>
  <c r="M113" i="8"/>
  <c r="J114" i="8"/>
  <c r="M114" i="8"/>
  <c r="J115" i="8"/>
  <c r="M115" i="8"/>
  <c r="J116" i="8"/>
  <c r="M116" i="8"/>
  <c r="J117" i="8"/>
  <c r="M117" i="8"/>
  <c r="J118" i="8"/>
  <c r="M118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32" i="8"/>
  <c r="S2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32" i="8"/>
  <c r="R26" i="8"/>
  <c r="B84" i="8"/>
  <c r="I84" i="8"/>
  <c r="H84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32" i="8"/>
  <c r="T25" i="8"/>
  <c r="T31" i="8"/>
  <c r="S25" i="8"/>
  <c r="S31" i="8"/>
  <c r="R25" i="8"/>
  <c r="R31" i="8"/>
  <c r="T24" i="8"/>
  <c r="T30" i="8"/>
  <c r="S24" i="8"/>
  <c r="S30" i="8"/>
  <c r="R24" i="8"/>
  <c r="R30" i="8"/>
  <c r="I83" i="7"/>
  <c r="H70" i="7"/>
  <c r="H71" i="7"/>
  <c r="H72" i="7"/>
  <c r="T26" i="7"/>
  <c r="M9" i="7"/>
  <c r="M10" i="7"/>
  <c r="M11" i="7"/>
  <c r="M12" i="7"/>
  <c r="M6" i="7"/>
  <c r="M7" i="7"/>
  <c r="M8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T7" i="7"/>
  <c r="J94" i="7"/>
  <c r="M94" i="7"/>
  <c r="J95" i="7"/>
  <c r="M95" i="7"/>
  <c r="J96" i="7"/>
  <c r="M96" i="7"/>
  <c r="J97" i="7"/>
  <c r="M97" i="7"/>
  <c r="J91" i="7"/>
  <c r="M91" i="7"/>
  <c r="J92" i="7"/>
  <c r="M92" i="7"/>
  <c r="J93" i="7"/>
  <c r="M93" i="7"/>
  <c r="J98" i="7"/>
  <c r="M98" i="7"/>
  <c r="J99" i="7"/>
  <c r="M99" i="7"/>
  <c r="J100" i="7"/>
  <c r="M100" i="7"/>
  <c r="J101" i="7"/>
  <c r="M101" i="7"/>
  <c r="J102" i="7"/>
  <c r="M102" i="7"/>
  <c r="J103" i="7"/>
  <c r="M103" i="7"/>
  <c r="J104" i="7"/>
  <c r="M104" i="7"/>
  <c r="J105" i="7"/>
  <c r="M105" i="7"/>
  <c r="J106" i="7"/>
  <c r="M106" i="7"/>
  <c r="J107" i="7"/>
  <c r="M107" i="7"/>
  <c r="J108" i="7"/>
  <c r="M108" i="7"/>
  <c r="J109" i="7"/>
  <c r="M109" i="7"/>
  <c r="J110" i="7"/>
  <c r="M110" i="7"/>
  <c r="J111" i="7"/>
  <c r="M111" i="7"/>
  <c r="J112" i="7"/>
  <c r="M112" i="7"/>
  <c r="J113" i="7"/>
  <c r="M113" i="7"/>
  <c r="J114" i="7"/>
  <c r="M114" i="7"/>
  <c r="J115" i="7"/>
  <c r="M115" i="7"/>
  <c r="J116" i="7"/>
  <c r="M116" i="7"/>
  <c r="J117" i="7"/>
  <c r="M117" i="7"/>
  <c r="J118" i="7"/>
  <c r="M118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32" i="7"/>
  <c r="S2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32" i="7"/>
  <c r="R26" i="7"/>
  <c r="B84" i="7"/>
  <c r="I84" i="7"/>
  <c r="H84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32" i="7"/>
  <c r="T25" i="7"/>
  <c r="T31" i="7"/>
  <c r="S25" i="7"/>
  <c r="S31" i="7"/>
  <c r="R25" i="7"/>
  <c r="R31" i="7"/>
  <c r="T24" i="7"/>
  <c r="T30" i="7"/>
  <c r="S24" i="7"/>
  <c r="S30" i="7"/>
  <c r="R24" i="7"/>
  <c r="R30" i="7"/>
  <c r="H83" i="1"/>
  <c r="I83" i="1"/>
  <c r="H70" i="1"/>
  <c r="H71" i="1"/>
  <c r="H72" i="1"/>
  <c r="T26" i="1"/>
  <c r="M9" i="1"/>
  <c r="M10" i="1"/>
  <c r="M11" i="1"/>
  <c r="M12" i="1"/>
  <c r="M6" i="1"/>
  <c r="M7" i="1"/>
  <c r="M8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T7" i="1"/>
  <c r="J94" i="1"/>
  <c r="M94" i="1"/>
  <c r="J95" i="1"/>
  <c r="M95" i="1"/>
  <c r="J96" i="1"/>
  <c r="M96" i="1"/>
  <c r="J97" i="1"/>
  <c r="M97" i="1"/>
  <c r="J91" i="1"/>
  <c r="M91" i="1"/>
  <c r="J92" i="1"/>
  <c r="M92" i="1"/>
  <c r="J93" i="1"/>
  <c r="M93" i="1"/>
  <c r="J98" i="1"/>
  <c r="M98" i="1"/>
  <c r="J99" i="1"/>
  <c r="M99" i="1"/>
  <c r="J100" i="1"/>
  <c r="M100" i="1"/>
  <c r="J101" i="1"/>
  <c r="M101" i="1"/>
  <c r="J102" i="1"/>
  <c r="M102" i="1"/>
  <c r="J103" i="1"/>
  <c r="M103" i="1"/>
  <c r="J104" i="1"/>
  <c r="M104" i="1"/>
  <c r="J105" i="1"/>
  <c r="M105" i="1"/>
  <c r="J106" i="1"/>
  <c r="M106" i="1"/>
  <c r="J107" i="1"/>
  <c r="M107" i="1"/>
  <c r="J108" i="1"/>
  <c r="M108" i="1"/>
  <c r="J109" i="1"/>
  <c r="M109" i="1"/>
  <c r="J110" i="1"/>
  <c r="M110" i="1"/>
  <c r="J111" i="1"/>
  <c r="M111" i="1"/>
  <c r="J112" i="1"/>
  <c r="M112" i="1"/>
  <c r="J113" i="1"/>
  <c r="M113" i="1"/>
  <c r="J114" i="1"/>
  <c r="M114" i="1"/>
  <c r="J115" i="1"/>
  <c r="M115" i="1"/>
  <c r="J116" i="1"/>
  <c r="M116" i="1"/>
  <c r="J117" i="1"/>
  <c r="M117" i="1"/>
  <c r="J118" i="1"/>
  <c r="M118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32" i="1"/>
  <c r="S2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32" i="1"/>
  <c r="R26" i="1"/>
  <c r="B84" i="1"/>
  <c r="I84" i="1"/>
  <c r="H84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32" i="1"/>
  <c r="T25" i="1"/>
  <c r="T31" i="1"/>
  <c r="S25" i="1"/>
  <c r="S31" i="1"/>
  <c r="R25" i="1"/>
  <c r="R31" i="1"/>
  <c r="T24" i="1"/>
  <c r="T30" i="1"/>
  <c r="S24" i="1"/>
  <c r="S30" i="1"/>
  <c r="R24" i="1"/>
  <c r="R30" i="1"/>
  <c r="B84" i="12"/>
  <c r="I83" i="12"/>
  <c r="H70" i="12"/>
  <c r="I84" i="12"/>
  <c r="H84" i="12"/>
  <c r="R7" i="12"/>
  <c r="R8" i="12"/>
  <c r="S8" i="12"/>
  <c r="J94" i="12"/>
  <c r="M94" i="12"/>
  <c r="J95" i="12"/>
  <c r="M95" i="12"/>
  <c r="J96" i="12"/>
  <c r="M96" i="12"/>
  <c r="J97" i="12"/>
  <c r="M97" i="12"/>
  <c r="J91" i="12"/>
  <c r="M91" i="12"/>
  <c r="J92" i="12"/>
  <c r="M92" i="12"/>
  <c r="J93" i="12"/>
  <c r="M93" i="12"/>
  <c r="J98" i="12"/>
  <c r="M98" i="12"/>
  <c r="J99" i="12"/>
  <c r="M99" i="12"/>
  <c r="J100" i="12"/>
  <c r="M100" i="12"/>
  <c r="J101" i="12"/>
  <c r="M101" i="12"/>
  <c r="J102" i="12"/>
  <c r="M102" i="12"/>
  <c r="J103" i="12"/>
  <c r="M103" i="12"/>
  <c r="J104" i="12"/>
  <c r="M104" i="12"/>
  <c r="J105" i="12"/>
  <c r="M105" i="12"/>
  <c r="J106" i="12"/>
  <c r="M106" i="12"/>
  <c r="J107" i="12"/>
  <c r="M107" i="12"/>
  <c r="J108" i="12"/>
  <c r="M108" i="12"/>
  <c r="J109" i="12"/>
  <c r="M109" i="12"/>
  <c r="J110" i="12"/>
  <c r="M110" i="12"/>
  <c r="J111" i="12"/>
  <c r="M111" i="12"/>
  <c r="J112" i="12"/>
  <c r="M112" i="12"/>
  <c r="J113" i="12"/>
  <c r="M113" i="12"/>
  <c r="J114" i="12"/>
  <c r="M114" i="12"/>
  <c r="J115" i="12"/>
  <c r="M115" i="12"/>
  <c r="J116" i="12"/>
  <c r="M116" i="12"/>
  <c r="J117" i="12"/>
  <c r="M117" i="12"/>
  <c r="J118" i="12"/>
  <c r="M118" i="12"/>
  <c r="T8" i="12"/>
  <c r="R9" i="12"/>
  <c r="S9" i="12"/>
  <c r="M6" i="12"/>
  <c r="M7" i="12"/>
  <c r="M8" i="12"/>
  <c r="T9" i="12"/>
  <c r="R10" i="12"/>
  <c r="S10" i="12"/>
  <c r="T10" i="12"/>
  <c r="R11" i="12"/>
  <c r="S11" i="12"/>
  <c r="T11" i="12"/>
  <c r="R12" i="12"/>
  <c r="S12" i="12"/>
  <c r="M20" i="12"/>
  <c r="T12" i="12"/>
  <c r="R13" i="12"/>
  <c r="S13" i="12"/>
  <c r="M21" i="12"/>
  <c r="M22" i="12"/>
  <c r="T13" i="12"/>
  <c r="R14" i="12"/>
  <c r="S14" i="12"/>
  <c r="T14" i="12"/>
  <c r="R15" i="12"/>
  <c r="S15" i="12"/>
  <c r="T15" i="12"/>
  <c r="R16" i="12"/>
  <c r="S16" i="12"/>
  <c r="T16" i="12"/>
  <c r="R17" i="12"/>
  <c r="S17" i="12"/>
  <c r="T17" i="12"/>
  <c r="R18" i="12"/>
  <c r="S18" i="12"/>
  <c r="M26" i="12"/>
  <c r="T18" i="12"/>
  <c r="R19" i="12"/>
  <c r="S19" i="12"/>
  <c r="M23" i="12"/>
  <c r="M24" i="12"/>
  <c r="T19" i="12"/>
  <c r="R20" i="12"/>
  <c r="S20" i="12"/>
  <c r="T20" i="12"/>
  <c r="R21" i="12"/>
  <c r="S21" i="12"/>
  <c r="T21" i="12"/>
  <c r="R22" i="12"/>
  <c r="S22" i="12"/>
  <c r="T22" i="12"/>
  <c r="H71" i="12"/>
  <c r="H72" i="12"/>
  <c r="T26" i="12"/>
  <c r="S26" i="12"/>
  <c r="R26" i="12"/>
  <c r="T25" i="12"/>
  <c r="S25" i="12"/>
  <c r="R25" i="12"/>
  <c r="T24" i="12"/>
  <c r="S24" i="12"/>
  <c r="R24" i="12"/>
  <c r="M9" i="12"/>
  <c r="M10" i="12"/>
  <c r="M11" i="12"/>
  <c r="M12" i="12"/>
  <c r="M13" i="12"/>
  <c r="M14" i="12"/>
  <c r="M15" i="12"/>
  <c r="M16" i="12"/>
  <c r="M17" i="12"/>
  <c r="M18" i="12"/>
  <c r="M19" i="12"/>
  <c r="M25" i="12"/>
  <c r="M27" i="12"/>
  <c r="M28" i="12"/>
  <c r="T7" i="12"/>
  <c r="S7" i="12"/>
  <c r="T23" i="12"/>
  <c r="T32" i="12"/>
  <c r="S23" i="12"/>
  <c r="S32" i="12"/>
  <c r="R23" i="12"/>
  <c r="R32" i="12"/>
  <c r="T31" i="12"/>
  <c r="S31" i="12"/>
  <c r="R31" i="12"/>
  <c r="T30" i="12"/>
  <c r="S30" i="12"/>
  <c r="R30" i="12"/>
  <c r="G37" i="7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H114" i="8"/>
  <c r="G61" i="8"/>
  <c r="G62" i="8"/>
  <c r="H116" i="8"/>
  <c r="G63" i="8"/>
  <c r="H117" i="8"/>
  <c r="G64" i="8"/>
  <c r="H118" i="8"/>
  <c r="G38" i="1"/>
  <c r="G38" i="7"/>
  <c r="G39" i="1"/>
  <c r="G39" i="7"/>
  <c r="G40" i="1"/>
  <c r="G40" i="7"/>
  <c r="G41" i="1"/>
  <c r="G41" i="7"/>
  <c r="G42" i="1"/>
  <c r="G42" i="7"/>
  <c r="G43" i="1"/>
  <c r="G43" i="7"/>
  <c r="G44" i="1"/>
  <c r="G44" i="7"/>
  <c r="G45" i="1"/>
  <c r="G45" i="7"/>
  <c r="G46" i="1"/>
  <c r="G46" i="7"/>
  <c r="G47" i="1"/>
  <c r="G47" i="7"/>
  <c r="G48" i="1"/>
  <c r="G48" i="7"/>
  <c r="G49" i="1"/>
  <c r="G49" i="7"/>
  <c r="G50" i="1"/>
  <c r="G50" i="7"/>
  <c r="G51" i="1"/>
  <c r="G51" i="7"/>
  <c r="G52" i="1"/>
  <c r="G52" i="7"/>
  <c r="G53" i="1"/>
  <c r="G53" i="7"/>
  <c r="G54" i="1"/>
  <c r="G54" i="7"/>
  <c r="G55" i="1"/>
  <c r="G55" i="7"/>
  <c r="G56" i="1"/>
  <c r="G56" i="7"/>
  <c r="G57" i="1"/>
  <c r="G57" i="7"/>
  <c r="G58" i="1"/>
  <c r="G58" i="7"/>
  <c r="G59" i="1"/>
  <c r="G59" i="7"/>
  <c r="G60" i="1"/>
  <c r="G60" i="7"/>
  <c r="H114" i="7"/>
  <c r="G61" i="1"/>
  <c r="G61" i="7"/>
  <c r="G62" i="1"/>
  <c r="G62" i="7"/>
  <c r="H116" i="7"/>
  <c r="G63" i="1"/>
  <c r="G63" i="7"/>
  <c r="H117" i="7"/>
  <c r="G64" i="1"/>
  <c r="G64" i="7"/>
  <c r="H118" i="7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H114" i="12"/>
  <c r="G61" i="12"/>
  <c r="G62" i="12"/>
  <c r="H116" i="12"/>
  <c r="G63" i="12"/>
  <c r="H117" i="12"/>
  <c r="G64" i="12"/>
  <c r="H118" i="12"/>
  <c r="L126" i="8"/>
  <c r="L125" i="8"/>
  <c r="L126" i="7"/>
  <c r="L125" i="7"/>
  <c r="L126" i="12"/>
  <c r="L125" i="12"/>
  <c r="L130" i="8"/>
  <c r="L129" i="8"/>
  <c r="B130" i="8"/>
  <c r="B129" i="8"/>
  <c r="K129" i="8"/>
  <c r="L130" i="7"/>
  <c r="L129" i="7"/>
  <c r="B130" i="7"/>
  <c r="B129" i="7"/>
  <c r="K129" i="7"/>
  <c r="L130" i="12"/>
  <c r="L129" i="12"/>
  <c r="B130" i="12"/>
  <c r="B129" i="12"/>
  <c r="K129" i="12"/>
  <c r="L125" i="1"/>
  <c r="L126" i="1"/>
  <c r="L130" i="1"/>
  <c r="L129" i="1"/>
  <c r="B130" i="1"/>
  <c r="B129" i="1"/>
  <c r="B75" i="1"/>
  <c r="L75" i="12"/>
  <c r="H83" i="8"/>
  <c r="H83" i="7"/>
  <c r="H83" i="12"/>
  <c r="I127" i="8"/>
  <c r="I73" i="8"/>
  <c r="B32" i="8"/>
  <c r="I125" i="8"/>
  <c r="I71" i="8"/>
  <c r="I126" i="8"/>
  <c r="I72" i="8"/>
  <c r="E70" i="7"/>
  <c r="E70" i="8"/>
  <c r="F9" i="8"/>
  <c r="E71" i="7"/>
  <c r="E71" i="8"/>
  <c r="E72" i="7"/>
  <c r="E72" i="8"/>
  <c r="E29" i="7"/>
  <c r="E29" i="8"/>
  <c r="H29" i="8"/>
  <c r="E28" i="7"/>
  <c r="E28" i="8"/>
  <c r="H28" i="8"/>
  <c r="F9" i="7"/>
  <c r="H29" i="7"/>
  <c r="H28" i="7"/>
  <c r="F9" i="12"/>
  <c r="E70" i="12"/>
  <c r="E29" i="12"/>
  <c r="H29" i="12"/>
  <c r="AA82" i="12"/>
  <c r="AC82" i="12"/>
  <c r="AE82" i="12"/>
  <c r="AG82" i="12"/>
  <c r="AH82" i="12"/>
  <c r="AF82" i="12"/>
  <c r="AG83" i="12"/>
  <c r="AD82" i="12"/>
  <c r="AE83" i="12"/>
  <c r="AB82" i="12"/>
  <c r="AC83" i="12"/>
  <c r="Z82" i="12"/>
  <c r="AA83" i="12"/>
  <c r="E57" i="12"/>
  <c r="E58" i="12"/>
  <c r="E59" i="12"/>
  <c r="E60" i="12"/>
  <c r="F60" i="12"/>
  <c r="E61" i="12"/>
  <c r="E62" i="12"/>
  <c r="F62" i="12"/>
  <c r="E63" i="12"/>
  <c r="F63" i="12"/>
  <c r="E64" i="12"/>
  <c r="F64" i="12"/>
  <c r="E30" i="12"/>
  <c r="E21" i="12"/>
  <c r="H21" i="12"/>
  <c r="E22" i="12"/>
  <c r="H22" i="12"/>
  <c r="E23" i="12"/>
  <c r="H23" i="12"/>
  <c r="E24" i="12"/>
  <c r="H24" i="12"/>
  <c r="E25" i="12"/>
  <c r="H25" i="12"/>
  <c r="E26" i="12"/>
  <c r="H26" i="12"/>
  <c r="E27" i="12"/>
  <c r="H27" i="12"/>
  <c r="E28" i="12"/>
  <c r="H28" i="12"/>
  <c r="E71" i="12"/>
  <c r="E72" i="12"/>
  <c r="E73" i="12"/>
  <c r="Z6" i="12"/>
  <c r="X7" i="12"/>
  <c r="AA7" i="12"/>
  <c r="Z12" i="12"/>
  <c r="Z13" i="12"/>
  <c r="Z14" i="12"/>
  <c r="Z15" i="12"/>
  <c r="Z24" i="12"/>
  <c r="AA24" i="12"/>
  <c r="Z25" i="12"/>
  <c r="AA25" i="12"/>
  <c r="Z26" i="12"/>
  <c r="Z27" i="12"/>
  <c r="Z28" i="12"/>
  <c r="Z29" i="12"/>
  <c r="X8" i="12"/>
  <c r="X9" i="12"/>
  <c r="X10" i="12"/>
  <c r="X11" i="12"/>
  <c r="Z70" i="12"/>
  <c r="Z42" i="12"/>
  <c r="Z43" i="12"/>
  <c r="Z44" i="12"/>
  <c r="Z45" i="12"/>
  <c r="Z46" i="12"/>
  <c r="Z47" i="12"/>
  <c r="Z48" i="12"/>
  <c r="Z49" i="12"/>
  <c r="Z50" i="12"/>
  <c r="Z51" i="12"/>
  <c r="J52" i="12"/>
  <c r="Z52" i="12"/>
  <c r="AA52" i="12"/>
  <c r="J58" i="12"/>
  <c r="Z58" i="12"/>
  <c r="AA58" i="12"/>
  <c r="J59" i="12"/>
  <c r="Z59" i="12"/>
  <c r="AA59" i="12"/>
  <c r="J60" i="12"/>
  <c r="Z60" i="12"/>
  <c r="AA60" i="12"/>
  <c r="J61" i="12"/>
  <c r="Z61" i="12"/>
  <c r="AA61" i="12"/>
  <c r="J62" i="12"/>
  <c r="Z62" i="12"/>
  <c r="AA62" i="12"/>
  <c r="J63" i="12"/>
  <c r="Z63" i="12"/>
  <c r="AA63" i="12"/>
  <c r="J64" i="12"/>
  <c r="Z64" i="12"/>
  <c r="AA64" i="12"/>
  <c r="AB6" i="12"/>
  <c r="AB12" i="12"/>
  <c r="AB13" i="12"/>
  <c r="AB14" i="12"/>
  <c r="AB15" i="12"/>
  <c r="AB24" i="12"/>
  <c r="AC24" i="12"/>
  <c r="AB25" i="12"/>
  <c r="AC25" i="12"/>
  <c r="AB26" i="12"/>
  <c r="AB27" i="12"/>
  <c r="AB28" i="12"/>
  <c r="AB29" i="12"/>
  <c r="AD6" i="12"/>
  <c r="AD12" i="12"/>
  <c r="AD13" i="12"/>
  <c r="AD14" i="12"/>
  <c r="AD15" i="12"/>
  <c r="AD24" i="12"/>
  <c r="AE24" i="12"/>
  <c r="AD25" i="12"/>
  <c r="AE25" i="12"/>
  <c r="AD26" i="12"/>
  <c r="AD27" i="12"/>
  <c r="AD28" i="12"/>
  <c r="AD29" i="12"/>
  <c r="AC7" i="12"/>
  <c r="AB42" i="12"/>
  <c r="AD42" i="12"/>
  <c r="AF42" i="12"/>
  <c r="AB43" i="12"/>
  <c r="AD43" i="12"/>
  <c r="AF43" i="12"/>
  <c r="AB44" i="12"/>
  <c r="AD44" i="12"/>
  <c r="AF44" i="12"/>
  <c r="AB45" i="12"/>
  <c r="AD45" i="12"/>
  <c r="AF45" i="12"/>
  <c r="AB46" i="12"/>
  <c r="AD46" i="12"/>
  <c r="AF46" i="12"/>
  <c r="AB47" i="12"/>
  <c r="AD47" i="12"/>
  <c r="AF47" i="12"/>
  <c r="AB48" i="12"/>
  <c r="AD48" i="12"/>
  <c r="AF48" i="12"/>
  <c r="AB49" i="12"/>
  <c r="AD49" i="12"/>
  <c r="AF49" i="12"/>
  <c r="AB50" i="12"/>
  <c r="AD50" i="12"/>
  <c r="AF50" i="12"/>
  <c r="AB51" i="12"/>
  <c r="AD51" i="12"/>
  <c r="AF51" i="12"/>
  <c r="AB52" i="12"/>
  <c r="AD52" i="12"/>
  <c r="AF52" i="12"/>
  <c r="AG52" i="12"/>
  <c r="AB58" i="12"/>
  <c r="AD58" i="12"/>
  <c r="AF58" i="12"/>
  <c r="AG58" i="12"/>
  <c r="AB59" i="12"/>
  <c r="AD59" i="12"/>
  <c r="AF59" i="12"/>
  <c r="AG59" i="12"/>
  <c r="AB60" i="12"/>
  <c r="AD60" i="12"/>
  <c r="AF60" i="12"/>
  <c r="AG60" i="12"/>
  <c r="AB61" i="12"/>
  <c r="AD61" i="12"/>
  <c r="AF61" i="12"/>
  <c r="AG61" i="12"/>
  <c r="AB62" i="12"/>
  <c r="AD62" i="12"/>
  <c r="AF62" i="12"/>
  <c r="AG62" i="12"/>
  <c r="AB63" i="12"/>
  <c r="AD63" i="12"/>
  <c r="AF63" i="12"/>
  <c r="AG63" i="12"/>
  <c r="AB64" i="12"/>
  <c r="AD64" i="12"/>
  <c r="AF64" i="12"/>
  <c r="AG64" i="12"/>
  <c r="AF6" i="12"/>
  <c r="AE7" i="12"/>
  <c r="AF12" i="12"/>
  <c r="AF13" i="12"/>
  <c r="AF14" i="12"/>
  <c r="AF15" i="12"/>
  <c r="AF24" i="12"/>
  <c r="AG24" i="12"/>
  <c r="AF25" i="12"/>
  <c r="AG25" i="12"/>
  <c r="AF26" i="12"/>
  <c r="AF27" i="12"/>
  <c r="AF28" i="12"/>
  <c r="AF29" i="12"/>
  <c r="AF70" i="12"/>
  <c r="B32" i="12"/>
  <c r="AB70" i="12"/>
  <c r="AC52" i="12"/>
  <c r="AC58" i="12"/>
  <c r="AC59" i="12"/>
  <c r="AC60" i="12"/>
  <c r="AC61" i="12"/>
  <c r="AC62" i="12"/>
  <c r="AC63" i="12"/>
  <c r="AC64" i="12"/>
  <c r="AD70" i="12"/>
  <c r="AE52" i="12"/>
  <c r="AE58" i="12"/>
  <c r="AE59" i="12"/>
  <c r="AE60" i="12"/>
  <c r="AE61" i="12"/>
  <c r="AE62" i="12"/>
  <c r="AE63" i="12"/>
  <c r="AE64" i="12"/>
  <c r="Y24" i="12"/>
  <c r="Y25" i="12"/>
  <c r="H73" i="12"/>
  <c r="AG83" i="1"/>
  <c r="AE83" i="1"/>
  <c r="AC83" i="1"/>
  <c r="AA83" i="1"/>
  <c r="AA7" i="1"/>
  <c r="AA18" i="1"/>
  <c r="AA19" i="1"/>
  <c r="AA20" i="1"/>
  <c r="AA21" i="1"/>
  <c r="AA22" i="1"/>
  <c r="AA23" i="1"/>
  <c r="AA24" i="1"/>
  <c r="AA25" i="1"/>
  <c r="AC7" i="1"/>
  <c r="AC18" i="1"/>
  <c r="AC19" i="1"/>
  <c r="AC20" i="1"/>
  <c r="AC21" i="1"/>
  <c r="AC22" i="1"/>
  <c r="AC23" i="1"/>
  <c r="AC24" i="1"/>
  <c r="AC25" i="1"/>
  <c r="AE7" i="1"/>
  <c r="AE18" i="1"/>
  <c r="AE19" i="1"/>
  <c r="AE20" i="1"/>
  <c r="AE21" i="1"/>
  <c r="AE22" i="1"/>
  <c r="AE23" i="1"/>
  <c r="AE24" i="1"/>
  <c r="AE25" i="1"/>
  <c r="AG18" i="1"/>
  <c r="AG19" i="1"/>
  <c r="AG20" i="1"/>
  <c r="AG21" i="1"/>
  <c r="AG22" i="1"/>
  <c r="AG23" i="1"/>
  <c r="AG24" i="1"/>
  <c r="AG25" i="1"/>
  <c r="B32" i="1"/>
  <c r="Y18" i="1"/>
  <c r="Y19" i="1"/>
  <c r="Y20" i="1"/>
  <c r="Y21" i="1"/>
  <c r="Y22" i="1"/>
  <c r="Y23" i="1"/>
  <c r="Y24" i="1"/>
  <c r="Y25" i="1"/>
  <c r="AA82" i="7"/>
  <c r="AC82" i="7"/>
  <c r="AE82" i="7"/>
  <c r="AG82" i="7"/>
  <c r="AH82" i="7"/>
  <c r="AF82" i="7"/>
  <c r="AG83" i="7"/>
  <c r="AD82" i="7"/>
  <c r="AE83" i="7"/>
  <c r="AB82" i="7"/>
  <c r="AC83" i="7"/>
  <c r="Z82" i="7"/>
  <c r="AA83" i="7"/>
  <c r="E57" i="7"/>
  <c r="E58" i="7"/>
  <c r="E59" i="7"/>
  <c r="E60" i="7"/>
  <c r="F60" i="7"/>
  <c r="E61" i="7"/>
  <c r="E62" i="7"/>
  <c r="F62" i="7"/>
  <c r="E63" i="7"/>
  <c r="F63" i="7"/>
  <c r="E64" i="7"/>
  <c r="F64" i="7"/>
  <c r="E30" i="7"/>
  <c r="E21" i="7"/>
  <c r="H21" i="7"/>
  <c r="E22" i="7"/>
  <c r="H22" i="7"/>
  <c r="E23" i="7"/>
  <c r="H23" i="7"/>
  <c r="E24" i="7"/>
  <c r="H24" i="7"/>
  <c r="E25" i="7"/>
  <c r="H25" i="7"/>
  <c r="E26" i="7"/>
  <c r="H26" i="7"/>
  <c r="E27" i="7"/>
  <c r="H27" i="7"/>
  <c r="E73" i="7"/>
  <c r="Z6" i="7"/>
  <c r="X7" i="7"/>
  <c r="AA7" i="7"/>
  <c r="Z12" i="7"/>
  <c r="Z13" i="7"/>
  <c r="Z14" i="7"/>
  <c r="Z15" i="7"/>
  <c r="Z16" i="7"/>
  <c r="Z17" i="7"/>
  <c r="Z26" i="7"/>
  <c r="Z27" i="7"/>
  <c r="Z28" i="7"/>
  <c r="Z29" i="7"/>
  <c r="X8" i="7"/>
  <c r="X9" i="7"/>
  <c r="X10" i="7"/>
  <c r="X11" i="7"/>
  <c r="Z70" i="7"/>
  <c r="Z42" i="7"/>
  <c r="Z43" i="7"/>
  <c r="Z44" i="7"/>
  <c r="Z45" i="7"/>
  <c r="Z46" i="7"/>
  <c r="Z47" i="7"/>
  <c r="Z48" i="7"/>
  <c r="Z49" i="7"/>
  <c r="Z50" i="7"/>
  <c r="Z51" i="7"/>
  <c r="Z52" i="7"/>
  <c r="Z58" i="7"/>
  <c r="Z59" i="7"/>
  <c r="Z60" i="7"/>
  <c r="Z61" i="7"/>
  <c r="Z62" i="7"/>
  <c r="Z63" i="7"/>
  <c r="Z64" i="7"/>
  <c r="AB6" i="7"/>
  <c r="AC7" i="7"/>
  <c r="AB12" i="7"/>
  <c r="AB13" i="7"/>
  <c r="AB14" i="7"/>
  <c r="AB15" i="7"/>
  <c r="AB16" i="7"/>
  <c r="AB17" i="7"/>
  <c r="AB26" i="7"/>
  <c r="AB27" i="7"/>
  <c r="AB28" i="7"/>
  <c r="AB29" i="7"/>
  <c r="AB70" i="7"/>
  <c r="AB42" i="7"/>
  <c r="AB43" i="7"/>
  <c r="AB44" i="7"/>
  <c r="AB45" i="7"/>
  <c r="AB46" i="7"/>
  <c r="AB47" i="7"/>
  <c r="AB48" i="7"/>
  <c r="AB49" i="7"/>
  <c r="AB50" i="7"/>
  <c r="AB51" i="7"/>
  <c r="AB52" i="7"/>
  <c r="AB58" i="7"/>
  <c r="AB59" i="7"/>
  <c r="AB60" i="7"/>
  <c r="AB61" i="7"/>
  <c r="AB62" i="7"/>
  <c r="AB63" i="7"/>
  <c r="AB64" i="7"/>
  <c r="AD6" i="7"/>
  <c r="AE7" i="7"/>
  <c r="AD12" i="7"/>
  <c r="AD13" i="7"/>
  <c r="AD14" i="7"/>
  <c r="AD15" i="7"/>
  <c r="AD16" i="7"/>
  <c r="AD17" i="7"/>
  <c r="AD26" i="7"/>
  <c r="AD27" i="7"/>
  <c r="AD28" i="7"/>
  <c r="AD29" i="7"/>
  <c r="AD70" i="7"/>
  <c r="AD42" i="7"/>
  <c r="AD43" i="7"/>
  <c r="AD44" i="7"/>
  <c r="AD45" i="7"/>
  <c r="AD46" i="7"/>
  <c r="AD47" i="7"/>
  <c r="AD48" i="7"/>
  <c r="AD49" i="7"/>
  <c r="AD50" i="7"/>
  <c r="AD51" i="7"/>
  <c r="AD52" i="7"/>
  <c r="AD58" i="7"/>
  <c r="AD59" i="7"/>
  <c r="AD60" i="7"/>
  <c r="AD61" i="7"/>
  <c r="AD62" i="7"/>
  <c r="AD63" i="7"/>
  <c r="AD64" i="7"/>
  <c r="AF42" i="7"/>
  <c r="AF43" i="7"/>
  <c r="AF44" i="7"/>
  <c r="AF45" i="7"/>
  <c r="AF46" i="7"/>
  <c r="AF47" i="7"/>
  <c r="AF48" i="7"/>
  <c r="AF49" i="7"/>
  <c r="AF50" i="7"/>
  <c r="AF51" i="7"/>
  <c r="AF52" i="7"/>
  <c r="AF58" i="7"/>
  <c r="AF59" i="7"/>
  <c r="AF60" i="7"/>
  <c r="AF61" i="7"/>
  <c r="AF62" i="7"/>
  <c r="AF63" i="7"/>
  <c r="AF64" i="7"/>
  <c r="AF6" i="7"/>
  <c r="AF12" i="7"/>
  <c r="AF13" i="7"/>
  <c r="AF14" i="7"/>
  <c r="AF15" i="7"/>
  <c r="AF16" i="7"/>
  <c r="AF17" i="7"/>
  <c r="AF26" i="7"/>
  <c r="AF27" i="7"/>
  <c r="AF28" i="7"/>
  <c r="AF29" i="7"/>
  <c r="AF70" i="7"/>
  <c r="B32" i="7"/>
  <c r="H73" i="7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53" i="7"/>
  <c r="D54" i="7"/>
  <c r="D55" i="7"/>
  <c r="D56" i="7"/>
  <c r="D57" i="7"/>
  <c r="D58" i="7"/>
  <c r="D59" i="7"/>
  <c r="D60" i="7"/>
  <c r="D61" i="7"/>
  <c r="D62" i="7"/>
  <c r="D63" i="7"/>
  <c r="D64" i="7"/>
  <c r="D53" i="12"/>
  <c r="D54" i="12"/>
  <c r="D55" i="12"/>
  <c r="D56" i="12"/>
  <c r="D57" i="12"/>
  <c r="D58" i="12"/>
  <c r="D59" i="12"/>
  <c r="D60" i="12"/>
  <c r="D61" i="12"/>
  <c r="D62" i="12"/>
  <c r="D63" i="12"/>
  <c r="D64" i="12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8" i="1"/>
  <c r="E25" i="8"/>
  <c r="H25" i="8"/>
  <c r="E26" i="8"/>
  <c r="H26" i="8"/>
  <c r="E27" i="8"/>
  <c r="H27" i="8"/>
  <c r="E57" i="8"/>
  <c r="E58" i="8"/>
  <c r="E59" i="8"/>
  <c r="E60" i="8"/>
  <c r="F60" i="8"/>
  <c r="E61" i="8"/>
  <c r="E62" i="8"/>
  <c r="F62" i="8"/>
  <c r="E63" i="8"/>
  <c r="F63" i="8"/>
  <c r="E64" i="8"/>
  <c r="F64" i="8"/>
  <c r="E30" i="8"/>
  <c r="E21" i="8"/>
  <c r="H21" i="8"/>
  <c r="E22" i="8"/>
  <c r="H22" i="8"/>
  <c r="E23" i="8"/>
  <c r="H23" i="8"/>
  <c r="E24" i="8"/>
  <c r="H24" i="8"/>
  <c r="E73" i="8"/>
  <c r="A38" i="8"/>
  <c r="A92" i="8"/>
  <c r="A39" i="8"/>
  <c r="A93" i="8"/>
  <c r="A40" i="8"/>
  <c r="A94" i="8"/>
  <c r="A41" i="8"/>
  <c r="A95" i="8"/>
  <c r="A42" i="8"/>
  <c r="A96" i="8"/>
  <c r="A43" i="8"/>
  <c r="A97" i="8"/>
  <c r="A44" i="8"/>
  <c r="A98" i="8"/>
  <c r="A45" i="8"/>
  <c r="A99" i="8"/>
  <c r="A46" i="8"/>
  <c r="A100" i="8"/>
  <c r="A47" i="8"/>
  <c r="A101" i="8"/>
  <c r="A48" i="8"/>
  <c r="A102" i="8"/>
  <c r="A49" i="8"/>
  <c r="A103" i="8"/>
  <c r="A50" i="8"/>
  <c r="A104" i="8"/>
  <c r="A51" i="8"/>
  <c r="A105" i="8"/>
  <c r="A52" i="8"/>
  <c r="A106" i="8"/>
  <c r="A53" i="8"/>
  <c r="A107" i="8"/>
  <c r="A54" i="8"/>
  <c r="A108" i="8"/>
  <c r="A55" i="8"/>
  <c r="A109" i="8"/>
  <c r="A56" i="8"/>
  <c r="A110" i="8"/>
  <c r="A57" i="8"/>
  <c r="A111" i="8"/>
  <c r="A58" i="8"/>
  <c r="A112" i="8"/>
  <c r="A59" i="8"/>
  <c r="A113" i="8"/>
  <c r="A60" i="8"/>
  <c r="A114" i="8"/>
  <c r="A61" i="8"/>
  <c r="A115" i="8"/>
  <c r="A62" i="8"/>
  <c r="A116" i="8"/>
  <c r="A63" i="8"/>
  <c r="A117" i="8"/>
  <c r="A64" i="8"/>
  <c r="A118" i="8"/>
  <c r="H53" i="8"/>
  <c r="I53" i="8"/>
  <c r="B65" i="8"/>
  <c r="K53" i="8"/>
  <c r="L53" i="8"/>
  <c r="H54" i="8"/>
  <c r="I54" i="8"/>
  <c r="K54" i="8"/>
  <c r="L54" i="8"/>
  <c r="H55" i="8"/>
  <c r="I55" i="8"/>
  <c r="K55" i="8"/>
  <c r="L55" i="8"/>
  <c r="H56" i="8"/>
  <c r="I56" i="8"/>
  <c r="K56" i="8"/>
  <c r="L56" i="8"/>
  <c r="H57" i="8"/>
  <c r="I57" i="8"/>
  <c r="K57" i="8"/>
  <c r="L57" i="8"/>
  <c r="H58" i="8"/>
  <c r="I58" i="8"/>
  <c r="K58" i="8"/>
  <c r="L58" i="8"/>
  <c r="H59" i="8"/>
  <c r="I59" i="8"/>
  <c r="K59" i="8"/>
  <c r="L59" i="8"/>
  <c r="H60" i="8"/>
  <c r="I60" i="8"/>
  <c r="K60" i="8"/>
  <c r="L60" i="8"/>
  <c r="H61" i="8"/>
  <c r="I61" i="8"/>
  <c r="K61" i="8"/>
  <c r="L61" i="8"/>
  <c r="H62" i="8"/>
  <c r="I62" i="8"/>
  <c r="K62" i="8"/>
  <c r="L62" i="8"/>
  <c r="H63" i="8"/>
  <c r="I63" i="8"/>
  <c r="K63" i="8"/>
  <c r="L63" i="8"/>
  <c r="H64" i="8"/>
  <c r="I64" i="8"/>
  <c r="K64" i="8"/>
  <c r="L64" i="8"/>
  <c r="A18" i="8"/>
  <c r="A19" i="8"/>
  <c r="A20" i="8"/>
  <c r="A21" i="8"/>
  <c r="A22" i="8"/>
  <c r="A23" i="8"/>
  <c r="A24" i="8"/>
  <c r="A25" i="8"/>
  <c r="H38" i="7"/>
  <c r="D38" i="7"/>
  <c r="I38" i="7"/>
  <c r="B65" i="7"/>
  <c r="K38" i="7"/>
  <c r="L38" i="7"/>
  <c r="H39" i="7"/>
  <c r="D39" i="7"/>
  <c r="I39" i="7"/>
  <c r="K39" i="7"/>
  <c r="L39" i="7"/>
  <c r="H40" i="7"/>
  <c r="D40" i="7"/>
  <c r="I40" i="7"/>
  <c r="K40" i="7"/>
  <c r="L40" i="7"/>
  <c r="H41" i="7"/>
  <c r="D41" i="7"/>
  <c r="I41" i="7"/>
  <c r="K41" i="7"/>
  <c r="L41" i="7"/>
  <c r="H42" i="7"/>
  <c r="D42" i="7"/>
  <c r="I42" i="7"/>
  <c r="K42" i="7"/>
  <c r="L42" i="7"/>
  <c r="H43" i="7"/>
  <c r="D43" i="7"/>
  <c r="I43" i="7"/>
  <c r="K43" i="7"/>
  <c r="L43" i="7"/>
  <c r="H44" i="7"/>
  <c r="D44" i="7"/>
  <c r="I44" i="7"/>
  <c r="K44" i="7"/>
  <c r="L44" i="7"/>
  <c r="H45" i="7"/>
  <c r="D45" i="7"/>
  <c r="I45" i="7"/>
  <c r="K45" i="7"/>
  <c r="L45" i="7"/>
  <c r="H46" i="7"/>
  <c r="D46" i="7"/>
  <c r="I46" i="7"/>
  <c r="K46" i="7"/>
  <c r="L46" i="7"/>
  <c r="H47" i="7"/>
  <c r="D47" i="7"/>
  <c r="I47" i="7"/>
  <c r="K47" i="7"/>
  <c r="L47" i="7"/>
  <c r="H48" i="7"/>
  <c r="D48" i="7"/>
  <c r="I48" i="7"/>
  <c r="K48" i="7"/>
  <c r="L48" i="7"/>
  <c r="H49" i="7"/>
  <c r="D49" i="7"/>
  <c r="I49" i="7"/>
  <c r="K49" i="7"/>
  <c r="L49" i="7"/>
  <c r="H50" i="7"/>
  <c r="D50" i="7"/>
  <c r="I50" i="7"/>
  <c r="K50" i="7"/>
  <c r="L50" i="7"/>
  <c r="H51" i="7"/>
  <c r="D51" i="7"/>
  <c r="I51" i="7"/>
  <c r="K51" i="7"/>
  <c r="L51" i="7"/>
  <c r="H52" i="7"/>
  <c r="D52" i="7"/>
  <c r="I52" i="7"/>
  <c r="K52" i="7"/>
  <c r="L52" i="7"/>
  <c r="H53" i="7"/>
  <c r="I53" i="7"/>
  <c r="K53" i="7"/>
  <c r="L53" i="7"/>
  <c r="H54" i="7"/>
  <c r="I54" i="7"/>
  <c r="K54" i="7"/>
  <c r="L54" i="7"/>
  <c r="H55" i="7"/>
  <c r="I55" i="7"/>
  <c r="K55" i="7"/>
  <c r="L55" i="7"/>
  <c r="H56" i="7"/>
  <c r="I56" i="7"/>
  <c r="K56" i="7"/>
  <c r="L56" i="7"/>
  <c r="H57" i="7"/>
  <c r="I57" i="7"/>
  <c r="K57" i="7"/>
  <c r="L57" i="7"/>
  <c r="H58" i="7"/>
  <c r="I58" i="7"/>
  <c r="K58" i="7"/>
  <c r="L58" i="7"/>
  <c r="H59" i="7"/>
  <c r="I59" i="7"/>
  <c r="K59" i="7"/>
  <c r="L59" i="7"/>
  <c r="H60" i="7"/>
  <c r="I60" i="7"/>
  <c r="K60" i="7"/>
  <c r="L60" i="7"/>
  <c r="H61" i="7"/>
  <c r="I61" i="7"/>
  <c r="K61" i="7"/>
  <c r="L61" i="7"/>
  <c r="H62" i="7"/>
  <c r="I62" i="7"/>
  <c r="K62" i="7"/>
  <c r="L62" i="7"/>
  <c r="H63" i="7"/>
  <c r="I63" i="7"/>
  <c r="K63" i="7"/>
  <c r="L63" i="7"/>
  <c r="H64" i="7"/>
  <c r="I64" i="7"/>
  <c r="K64" i="7"/>
  <c r="L64" i="7"/>
  <c r="A38" i="7"/>
  <c r="A92" i="7"/>
  <c r="A39" i="7"/>
  <c r="A93" i="7"/>
  <c r="A40" i="7"/>
  <c r="A94" i="7"/>
  <c r="A41" i="7"/>
  <c r="A95" i="7"/>
  <c r="A42" i="7"/>
  <c r="A96" i="7"/>
  <c r="A43" i="7"/>
  <c r="A97" i="7"/>
  <c r="A44" i="7"/>
  <c r="A98" i="7"/>
  <c r="A45" i="7"/>
  <c r="A99" i="7"/>
  <c r="A46" i="7"/>
  <c r="A100" i="7"/>
  <c r="A47" i="7"/>
  <c r="A101" i="7"/>
  <c r="A48" i="7"/>
  <c r="A102" i="7"/>
  <c r="A49" i="7"/>
  <c r="A103" i="7"/>
  <c r="A50" i="7"/>
  <c r="A104" i="7"/>
  <c r="A51" i="7"/>
  <c r="A105" i="7"/>
  <c r="A52" i="7"/>
  <c r="A106" i="7"/>
  <c r="A53" i="7"/>
  <c r="A107" i="7"/>
  <c r="A54" i="7"/>
  <c r="A108" i="7"/>
  <c r="A55" i="7"/>
  <c r="A109" i="7"/>
  <c r="A56" i="7"/>
  <c r="A110" i="7"/>
  <c r="A57" i="7"/>
  <c r="A111" i="7"/>
  <c r="A58" i="7"/>
  <c r="A112" i="7"/>
  <c r="A59" i="7"/>
  <c r="A113" i="7"/>
  <c r="A60" i="7"/>
  <c r="A114" i="7"/>
  <c r="A61" i="7"/>
  <c r="A115" i="7"/>
  <c r="A62" i="7"/>
  <c r="A116" i="7"/>
  <c r="A63" i="7"/>
  <c r="A117" i="7"/>
  <c r="A64" i="7"/>
  <c r="A118" i="7"/>
  <c r="A18" i="7"/>
  <c r="A19" i="7"/>
  <c r="A20" i="7"/>
  <c r="A21" i="7"/>
  <c r="A22" i="7"/>
  <c r="A23" i="7"/>
  <c r="A24" i="7"/>
  <c r="A25" i="7"/>
  <c r="J53" i="12"/>
  <c r="J54" i="12"/>
  <c r="J55" i="12"/>
  <c r="J56" i="12"/>
  <c r="J57" i="12"/>
  <c r="A53" i="12"/>
  <c r="A107" i="12"/>
  <c r="A54" i="12"/>
  <c r="A108" i="12"/>
  <c r="A55" i="12"/>
  <c r="A109" i="12"/>
  <c r="A56" i="12"/>
  <c r="A110" i="12"/>
  <c r="A57" i="12"/>
  <c r="A111" i="12"/>
  <c r="A58" i="12"/>
  <c r="A112" i="12"/>
  <c r="A59" i="12"/>
  <c r="A113" i="12"/>
  <c r="A60" i="12"/>
  <c r="A114" i="12"/>
  <c r="A61" i="12"/>
  <c r="A115" i="12"/>
  <c r="A62" i="12"/>
  <c r="A116" i="12"/>
  <c r="A63" i="12"/>
  <c r="A117" i="12"/>
  <c r="A64" i="12"/>
  <c r="A118" i="12"/>
  <c r="H38" i="12"/>
  <c r="D38" i="12"/>
  <c r="I38" i="12"/>
  <c r="B65" i="12"/>
  <c r="K38" i="12"/>
  <c r="L38" i="12"/>
  <c r="H39" i="12"/>
  <c r="D39" i="12"/>
  <c r="I39" i="12"/>
  <c r="K39" i="12"/>
  <c r="L39" i="12"/>
  <c r="H40" i="12"/>
  <c r="D40" i="12"/>
  <c r="I40" i="12"/>
  <c r="K40" i="12"/>
  <c r="L40" i="12"/>
  <c r="H41" i="12"/>
  <c r="D41" i="12"/>
  <c r="I41" i="12"/>
  <c r="K41" i="12"/>
  <c r="L41" i="12"/>
  <c r="H42" i="12"/>
  <c r="D42" i="12"/>
  <c r="I42" i="12"/>
  <c r="K42" i="12"/>
  <c r="L42" i="12"/>
  <c r="H43" i="12"/>
  <c r="D43" i="12"/>
  <c r="I43" i="12"/>
  <c r="K43" i="12"/>
  <c r="L43" i="12"/>
  <c r="H44" i="12"/>
  <c r="D44" i="12"/>
  <c r="I44" i="12"/>
  <c r="K44" i="12"/>
  <c r="L44" i="12"/>
  <c r="H45" i="12"/>
  <c r="D45" i="12"/>
  <c r="I45" i="12"/>
  <c r="K45" i="12"/>
  <c r="L45" i="12"/>
  <c r="H46" i="12"/>
  <c r="D46" i="12"/>
  <c r="I46" i="12"/>
  <c r="K46" i="12"/>
  <c r="L46" i="12"/>
  <c r="H47" i="12"/>
  <c r="D47" i="12"/>
  <c r="I47" i="12"/>
  <c r="K47" i="12"/>
  <c r="L47" i="12"/>
  <c r="H48" i="12"/>
  <c r="D48" i="12"/>
  <c r="I48" i="12"/>
  <c r="K48" i="12"/>
  <c r="L48" i="12"/>
  <c r="H49" i="12"/>
  <c r="D49" i="12"/>
  <c r="I49" i="12"/>
  <c r="K49" i="12"/>
  <c r="L49" i="12"/>
  <c r="H50" i="12"/>
  <c r="D50" i="12"/>
  <c r="I50" i="12"/>
  <c r="K50" i="12"/>
  <c r="L50" i="12"/>
  <c r="H51" i="12"/>
  <c r="D51" i="12"/>
  <c r="I51" i="12"/>
  <c r="K51" i="12"/>
  <c r="L51" i="12"/>
  <c r="H52" i="12"/>
  <c r="D52" i="12"/>
  <c r="I52" i="12"/>
  <c r="K52" i="12"/>
  <c r="L52" i="12"/>
  <c r="M52" i="12"/>
  <c r="H53" i="12"/>
  <c r="I53" i="12"/>
  <c r="K53" i="12"/>
  <c r="L53" i="12"/>
  <c r="M53" i="12"/>
  <c r="H54" i="12"/>
  <c r="I54" i="12"/>
  <c r="K54" i="12"/>
  <c r="L54" i="12"/>
  <c r="M54" i="12"/>
  <c r="H55" i="12"/>
  <c r="I55" i="12"/>
  <c r="K55" i="12"/>
  <c r="L55" i="12"/>
  <c r="M55" i="12"/>
  <c r="H56" i="12"/>
  <c r="I56" i="12"/>
  <c r="K56" i="12"/>
  <c r="L56" i="12"/>
  <c r="M56" i="12"/>
  <c r="H57" i="12"/>
  <c r="I57" i="12"/>
  <c r="K57" i="12"/>
  <c r="L57" i="12"/>
  <c r="M57" i="12"/>
  <c r="H58" i="12"/>
  <c r="I58" i="12"/>
  <c r="K58" i="12"/>
  <c r="L58" i="12"/>
  <c r="M58" i="12"/>
  <c r="H59" i="12"/>
  <c r="I59" i="12"/>
  <c r="K59" i="12"/>
  <c r="L59" i="12"/>
  <c r="M59" i="12"/>
  <c r="H60" i="12"/>
  <c r="I60" i="12"/>
  <c r="K60" i="12"/>
  <c r="L60" i="12"/>
  <c r="M60" i="12"/>
  <c r="H61" i="12"/>
  <c r="I61" i="12"/>
  <c r="K61" i="12"/>
  <c r="L61" i="12"/>
  <c r="M61" i="12"/>
  <c r="H62" i="12"/>
  <c r="I62" i="12"/>
  <c r="K62" i="12"/>
  <c r="L62" i="12"/>
  <c r="M62" i="12"/>
  <c r="H63" i="12"/>
  <c r="I63" i="12"/>
  <c r="K63" i="12"/>
  <c r="L63" i="12"/>
  <c r="M63" i="12"/>
  <c r="H64" i="12"/>
  <c r="I64" i="12"/>
  <c r="K64" i="12"/>
  <c r="L64" i="12"/>
  <c r="M64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16" i="12"/>
  <c r="A17" i="12"/>
  <c r="A18" i="12"/>
  <c r="A19" i="12"/>
  <c r="A20" i="12"/>
  <c r="A21" i="12"/>
  <c r="A22" i="12"/>
  <c r="A23" i="12"/>
  <c r="A24" i="12"/>
  <c r="A25" i="12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H50" i="1"/>
  <c r="I50" i="1"/>
  <c r="B65" i="1"/>
  <c r="K50" i="1"/>
  <c r="L50" i="1"/>
  <c r="H51" i="1"/>
  <c r="I51" i="1"/>
  <c r="K51" i="1"/>
  <c r="L51" i="1"/>
  <c r="H52" i="1"/>
  <c r="I52" i="1"/>
  <c r="K52" i="1"/>
  <c r="L52" i="1"/>
  <c r="H53" i="1"/>
  <c r="I53" i="1"/>
  <c r="K53" i="1"/>
  <c r="L53" i="1"/>
  <c r="H54" i="1"/>
  <c r="I54" i="1"/>
  <c r="K54" i="1"/>
  <c r="L54" i="1"/>
  <c r="H55" i="1"/>
  <c r="I55" i="1"/>
  <c r="K55" i="1"/>
  <c r="L55" i="1"/>
  <c r="H56" i="1"/>
  <c r="I56" i="1"/>
  <c r="K56" i="1"/>
  <c r="L56" i="1"/>
  <c r="H57" i="1"/>
  <c r="I57" i="1"/>
  <c r="K57" i="1"/>
  <c r="L57" i="1"/>
  <c r="H58" i="1"/>
  <c r="I58" i="1"/>
  <c r="K58" i="1"/>
  <c r="L58" i="1"/>
  <c r="H59" i="1"/>
  <c r="I59" i="1"/>
  <c r="K59" i="1"/>
  <c r="L59" i="1"/>
  <c r="H60" i="1"/>
  <c r="I60" i="1"/>
  <c r="K60" i="1"/>
  <c r="L60" i="1"/>
  <c r="H61" i="1"/>
  <c r="I61" i="1"/>
  <c r="K61" i="1"/>
  <c r="L61" i="1"/>
  <c r="H62" i="1"/>
  <c r="I62" i="1"/>
  <c r="K62" i="1"/>
  <c r="L62" i="1"/>
  <c r="H63" i="1"/>
  <c r="I63" i="1"/>
  <c r="K63" i="1"/>
  <c r="L63" i="1"/>
  <c r="H64" i="1"/>
  <c r="I64" i="1"/>
  <c r="K64" i="1"/>
  <c r="L64" i="1"/>
  <c r="AF25" i="1"/>
  <c r="AH25" i="1"/>
  <c r="AI25" i="1"/>
  <c r="AJ25" i="1"/>
  <c r="AK25" i="1"/>
  <c r="AF24" i="1"/>
  <c r="AH24" i="1"/>
  <c r="AI24" i="1"/>
  <c r="AJ24" i="1"/>
  <c r="AK24" i="1"/>
  <c r="AF21" i="1"/>
  <c r="AH21" i="1"/>
  <c r="AI21" i="1"/>
  <c r="AJ21" i="1"/>
  <c r="AK21" i="1"/>
  <c r="AF22" i="1"/>
  <c r="AH22" i="1"/>
  <c r="AI22" i="1"/>
  <c r="AJ22" i="1"/>
  <c r="AK22" i="1"/>
  <c r="AF23" i="1"/>
  <c r="AH23" i="1"/>
  <c r="AI23" i="1"/>
  <c r="AJ23" i="1"/>
  <c r="AK23" i="1"/>
  <c r="AF18" i="1"/>
  <c r="AH18" i="1"/>
  <c r="AI18" i="1"/>
  <c r="AJ18" i="1"/>
  <c r="AK18" i="1"/>
  <c r="AF19" i="1"/>
  <c r="AH19" i="1"/>
  <c r="AI19" i="1"/>
  <c r="AJ19" i="1"/>
  <c r="AK19" i="1"/>
  <c r="AF20" i="1"/>
  <c r="AH20" i="1"/>
  <c r="AI20" i="1"/>
  <c r="AJ20" i="1"/>
  <c r="AK20" i="1"/>
  <c r="K130" i="12"/>
  <c r="I130" i="12"/>
  <c r="I127" i="12"/>
  <c r="K126" i="12"/>
  <c r="I126" i="12"/>
  <c r="K125" i="12"/>
  <c r="I125" i="12"/>
  <c r="K124" i="12"/>
  <c r="K130" i="1"/>
  <c r="I130" i="1"/>
  <c r="K129" i="1"/>
  <c r="I127" i="1"/>
  <c r="K126" i="1"/>
  <c r="I126" i="1"/>
  <c r="K125" i="1"/>
  <c r="I125" i="1"/>
  <c r="K124" i="1"/>
  <c r="B74" i="1"/>
  <c r="B76" i="1"/>
  <c r="F91" i="9"/>
  <c r="AG82" i="1"/>
  <c r="AE82" i="1"/>
  <c r="AC82" i="1"/>
  <c r="AA82" i="1"/>
  <c r="AH82" i="1"/>
  <c r="H73" i="8"/>
  <c r="I92" i="9"/>
  <c r="H92" i="9"/>
  <c r="H73" i="1"/>
  <c r="G92" i="9"/>
  <c r="F92" i="9"/>
  <c r="E92" i="9"/>
  <c r="E88" i="9"/>
  <c r="E101" i="9"/>
  <c r="D92" i="9"/>
  <c r="D88" i="9"/>
  <c r="D101" i="9"/>
  <c r="C92" i="9"/>
  <c r="C88" i="9"/>
  <c r="C101" i="9"/>
  <c r="B92" i="9"/>
  <c r="B88" i="9"/>
  <c r="B101" i="9"/>
  <c r="I91" i="9"/>
  <c r="H91" i="9"/>
  <c r="G91" i="9"/>
  <c r="E91" i="9"/>
  <c r="E100" i="9"/>
  <c r="D91" i="9"/>
  <c r="D100" i="9"/>
  <c r="C91" i="9"/>
  <c r="C100" i="9"/>
  <c r="B91" i="9"/>
  <c r="B100" i="9"/>
  <c r="I90" i="9"/>
  <c r="H90" i="9"/>
  <c r="G90" i="9"/>
  <c r="F90" i="9"/>
  <c r="E90" i="9"/>
  <c r="E99" i="9"/>
  <c r="D90" i="9"/>
  <c r="D99" i="9"/>
  <c r="C90" i="9"/>
  <c r="C99" i="9"/>
  <c r="B90" i="9"/>
  <c r="B99" i="9"/>
  <c r="I89" i="9"/>
  <c r="H89" i="9"/>
  <c r="G89" i="9"/>
  <c r="F89" i="9"/>
  <c r="E89" i="9"/>
  <c r="E98" i="9"/>
  <c r="D89" i="9"/>
  <c r="D98" i="9"/>
  <c r="C89" i="9"/>
  <c r="C98" i="9"/>
  <c r="B89" i="9"/>
  <c r="B98" i="9"/>
  <c r="I95" i="9"/>
  <c r="I96" i="9"/>
  <c r="H95" i="9"/>
  <c r="H96" i="9"/>
  <c r="G95" i="9"/>
  <c r="G96" i="9"/>
  <c r="F95" i="9"/>
  <c r="F96" i="9"/>
  <c r="A95" i="9"/>
  <c r="A96" i="9"/>
  <c r="A91" i="9"/>
  <c r="A92" i="9"/>
  <c r="B76" i="7"/>
  <c r="K71" i="7"/>
  <c r="L71" i="7"/>
  <c r="I126" i="7"/>
  <c r="I72" i="7"/>
  <c r="K72" i="7"/>
  <c r="L72" i="7"/>
  <c r="B76" i="12"/>
  <c r="K71" i="12"/>
  <c r="L71" i="12"/>
  <c r="I72" i="12"/>
  <c r="K72" i="12"/>
  <c r="L72" i="12"/>
  <c r="I71" i="1"/>
  <c r="K71" i="1"/>
  <c r="L71" i="1"/>
  <c r="I72" i="1"/>
  <c r="K72" i="1"/>
  <c r="L72" i="1"/>
  <c r="I130" i="8"/>
  <c r="I130" i="7"/>
  <c r="I127" i="7"/>
  <c r="K125" i="7"/>
  <c r="K126" i="7"/>
  <c r="K125" i="8"/>
  <c r="K126" i="8"/>
  <c r="B31" i="12"/>
  <c r="B31" i="7"/>
  <c r="B31" i="8"/>
  <c r="B31" i="1"/>
  <c r="D41" i="1"/>
  <c r="A9" i="7"/>
  <c r="A6" i="7"/>
  <c r="B22" i="13"/>
  <c r="D22" i="13"/>
  <c r="E22" i="13"/>
  <c r="B23" i="13"/>
  <c r="B107" i="13"/>
  <c r="B109" i="13"/>
  <c r="H30" i="12"/>
  <c r="H43" i="8"/>
  <c r="H39" i="1"/>
  <c r="D39" i="1"/>
  <c r="I39" i="1"/>
  <c r="H40" i="1"/>
  <c r="D40" i="1"/>
  <c r="I40" i="1"/>
  <c r="H44" i="1"/>
  <c r="H45" i="1"/>
  <c r="K45" i="1"/>
  <c r="L45" i="1"/>
  <c r="H46" i="1"/>
  <c r="D47" i="1"/>
  <c r="H47" i="1"/>
  <c r="I47" i="1"/>
  <c r="H49" i="1"/>
  <c r="A7" i="8"/>
  <c r="A9" i="12"/>
  <c r="A11" i="7"/>
  <c r="A15" i="7"/>
  <c r="A17" i="8"/>
  <c r="A28" i="12"/>
  <c r="AE109" i="13"/>
  <c r="B118" i="13"/>
  <c r="AK2" i="8"/>
  <c r="AJ2" i="8"/>
  <c r="AF2" i="8"/>
  <c r="AD2" i="8"/>
  <c r="AB2" i="8"/>
  <c r="Z2" i="8"/>
  <c r="AK2" i="7"/>
  <c r="AJ2" i="7"/>
  <c r="AF2" i="7"/>
  <c r="AD2" i="7"/>
  <c r="AB2" i="7"/>
  <c r="Z2" i="7"/>
  <c r="AK2" i="12"/>
  <c r="AJ2" i="12"/>
  <c r="AF2" i="12"/>
  <c r="AD2" i="12"/>
  <c r="AB2" i="12"/>
  <c r="Z2" i="12"/>
  <c r="X7" i="8"/>
  <c r="AC7" i="8"/>
  <c r="X11" i="8"/>
  <c r="X41" i="8"/>
  <c r="X9" i="8"/>
  <c r="X40" i="8"/>
  <c r="X8" i="8"/>
  <c r="X39" i="8"/>
  <c r="X41" i="7"/>
  <c r="X40" i="7"/>
  <c r="X39" i="7"/>
  <c r="X41" i="12"/>
  <c r="X40" i="12"/>
  <c r="AG82" i="8"/>
  <c r="AE82" i="8"/>
  <c r="AC82" i="8"/>
  <c r="AA82" i="8"/>
  <c r="AH82" i="8"/>
  <c r="Z82" i="8"/>
  <c r="AD73" i="8"/>
  <c r="AB73" i="8"/>
  <c r="Z73" i="8"/>
  <c r="AF73" i="1"/>
  <c r="AF73" i="8"/>
  <c r="AH73" i="8"/>
  <c r="AF70" i="1"/>
  <c r="AF70" i="8"/>
  <c r="AD70" i="8"/>
  <c r="AB70" i="8"/>
  <c r="Z70" i="8"/>
  <c r="AH70" i="8"/>
  <c r="AD64" i="8"/>
  <c r="AB64" i="8"/>
  <c r="Z64" i="8"/>
  <c r="AF64" i="8"/>
  <c r="AD63" i="8"/>
  <c r="AB63" i="8"/>
  <c r="Z63" i="8"/>
  <c r="AD62" i="8"/>
  <c r="AB62" i="8"/>
  <c r="Z62" i="8"/>
  <c r="AD61" i="8"/>
  <c r="AB61" i="8"/>
  <c r="Z61" i="8"/>
  <c r="AD60" i="8"/>
  <c r="AB60" i="8"/>
  <c r="Z60" i="8"/>
  <c r="AD59" i="8"/>
  <c r="AB59" i="8"/>
  <c r="Z59" i="8"/>
  <c r="AD58" i="8"/>
  <c r="AB58" i="8"/>
  <c r="Z58" i="8"/>
  <c r="AD52" i="8"/>
  <c r="AB52" i="8"/>
  <c r="Z52" i="8"/>
  <c r="AF52" i="8"/>
  <c r="AD51" i="8"/>
  <c r="AB51" i="8"/>
  <c r="Z51" i="8"/>
  <c r="AD50" i="8"/>
  <c r="AB50" i="8"/>
  <c r="Z50" i="8"/>
  <c r="AD49" i="8"/>
  <c r="AB49" i="8"/>
  <c r="Z49" i="8"/>
  <c r="AD48" i="8"/>
  <c r="AB48" i="8"/>
  <c r="Z48" i="8"/>
  <c r="AD47" i="8"/>
  <c r="AB47" i="8"/>
  <c r="Z47" i="8"/>
  <c r="AD46" i="8"/>
  <c r="AB46" i="8"/>
  <c r="Z46" i="8"/>
  <c r="AD45" i="8"/>
  <c r="AB45" i="8"/>
  <c r="Z45" i="8"/>
  <c r="AD44" i="8"/>
  <c r="AB44" i="8"/>
  <c r="Z44" i="8"/>
  <c r="AD43" i="8"/>
  <c r="AB43" i="8"/>
  <c r="Z43" i="8"/>
  <c r="AD42" i="8"/>
  <c r="AB42" i="8"/>
  <c r="Z42" i="8"/>
  <c r="AD29" i="8"/>
  <c r="AB29" i="8"/>
  <c r="Z29" i="8"/>
  <c r="AD28" i="8"/>
  <c r="AB28" i="8"/>
  <c r="Z28" i="8"/>
  <c r="AD27" i="8"/>
  <c r="AB27" i="8"/>
  <c r="Z27" i="8"/>
  <c r="AD26" i="8"/>
  <c r="AB26" i="8"/>
  <c r="Z26" i="8"/>
  <c r="AD17" i="8"/>
  <c r="Z17" i="8"/>
  <c r="AB17" i="8"/>
  <c r="AF17" i="8"/>
  <c r="AD16" i="8"/>
  <c r="AB16" i="8"/>
  <c r="Z16" i="8"/>
  <c r="AF16" i="8"/>
  <c r="AD15" i="8"/>
  <c r="AB15" i="8"/>
  <c r="Z15" i="8"/>
  <c r="AD14" i="8"/>
  <c r="AB14" i="8"/>
  <c r="Z14" i="8"/>
  <c r="AD13" i="8"/>
  <c r="AB13" i="8"/>
  <c r="Z13" i="8"/>
  <c r="AD12" i="8"/>
  <c r="AB12" i="8"/>
  <c r="Z12" i="8"/>
  <c r="X10" i="8"/>
  <c r="AD6" i="8"/>
  <c r="AB6" i="8"/>
  <c r="Z6" i="8"/>
  <c r="AF1" i="8"/>
  <c r="AD1" i="8"/>
  <c r="AK1" i="8"/>
  <c r="AB1" i="8"/>
  <c r="Z1" i="8"/>
  <c r="AD73" i="7"/>
  <c r="AB73" i="7"/>
  <c r="Z73" i="7"/>
  <c r="AF73" i="7"/>
  <c r="AH73" i="7"/>
  <c r="AH49" i="7"/>
  <c r="AF1" i="7"/>
  <c r="AD1" i="7"/>
  <c r="AK1" i="7"/>
  <c r="AB1" i="7"/>
  <c r="Z1" i="7"/>
  <c r="AF1" i="12"/>
  <c r="AD1" i="12"/>
  <c r="AK1" i="12"/>
  <c r="AB1" i="12"/>
  <c r="Z1" i="12"/>
  <c r="AJ1" i="12"/>
  <c r="AH64" i="12"/>
  <c r="AH61" i="12"/>
  <c r="AH48" i="12"/>
  <c r="AH47" i="12"/>
  <c r="AD73" i="12"/>
  <c r="AB73" i="12"/>
  <c r="AH70" i="12"/>
  <c r="Z73" i="12"/>
  <c r="AH58" i="12"/>
  <c r="AH51" i="12"/>
  <c r="AH43" i="12"/>
  <c r="AH70" i="1"/>
  <c r="A94" i="9"/>
  <c r="A93" i="9"/>
  <c r="A88" i="9"/>
  <c r="A72" i="13"/>
  <c r="A90" i="9"/>
  <c r="A57" i="13"/>
  <c r="A89" i="9"/>
  <c r="A73" i="13"/>
  <c r="A87" i="9"/>
  <c r="A86" i="9"/>
  <c r="A54" i="13"/>
  <c r="A120" i="13"/>
  <c r="A85" i="9"/>
  <c r="A84" i="9"/>
  <c r="A83" i="9"/>
  <c r="A69" i="13"/>
  <c r="A82" i="9"/>
  <c r="A81" i="9"/>
  <c r="A50" i="13"/>
  <c r="A116" i="13"/>
  <c r="A80" i="9"/>
  <c r="A79" i="9"/>
  <c r="A49" i="13"/>
  <c r="A115" i="13"/>
  <c r="A78" i="9"/>
  <c r="A65" i="13"/>
  <c r="A77" i="9"/>
  <c r="A76" i="9"/>
  <c r="A46" i="13"/>
  <c r="A112" i="13"/>
  <c r="A75" i="9"/>
  <c r="A74" i="9"/>
  <c r="A5" i="13"/>
  <c r="A73" i="9"/>
  <c r="A60" i="13"/>
  <c r="A72" i="9"/>
  <c r="A42" i="13"/>
  <c r="A108" i="13"/>
  <c r="AF13" i="1"/>
  <c r="AF12" i="1"/>
  <c r="AF64" i="1"/>
  <c r="AH64" i="1"/>
  <c r="AF63" i="1"/>
  <c r="AH63" i="1"/>
  <c r="AF62" i="1"/>
  <c r="AH62" i="1"/>
  <c r="AF61" i="1"/>
  <c r="AH61" i="1"/>
  <c r="AF60" i="1"/>
  <c r="AH60" i="1"/>
  <c r="AF59" i="1"/>
  <c r="AH59" i="1"/>
  <c r="AF58" i="1"/>
  <c r="AH58" i="1"/>
  <c r="AF57" i="1"/>
  <c r="AH57" i="1"/>
  <c r="AF56" i="1"/>
  <c r="AH56" i="1"/>
  <c r="AF55" i="1"/>
  <c r="AH55" i="1"/>
  <c r="AF49" i="1"/>
  <c r="AH49" i="1"/>
  <c r="AF48" i="1"/>
  <c r="AH48" i="1"/>
  <c r="AF47" i="1"/>
  <c r="AH47" i="1"/>
  <c r="AF46" i="1"/>
  <c r="AH46" i="1"/>
  <c r="AF45" i="1"/>
  <c r="AH45" i="1"/>
  <c r="AF44" i="1"/>
  <c r="AH44" i="1"/>
  <c r="AF43" i="1"/>
  <c r="AH43" i="1"/>
  <c r="AF42" i="1"/>
  <c r="AH42" i="1"/>
  <c r="AF29" i="1"/>
  <c r="AH29" i="1"/>
  <c r="AF28" i="1"/>
  <c r="AH28" i="1"/>
  <c r="AF27" i="1"/>
  <c r="AH27" i="1"/>
  <c r="AF26" i="1"/>
  <c r="AH26" i="1"/>
  <c r="AF17" i="1"/>
  <c r="AH17" i="1"/>
  <c r="AF16" i="1"/>
  <c r="AH16" i="1"/>
  <c r="AF15" i="1"/>
  <c r="AH15" i="1"/>
  <c r="AF14" i="1"/>
  <c r="AH14" i="1"/>
  <c r="AF6" i="1"/>
  <c r="AH6" i="1"/>
  <c r="AK1" i="1"/>
  <c r="AJ1" i="1"/>
  <c r="B3" i="11"/>
  <c r="G3" i="11"/>
  <c r="L3" i="11"/>
  <c r="R3" i="11"/>
  <c r="B3" i="10"/>
  <c r="G3" i="10"/>
  <c r="L3" i="10"/>
  <c r="R3" i="10"/>
  <c r="C3" i="9"/>
  <c r="G3" i="9"/>
  <c r="L3" i="9"/>
  <c r="R3" i="9"/>
  <c r="M4" i="7"/>
  <c r="M5" i="7"/>
  <c r="K31" i="7"/>
  <c r="A88" i="7"/>
  <c r="M89" i="7"/>
  <c r="M90" i="7"/>
  <c r="A121" i="7"/>
  <c r="M122" i="7"/>
  <c r="M123" i="7"/>
  <c r="M4" i="1"/>
  <c r="M5" i="1"/>
  <c r="H30" i="1"/>
  <c r="K31" i="1"/>
  <c r="H38" i="1"/>
  <c r="H42" i="1"/>
  <c r="K42" i="1"/>
  <c r="L42" i="1"/>
  <c r="H43" i="1"/>
  <c r="H48" i="1"/>
  <c r="A88" i="1"/>
  <c r="M89" i="1"/>
  <c r="M90" i="1"/>
  <c r="A121" i="1"/>
  <c r="M122" i="1"/>
  <c r="M123" i="1"/>
  <c r="M4" i="8"/>
  <c r="M5" i="8"/>
  <c r="K31" i="8"/>
  <c r="H45" i="8"/>
  <c r="K45" i="8"/>
  <c r="L45" i="8"/>
  <c r="A88" i="8"/>
  <c r="M89" i="8"/>
  <c r="M90" i="8"/>
  <c r="A121" i="8"/>
  <c r="M122" i="8"/>
  <c r="M123" i="8"/>
  <c r="M4" i="12"/>
  <c r="M5" i="12"/>
  <c r="A88" i="12"/>
  <c r="M89" i="12"/>
  <c r="M90" i="12"/>
  <c r="A121" i="12"/>
  <c r="M122" i="12"/>
  <c r="M123" i="12"/>
  <c r="H37" i="1"/>
  <c r="K37" i="1"/>
  <c r="L37" i="1"/>
  <c r="AH13" i="1"/>
  <c r="AH12" i="1"/>
  <c r="AF43" i="8"/>
  <c r="A38" i="13"/>
  <c r="A55" i="13"/>
  <c r="A39" i="13"/>
  <c r="A56" i="13"/>
  <c r="AB82" i="1"/>
  <c r="Z82" i="1"/>
  <c r="AH17" i="8"/>
  <c r="AH42" i="7"/>
  <c r="AH14" i="7"/>
  <c r="H37" i="7"/>
  <c r="AH73" i="1"/>
  <c r="AF73" i="12"/>
  <c r="AG73" i="12"/>
  <c r="K2" i="9"/>
  <c r="A1" i="7"/>
  <c r="A28" i="7"/>
  <c r="A8" i="13"/>
  <c r="A30" i="13"/>
  <c r="A32" i="13"/>
  <c r="A48" i="13"/>
  <c r="A114" i="13"/>
  <c r="A52" i="13"/>
  <c r="A118" i="13"/>
  <c r="A9" i="13"/>
  <c r="A11" i="13"/>
  <c r="A13" i="13"/>
  <c r="A31" i="13"/>
  <c r="A33" i="13"/>
  <c r="A35" i="13"/>
  <c r="A28" i="8"/>
  <c r="A7" i="12"/>
  <c r="A6" i="12"/>
  <c r="A8" i="7"/>
  <c r="A8" i="8"/>
  <c r="A8" i="12"/>
  <c r="A9" i="8"/>
  <c r="A11" i="8"/>
  <c r="A11" i="12"/>
  <c r="A12" i="8"/>
  <c r="A12" i="7"/>
  <c r="A12" i="12"/>
  <c r="A13" i="12"/>
  <c r="A15" i="8"/>
  <c r="A15" i="12"/>
  <c r="A16" i="7"/>
  <c r="A16" i="8"/>
  <c r="A27" i="7"/>
  <c r="A27" i="8"/>
  <c r="D37" i="7"/>
  <c r="A37" i="12"/>
  <c r="A91" i="12"/>
  <c r="A37" i="8"/>
  <c r="A91" i="8"/>
  <c r="A37" i="7"/>
  <c r="A91" i="7"/>
  <c r="A91" i="1"/>
  <c r="A93" i="12"/>
  <c r="A94" i="12"/>
  <c r="A95" i="12"/>
  <c r="A97" i="12"/>
  <c r="D42" i="1"/>
  <c r="I42" i="1"/>
  <c r="A98" i="12"/>
  <c r="A99" i="12"/>
  <c r="A100" i="12"/>
  <c r="A103" i="12"/>
  <c r="I48" i="1"/>
  <c r="A104" i="12"/>
  <c r="A105" i="12"/>
  <c r="D38" i="1"/>
  <c r="I38" i="1"/>
  <c r="B74" i="12"/>
  <c r="A101" i="12"/>
  <c r="A27" i="12"/>
  <c r="A7" i="7"/>
  <c r="A6" i="8"/>
  <c r="AH12" i="12"/>
  <c r="AF42" i="8"/>
  <c r="AH42" i="8"/>
  <c r="A66" i="13"/>
  <c r="AH42" i="12"/>
  <c r="AH63" i="12"/>
  <c r="A10" i="13"/>
  <c r="AH60" i="7"/>
  <c r="AH63" i="7"/>
  <c r="AA7" i="8"/>
  <c r="AH45" i="12"/>
  <c r="AH52" i="12"/>
  <c r="AJ1" i="8"/>
  <c r="A63" i="13"/>
  <c r="A74" i="13"/>
  <c r="A29" i="13"/>
  <c r="A7" i="13"/>
  <c r="AH50" i="7"/>
  <c r="A43" i="13"/>
  <c r="A109" i="13"/>
  <c r="A40" i="13"/>
  <c r="AH60" i="12"/>
  <c r="AH46" i="12"/>
  <c r="AH59" i="12"/>
  <c r="AH26" i="12"/>
  <c r="AE7" i="8"/>
  <c r="AF26" i="8"/>
  <c r="AH26" i="8"/>
  <c r="AF50" i="8"/>
  <c r="AH50" i="8"/>
  <c r="AF63" i="8"/>
  <c r="AH63" i="8"/>
  <c r="C22" i="13"/>
  <c r="D23" i="13"/>
  <c r="K31" i="12"/>
  <c r="A14" i="12"/>
  <c r="A14" i="7"/>
  <c r="A14" i="8"/>
  <c r="D37" i="1"/>
  <c r="C65" i="1"/>
  <c r="D43" i="1"/>
  <c r="I43" i="1"/>
  <c r="A106" i="12"/>
  <c r="A102" i="12"/>
  <c r="AC73" i="1"/>
  <c r="AA73" i="1"/>
  <c r="AE73" i="1"/>
  <c r="C65" i="7"/>
  <c r="C65" i="8"/>
  <c r="D37" i="8"/>
  <c r="K52" i="8"/>
  <c r="K48" i="8"/>
  <c r="C32" i="8"/>
  <c r="C32" i="12"/>
  <c r="AG73" i="1"/>
  <c r="B74" i="8"/>
  <c r="D37" i="12"/>
  <c r="A10" i="7"/>
  <c r="A10" i="8"/>
  <c r="A10" i="12"/>
  <c r="A26" i="12"/>
  <c r="A26" i="7"/>
  <c r="A26" i="8"/>
  <c r="D44" i="1"/>
  <c r="A96" i="12"/>
  <c r="A92" i="12"/>
  <c r="I49" i="1"/>
  <c r="C32" i="1"/>
  <c r="K42" i="8"/>
  <c r="B24" i="13"/>
  <c r="C107" i="13"/>
  <c r="K73" i="7"/>
  <c r="K37" i="7"/>
  <c r="A1" i="12"/>
  <c r="K2" i="11"/>
  <c r="A1" i="8"/>
  <c r="K2" i="10"/>
  <c r="E23" i="13"/>
  <c r="F107" i="13"/>
  <c r="C23" i="13"/>
  <c r="C65" i="12"/>
  <c r="A13" i="8"/>
  <c r="A13" i="7"/>
  <c r="A29" i="7"/>
  <c r="A29" i="12"/>
  <c r="A29" i="8"/>
  <c r="A17" i="7"/>
  <c r="D45" i="1"/>
  <c r="D46" i="1"/>
  <c r="C32" i="7"/>
  <c r="K124" i="8"/>
  <c r="I45" i="8"/>
  <c r="I44" i="1"/>
  <c r="I46" i="1"/>
  <c r="I43" i="8"/>
  <c r="A53" i="13"/>
  <c r="A119" i="13"/>
  <c r="A14" i="13"/>
  <c r="A36" i="13"/>
  <c r="A70" i="13"/>
  <c r="A3" i="13"/>
  <c r="A59" i="13"/>
  <c r="A25" i="13"/>
  <c r="A51" i="13"/>
  <c r="A117" i="13"/>
  <c r="A12" i="13"/>
  <c r="A34" i="13"/>
  <c r="A68" i="13"/>
  <c r="AH6" i="12"/>
  <c r="AH29" i="12"/>
  <c r="AH25" i="12"/>
  <c r="AH13" i="12"/>
  <c r="AH15" i="12"/>
  <c r="AH27" i="12"/>
  <c r="AH6" i="7"/>
  <c r="AH12" i="7"/>
  <c r="AH15" i="7"/>
  <c r="AH17" i="7"/>
  <c r="AH27" i="7"/>
  <c r="AH28" i="7"/>
  <c r="AH43" i="7"/>
  <c r="AH47" i="7"/>
  <c r="AH48" i="7"/>
  <c r="AH51" i="7"/>
  <c r="AH61" i="7"/>
  <c r="AH62" i="7"/>
  <c r="AH64" i="7"/>
  <c r="AF6" i="8"/>
  <c r="AH6" i="8"/>
  <c r="AF12" i="8"/>
  <c r="AH12" i="8"/>
  <c r="AF13" i="8"/>
  <c r="AH13" i="8"/>
  <c r="AF15" i="8"/>
  <c r="AH15" i="8"/>
  <c r="AF27" i="8"/>
  <c r="AH27" i="8"/>
  <c r="AF28" i="8"/>
  <c r="AH28" i="8"/>
  <c r="AF29" i="8"/>
  <c r="AH29" i="8"/>
  <c r="AF44" i="8"/>
  <c r="AH44" i="8"/>
  <c r="AF45" i="8"/>
  <c r="AH45" i="8"/>
  <c r="AF47" i="8"/>
  <c r="AH47" i="8"/>
  <c r="AF48" i="8"/>
  <c r="AH48" i="8"/>
  <c r="AF49" i="8"/>
  <c r="AH49" i="8"/>
  <c r="AF51" i="8"/>
  <c r="AH51" i="8"/>
  <c r="AF58" i="8"/>
  <c r="AH58" i="8"/>
  <c r="AF60" i="8"/>
  <c r="AH60" i="8"/>
  <c r="AF61" i="8"/>
  <c r="AH61" i="8"/>
  <c r="AF62" i="8"/>
  <c r="AH62" i="8"/>
  <c r="AB82" i="8"/>
  <c r="AH16" i="8"/>
  <c r="AH43" i="8"/>
  <c r="AH52" i="8"/>
  <c r="AH64" i="8"/>
  <c r="H48" i="8"/>
  <c r="L48" i="8"/>
  <c r="A45" i="13"/>
  <c r="A111" i="13"/>
  <c r="A62" i="13"/>
  <c r="A28" i="13"/>
  <c r="A47" i="13"/>
  <c r="A113" i="13"/>
  <c r="A64" i="13"/>
  <c r="AH24" i="12"/>
  <c r="H37" i="12"/>
  <c r="A6" i="13"/>
  <c r="AH28" i="12"/>
  <c r="AH14" i="12"/>
  <c r="A71" i="13"/>
  <c r="A37" i="13"/>
  <c r="A15" i="13"/>
  <c r="AH62" i="12"/>
  <c r="AH49" i="12"/>
  <c r="AF14" i="8"/>
  <c r="AH14" i="8"/>
  <c r="AF46" i="8"/>
  <c r="AH46" i="8"/>
  <c r="AF59" i="8"/>
  <c r="AH59" i="8"/>
  <c r="H30" i="7"/>
  <c r="H30" i="8"/>
  <c r="A67" i="13"/>
  <c r="AH73" i="12"/>
  <c r="AJ1" i="7"/>
  <c r="A27" i="13"/>
  <c r="A61" i="13"/>
  <c r="A44" i="13"/>
  <c r="A110" i="13"/>
  <c r="AH26" i="7"/>
  <c r="AH46" i="7"/>
  <c r="AH59" i="7"/>
  <c r="AE73" i="12"/>
  <c r="AK73" i="12"/>
  <c r="AC73" i="12"/>
  <c r="AA73" i="12"/>
  <c r="AH44" i="12"/>
  <c r="AH50" i="12"/>
  <c r="AH13" i="7"/>
  <c r="AH16" i="7"/>
  <c r="AH29" i="7"/>
  <c r="AH44" i="7"/>
  <c r="AH45" i="7"/>
  <c r="AH52" i="7"/>
  <c r="AH58" i="7"/>
  <c r="AH70" i="7"/>
  <c r="A26" i="13"/>
  <c r="A4" i="13"/>
  <c r="H47" i="8"/>
  <c r="I47" i="8"/>
  <c r="H44" i="8"/>
  <c r="H49" i="8"/>
  <c r="H41" i="1"/>
  <c r="F116" i="13"/>
  <c r="F117" i="13"/>
  <c r="F109" i="13"/>
  <c r="F110" i="13"/>
  <c r="F120" i="13"/>
  <c r="F108" i="13"/>
  <c r="F118" i="13"/>
  <c r="F115" i="13"/>
  <c r="F113" i="13"/>
  <c r="F119" i="13"/>
  <c r="K65" i="7"/>
  <c r="K41" i="1"/>
  <c r="L41" i="1"/>
  <c r="K38" i="1"/>
  <c r="L38" i="1"/>
  <c r="K48" i="1"/>
  <c r="L48" i="1"/>
  <c r="K40" i="1"/>
  <c r="L40" i="1"/>
  <c r="K46" i="1"/>
  <c r="L46" i="1"/>
  <c r="K47" i="1"/>
  <c r="L47" i="1"/>
  <c r="K44" i="1"/>
  <c r="L44" i="1"/>
  <c r="I37" i="1"/>
  <c r="D65" i="1"/>
  <c r="AI73" i="1"/>
  <c r="AJ73" i="1"/>
  <c r="D65" i="8"/>
  <c r="K43" i="1"/>
  <c r="L43" i="1"/>
  <c r="K37" i="12"/>
  <c r="K38" i="8"/>
  <c r="K40" i="8"/>
  <c r="K44" i="8"/>
  <c r="L44" i="8"/>
  <c r="K46" i="8"/>
  <c r="K50" i="8"/>
  <c r="D24" i="13"/>
  <c r="D107" i="13"/>
  <c r="E24" i="13"/>
  <c r="E107" i="13"/>
  <c r="K49" i="8"/>
  <c r="K51" i="8"/>
  <c r="K39" i="8"/>
  <c r="K41" i="8"/>
  <c r="K43" i="8"/>
  <c r="L43" i="8"/>
  <c r="B76" i="8"/>
  <c r="K47" i="8"/>
  <c r="L47" i="8"/>
  <c r="K37" i="8"/>
  <c r="AK73" i="1"/>
  <c r="B74" i="7"/>
  <c r="K74" i="7"/>
  <c r="C119" i="12"/>
  <c r="C24" i="13"/>
  <c r="K49" i="1"/>
  <c r="L49" i="1"/>
  <c r="D65" i="12"/>
  <c r="K74" i="8"/>
  <c r="K70" i="7"/>
  <c r="C119" i="8"/>
  <c r="D65" i="7"/>
  <c r="K39" i="1"/>
  <c r="AJ73" i="12"/>
  <c r="AI73" i="12"/>
  <c r="L37" i="12"/>
  <c r="I37" i="12"/>
  <c r="H46" i="8"/>
  <c r="AG73" i="7"/>
  <c r="AC73" i="7"/>
  <c r="AA73" i="7"/>
  <c r="AE73" i="7"/>
  <c r="I48" i="8"/>
  <c r="H50" i="8"/>
  <c r="I44" i="8"/>
  <c r="H52" i="8"/>
  <c r="H51" i="8"/>
  <c r="L49" i="8"/>
  <c r="I49" i="8"/>
  <c r="H38" i="8"/>
  <c r="I41" i="1"/>
  <c r="R19" i="13"/>
  <c r="DA43" i="13"/>
  <c r="DA42" i="13"/>
  <c r="G49" i="13"/>
  <c r="J45" i="13"/>
  <c r="L43" i="13"/>
  <c r="DA52" i="13"/>
  <c r="F46" i="13"/>
  <c r="CZ46" i="13"/>
  <c r="H48" i="13"/>
  <c r="CZ52" i="13"/>
  <c r="K43" i="13"/>
  <c r="DA49" i="13"/>
  <c r="I54" i="13"/>
  <c r="E82" i="9"/>
  <c r="E34" i="13"/>
  <c r="D82" i="9"/>
  <c r="D34" i="13"/>
  <c r="CX51" i="13"/>
  <c r="O52" i="13"/>
  <c r="L50" i="13"/>
  <c r="J48" i="13"/>
  <c r="R47" i="13"/>
  <c r="P52" i="13"/>
  <c r="P42" i="13"/>
  <c r="DA44" i="13"/>
  <c r="O45" i="13"/>
  <c r="H51" i="13"/>
  <c r="O54" i="13"/>
  <c r="G52" i="13"/>
  <c r="F53" i="13"/>
  <c r="E86" i="9"/>
  <c r="E37" i="13"/>
  <c r="D86" i="9"/>
  <c r="D37" i="13"/>
  <c r="CY54" i="13"/>
  <c r="I48" i="13"/>
  <c r="J51" i="13"/>
  <c r="N42" i="13"/>
  <c r="CZ53" i="13"/>
  <c r="P50" i="13"/>
  <c r="O42" i="13"/>
  <c r="L47" i="13"/>
  <c r="H42" i="13"/>
  <c r="Q53" i="13"/>
  <c r="N19" i="13"/>
  <c r="R50" i="13"/>
  <c r="E75" i="9"/>
  <c r="E28" i="13"/>
  <c r="D75" i="9"/>
  <c r="D28" i="13"/>
  <c r="CY45" i="13"/>
  <c r="G54" i="13"/>
  <c r="E79" i="9"/>
  <c r="E32" i="13"/>
  <c r="D79" i="9"/>
  <c r="D32" i="13"/>
  <c r="CX49" i="13"/>
  <c r="K46" i="13"/>
  <c r="N46" i="13"/>
  <c r="G19" i="13"/>
  <c r="G51" i="13"/>
  <c r="CZ51" i="13"/>
  <c r="G46" i="13"/>
  <c r="K52" i="13"/>
  <c r="F52" i="13"/>
  <c r="DA50" i="13"/>
  <c r="K54" i="13"/>
  <c r="Q43" i="13"/>
  <c r="E83" i="9"/>
  <c r="E35" i="13"/>
  <c r="D83" i="9"/>
  <c r="D35" i="13"/>
  <c r="CX52" i="13"/>
  <c r="G53" i="13"/>
  <c r="J44" i="13"/>
  <c r="I42" i="13"/>
  <c r="P53" i="13"/>
  <c r="N50" i="13"/>
  <c r="J52" i="13"/>
  <c r="O53" i="13"/>
  <c r="D16" i="13"/>
  <c r="E16" i="13"/>
  <c r="CX19" i="13"/>
  <c r="O47" i="13"/>
  <c r="G43" i="13"/>
  <c r="K42" i="13"/>
  <c r="P19" i="13"/>
  <c r="O19" i="13"/>
  <c r="H43" i="13"/>
  <c r="N52" i="13"/>
  <c r="G42" i="13"/>
  <c r="K44" i="13"/>
  <c r="E72" i="9"/>
  <c r="E25" i="13"/>
  <c r="D72" i="9"/>
  <c r="D25" i="13"/>
  <c r="CY42" i="13"/>
  <c r="J42" i="13"/>
  <c r="CZ48" i="13"/>
  <c r="K51" i="13"/>
  <c r="CZ19" i="13"/>
  <c r="I50" i="13"/>
  <c r="G48" i="13"/>
  <c r="O46" i="13"/>
  <c r="R54" i="13"/>
  <c r="DA47" i="13"/>
  <c r="F19" i="13"/>
  <c r="CY52" i="13"/>
  <c r="M42" i="13"/>
  <c r="F54" i="13"/>
  <c r="O43" i="13"/>
  <c r="E76" i="9"/>
  <c r="E29" i="13"/>
  <c r="D76" i="9"/>
  <c r="D29" i="13"/>
  <c r="CY46" i="13"/>
  <c r="L48" i="13"/>
  <c r="E73" i="9"/>
  <c r="E26" i="13"/>
  <c r="D73" i="9"/>
  <c r="D26" i="13"/>
  <c r="CX43" i="13"/>
  <c r="DA53" i="13"/>
  <c r="E81" i="9"/>
  <c r="E33" i="13"/>
  <c r="D81" i="9"/>
  <c r="D33" i="13"/>
  <c r="CY50" i="13"/>
  <c r="F45" i="13"/>
  <c r="Q51" i="13"/>
  <c r="R52" i="13"/>
  <c r="Q42" i="13"/>
  <c r="R51" i="13"/>
  <c r="DA54" i="13"/>
  <c r="Q46" i="13"/>
  <c r="CZ47" i="13"/>
  <c r="Q19" i="13"/>
  <c r="E78" i="9"/>
  <c r="E31" i="13"/>
  <c r="D78" i="9"/>
  <c r="D31" i="13"/>
  <c r="CY48" i="13"/>
  <c r="L49" i="13"/>
  <c r="N48" i="13"/>
  <c r="H47" i="13"/>
  <c r="M19" i="13"/>
  <c r="CX45" i="13"/>
  <c r="R45" i="13"/>
  <c r="Q47" i="13"/>
  <c r="P46" i="13"/>
  <c r="J19" i="13"/>
  <c r="M54" i="13"/>
  <c r="M53" i="13"/>
  <c r="O44" i="13"/>
  <c r="I43" i="13"/>
  <c r="N49" i="13"/>
  <c r="Q45" i="13"/>
  <c r="H45" i="13"/>
  <c r="K48" i="13"/>
  <c r="R46" i="13"/>
  <c r="M47" i="13"/>
  <c r="K49" i="13"/>
  <c r="R53" i="13"/>
  <c r="CX50" i="13"/>
  <c r="N43" i="13"/>
  <c r="CX48" i="13"/>
  <c r="P48" i="13"/>
  <c r="N51" i="13"/>
  <c r="L42" i="13"/>
  <c r="L54" i="13"/>
  <c r="E77" i="9"/>
  <c r="E30" i="13"/>
  <c r="D77" i="9"/>
  <c r="D30" i="13"/>
  <c r="CY47" i="13"/>
  <c r="I45" i="13"/>
  <c r="H46" i="13"/>
  <c r="I53" i="13"/>
  <c r="K53" i="13"/>
  <c r="G47" i="13"/>
  <c r="P47" i="13"/>
  <c r="L45" i="13"/>
  <c r="G50" i="13"/>
  <c r="L46" i="13"/>
  <c r="H49" i="13"/>
  <c r="DA45" i="13"/>
  <c r="CY51" i="13"/>
  <c r="CY43" i="13"/>
  <c r="F48" i="13"/>
  <c r="E85" i="9"/>
  <c r="E36" i="13"/>
  <c r="D85" i="9"/>
  <c r="D36" i="13"/>
  <c r="CX53" i="13"/>
  <c r="N53" i="13"/>
  <c r="E74" i="9"/>
  <c r="E27" i="13"/>
  <c r="D74" i="9"/>
  <c r="D27" i="13"/>
  <c r="CX44" i="13"/>
  <c r="O49" i="13"/>
  <c r="I52" i="13"/>
  <c r="H19" i="13"/>
  <c r="P49" i="13"/>
  <c r="P51" i="13"/>
  <c r="G45" i="13"/>
  <c r="F47" i="13"/>
  <c r="J53" i="13"/>
  <c r="L19" i="13"/>
  <c r="CX42" i="13"/>
  <c r="CZ45" i="13"/>
  <c r="Q50" i="13"/>
  <c r="M49" i="13"/>
  <c r="CX47" i="13"/>
  <c r="R49" i="13"/>
  <c r="CZ42" i="13"/>
  <c r="Q48" i="13"/>
  <c r="CZ44" i="13"/>
  <c r="I44" i="13"/>
  <c r="H50" i="13"/>
  <c r="I19" i="13"/>
  <c r="P54" i="13"/>
  <c r="F43" i="13"/>
  <c r="M52" i="13"/>
  <c r="M45" i="13"/>
  <c r="N54" i="13"/>
  <c r="J46" i="13"/>
  <c r="M44" i="13"/>
  <c r="K50" i="13"/>
  <c r="J43" i="13"/>
  <c r="CY49" i="13"/>
  <c r="M46" i="13"/>
  <c r="F49" i="13"/>
  <c r="R44" i="13"/>
  <c r="R43" i="13"/>
  <c r="I51" i="13"/>
  <c r="CZ43" i="13"/>
  <c r="L44" i="13"/>
  <c r="J49" i="13"/>
  <c r="CZ54" i="13"/>
  <c r="Q52" i="13"/>
  <c r="H44" i="13"/>
  <c r="Q54" i="13"/>
  <c r="F42" i="13"/>
  <c r="P43" i="13"/>
  <c r="O51" i="13"/>
  <c r="P44" i="13"/>
  <c r="DA19" i="13"/>
  <c r="K47" i="13"/>
  <c r="L51" i="13"/>
  <c r="N45" i="13"/>
  <c r="CX46" i="13"/>
  <c r="H53" i="13"/>
  <c r="M48" i="13"/>
  <c r="I46" i="13"/>
  <c r="F44" i="13"/>
  <c r="I49" i="13"/>
  <c r="J47" i="13"/>
  <c r="R48" i="13"/>
  <c r="J50" i="13"/>
  <c r="K45" i="13"/>
  <c r="CZ49" i="13"/>
  <c r="N44" i="13"/>
  <c r="G44" i="13"/>
  <c r="Q49" i="13"/>
  <c r="CY44" i="13"/>
  <c r="DA46" i="13"/>
  <c r="O48" i="13"/>
  <c r="I47" i="13"/>
  <c r="O50" i="13"/>
  <c r="K19" i="13"/>
  <c r="DA48" i="13"/>
  <c r="M43" i="13"/>
  <c r="DA51" i="13"/>
  <c r="F51" i="13"/>
  <c r="J54" i="13"/>
  <c r="CX54" i="13"/>
  <c r="CY19" i="13"/>
  <c r="R42" i="13"/>
  <c r="L53" i="13"/>
  <c r="P45" i="13"/>
  <c r="F50" i="13"/>
  <c r="H52" i="13"/>
  <c r="CZ50" i="13"/>
  <c r="Q44" i="13"/>
  <c r="M51" i="13"/>
  <c r="L52" i="13"/>
  <c r="N47" i="13"/>
  <c r="M50" i="13"/>
  <c r="H54" i="13"/>
  <c r="CY53" i="13"/>
  <c r="D119" i="8"/>
  <c r="D30" i="8"/>
  <c r="D32" i="8"/>
  <c r="K73" i="12"/>
  <c r="K70" i="12"/>
  <c r="K74" i="12"/>
  <c r="K70" i="1"/>
  <c r="K75" i="1"/>
  <c r="K73" i="1"/>
  <c r="K74" i="1"/>
  <c r="K65" i="8"/>
  <c r="C119" i="7"/>
  <c r="K124" i="7"/>
  <c r="K65" i="1"/>
  <c r="C119" i="1"/>
  <c r="K73" i="8"/>
  <c r="K70" i="8"/>
  <c r="K130" i="8"/>
  <c r="K119" i="12"/>
  <c r="K119" i="8"/>
  <c r="K65" i="12"/>
  <c r="D119" i="12"/>
  <c r="D30" i="12"/>
  <c r="D32" i="12"/>
  <c r="AK73" i="7"/>
  <c r="L46" i="8"/>
  <c r="I46" i="8"/>
  <c r="AC73" i="8"/>
  <c r="AG73" i="8"/>
  <c r="AE73" i="8"/>
  <c r="AA73" i="8"/>
  <c r="AJ73" i="7"/>
  <c r="AI73" i="7"/>
  <c r="I50" i="8"/>
  <c r="L50" i="8"/>
  <c r="I52" i="8"/>
  <c r="L52" i="8"/>
  <c r="L51" i="8"/>
  <c r="I51" i="8"/>
  <c r="L38" i="8"/>
  <c r="I38" i="8"/>
  <c r="K130" i="7"/>
  <c r="K119" i="7"/>
  <c r="K119" i="1"/>
  <c r="D119" i="7"/>
  <c r="D30" i="7"/>
  <c r="D32" i="7"/>
  <c r="B75" i="8"/>
  <c r="K75" i="8"/>
  <c r="K76" i="8"/>
  <c r="B75" i="12"/>
  <c r="K75" i="12"/>
  <c r="K76" i="12"/>
  <c r="D119" i="1"/>
  <c r="D30" i="1"/>
  <c r="D32" i="1"/>
  <c r="K76" i="1"/>
  <c r="AJ73" i="8"/>
  <c r="AI73" i="8"/>
  <c r="AK73" i="8"/>
  <c r="B75" i="7"/>
  <c r="K75" i="7"/>
  <c r="K76" i="7"/>
  <c r="AJ7" i="1"/>
  <c r="AD82" i="8"/>
  <c r="AF82" i="8"/>
  <c r="AF82" i="1"/>
  <c r="AD82" i="1"/>
  <c r="AJ7" i="8"/>
  <c r="I45" i="1"/>
  <c r="H41" i="8"/>
  <c r="H40" i="8"/>
  <c r="L39" i="1"/>
  <c r="L65" i="1"/>
  <c r="H39" i="8"/>
  <c r="I65" i="1"/>
  <c r="I37" i="7"/>
  <c r="L37" i="7"/>
  <c r="H37" i="8"/>
  <c r="AJ7" i="12"/>
  <c r="AJ7" i="7"/>
  <c r="C75" i="9"/>
  <c r="C74" i="9"/>
  <c r="C86" i="9"/>
  <c r="C81" i="9"/>
  <c r="C85" i="9"/>
  <c r="C78" i="9"/>
  <c r="C80" i="9"/>
  <c r="C84" i="9"/>
  <c r="C76" i="9"/>
  <c r="I73" i="1"/>
  <c r="G75" i="9"/>
  <c r="C73" i="9"/>
  <c r="C82" i="9"/>
  <c r="C87" i="9"/>
  <c r="C77" i="9"/>
  <c r="C79" i="9"/>
  <c r="I65" i="12"/>
  <c r="L65" i="12"/>
  <c r="H42" i="8"/>
  <c r="L41" i="8"/>
  <c r="I41" i="8"/>
  <c r="L40" i="8"/>
  <c r="I40" i="8"/>
  <c r="L65" i="7"/>
  <c r="I65" i="7"/>
  <c r="I39" i="8"/>
  <c r="L39" i="8"/>
  <c r="L37" i="8"/>
  <c r="I37" i="8"/>
  <c r="AH83" i="1"/>
  <c r="I76" i="1"/>
  <c r="I70" i="1"/>
  <c r="C36" i="13"/>
  <c r="C14" i="13"/>
  <c r="C4" i="13"/>
  <c r="C26" i="13"/>
  <c r="C72" i="9"/>
  <c r="O124" i="12"/>
  <c r="C17" i="13"/>
  <c r="C39" i="13"/>
  <c r="C10" i="13"/>
  <c r="C32" i="13"/>
  <c r="C12" i="13"/>
  <c r="C34" i="13"/>
  <c r="C29" i="13"/>
  <c r="C7" i="13"/>
  <c r="C37" i="13"/>
  <c r="C15" i="13"/>
  <c r="C5" i="13"/>
  <c r="C27" i="13"/>
  <c r="C18" i="13"/>
  <c r="C40" i="13"/>
  <c r="G94" i="9"/>
  <c r="C30" i="13"/>
  <c r="C8" i="13"/>
  <c r="I73" i="7"/>
  <c r="D87" i="9"/>
  <c r="H75" i="9"/>
  <c r="D84" i="9"/>
  <c r="D80" i="9"/>
  <c r="C83" i="9"/>
  <c r="I73" i="12"/>
  <c r="B85" i="9"/>
  <c r="B84" i="9"/>
  <c r="B87" i="9"/>
  <c r="B78" i="9"/>
  <c r="B77" i="9"/>
  <c r="B74" i="9"/>
  <c r="B80" i="9"/>
  <c r="F87" i="9"/>
  <c r="B86" i="9"/>
  <c r="B79" i="9"/>
  <c r="B75" i="9"/>
  <c r="F75" i="9"/>
  <c r="B76" i="9"/>
  <c r="B82" i="9"/>
  <c r="B81" i="9"/>
  <c r="B73" i="9"/>
  <c r="O127" i="12"/>
  <c r="G93" i="9"/>
  <c r="C9" i="13"/>
  <c r="C31" i="13"/>
  <c r="C11" i="13"/>
  <c r="C33" i="13"/>
  <c r="C6" i="13"/>
  <c r="C28" i="13"/>
  <c r="L42" i="8"/>
  <c r="I42" i="8"/>
  <c r="L65" i="8"/>
  <c r="I65" i="8"/>
  <c r="L74" i="1"/>
  <c r="I70" i="7"/>
  <c r="I76" i="7"/>
  <c r="B28" i="13"/>
  <c r="Y45" i="13"/>
  <c r="AP45" i="13"/>
  <c r="B7" i="13"/>
  <c r="B29" i="13"/>
  <c r="F93" i="9"/>
  <c r="AC83" i="8"/>
  <c r="AG83" i="8"/>
  <c r="I75" i="9"/>
  <c r="AA83" i="8"/>
  <c r="E87" i="9"/>
  <c r="E84" i="9"/>
  <c r="E80" i="9"/>
  <c r="AE83" i="8"/>
  <c r="B4" i="13"/>
  <c r="AS4" i="13"/>
  <c r="AT4" i="13"/>
  <c r="BS4" i="13"/>
  <c r="BG4" i="13"/>
  <c r="BI4" i="13"/>
  <c r="BA4" i="13"/>
  <c r="BJ4" i="13"/>
  <c r="AV4" i="13"/>
  <c r="BQ4" i="13"/>
  <c r="BT4" i="13"/>
  <c r="AM4" i="13"/>
  <c r="BN4" i="13"/>
  <c r="AQ4" i="13"/>
  <c r="BB4" i="13"/>
  <c r="AF4" i="13"/>
  <c r="BO4" i="13"/>
  <c r="AJ4" i="13"/>
  <c r="AO4" i="13"/>
  <c r="AZ4" i="13"/>
  <c r="BH4" i="13"/>
  <c r="BR4" i="13"/>
  <c r="AW4" i="13"/>
  <c r="BU4" i="13"/>
  <c r="BC4" i="13"/>
  <c r="BF4" i="13"/>
  <c r="AX4" i="13"/>
  <c r="AP4" i="13"/>
  <c r="AU4" i="13"/>
  <c r="AY4" i="13"/>
  <c r="AN4" i="13"/>
  <c r="BE4" i="13"/>
  <c r="BL4" i="13"/>
  <c r="AG4" i="13"/>
  <c r="AI4" i="13"/>
  <c r="BK4" i="13"/>
  <c r="AK4" i="13"/>
  <c r="AE4" i="13"/>
  <c r="AR4" i="13"/>
  <c r="BD4" i="13"/>
  <c r="BP4" i="13"/>
  <c r="AH4" i="13"/>
  <c r="AL4" i="13"/>
  <c r="BM4" i="13"/>
  <c r="B36" i="13"/>
  <c r="AM53" i="13"/>
  <c r="B72" i="9"/>
  <c r="B15" i="13"/>
  <c r="B37" i="13"/>
  <c r="AV54" i="13"/>
  <c r="B8" i="13"/>
  <c r="B30" i="13"/>
  <c r="AF47" i="13"/>
  <c r="D10" i="13"/>
  <c r="BY32" i="13"/>
  <c r="D14" i="13"/>
  <c r="BG36" i="13"/>
  <c r="B31" i="13"/>
  <c r="BA31" i="13"/>
  <c r="D9" i="13"/>
  <c r="D6" i="13"/>
  <c r="BD28" i="13"/>
  <c r="BR5" i="13"/>
  <c r="B5" i="13"/>
  <c r="AR5" i="13"/>
  <c r="BP5" i="13"/>
  <c r="BS5" i="13"/>
  <c r="BT5" i="13"/>
  <c r="AM5" i="13"/>
  <c r="BN5" i="13"/>
  <c r="AX5" i="13"/>
  <c r="AW5" i="13"/>
  <c r="BF5" i="13"/>
  <c r="BI5" i="13"/>
  <c r="AH5" i="13"/>
  <c r="AY5" i="13"/>
  <c r="AL5" i="13"/>
  <c r="AZ5" i="13"/>
  <c r="AQ5" i="13"/>
  <c r="AT5" i="13"/>
  <c r="BU5" i="13"/>
  <c r="BC5" i="13"/>
  <c r="AI5" i="13"/>
  <c r="BE5" i="13"/>
  <c r="AP5" i="13"/>
  <c r="BH5" i="13"/>
  <c r="AG5" i="13"/>
  <c r="AE5" i="13"/>
  <c r="AU5" i="13"/>
  <c r="BO5" i="13"/>
  <c r="BD5" i="13"/>
  <c r="AO5" i="13"/>
  <c r="AF5" i="13"/>
  <c r="AV5" i="13"/>
  <c r="BA5" i="13"/>
  <c r="BB5" i="13"/>
  <c r="BG5" i="13"/>
  <c r="BL5" i="13"/>
  <c r="AS5" i="13"/>
  <c r="BQ5" i="13"/>
  <c r="AK5" i="13"/>
  <c r="BK5" i="13"/>
  <c r="BJ5" i="13"/>
  <c r="BM5" i="13"/>
  <c r="AJ5" i="13"/>
  <c r="AN5" i="13"/>
  <c r="T46" i="13"/>
  <c r="AK46" i="13"/>
  <c r="AP46" i="13"/>
  <c r="AV46" i="13"/>
  <c r="AM46" i="13"/>
  <c r="W46" i="13"/>
  <c r="Z46" i="13"/>
  <c r="AE46" i="13"/>
  <c r="AH46" i="13"/>
  <c r="AG46" i="13"/>
  <c r="AS46" i="13"/>
  <c r="AI46" i="13"/>
  <c r="AW46" i="13"/>
  <c r="Y46" i="13"/>
  <c r="AA46" i="13"/>
  <c r="AQ46" i="13"/>
  <c r="AT46" i="13"/>
  <c r="AU46" i="13"/>
  <c r="AD46" i="13"/>
  <c r="C112" i="13"/>
  <c r="AN46" i="13"/>
  <c r="AY46" i="13"/>
  <c r="AZ46" i="13"/>
  <c r="V46" i="13"/>
  <c r="AJ46" i="13"/>
  <c r="U46" i="13"/>
  <c r="AR46" i="13"/>
  <c r="AC46" i="13"/>
  <c r="AO46" i="13"/>
  <c r="X46" i="13"/>
  <c r="AB46" i="13"/>
  <c r="AF46" i="13"/>
  <c r="S46" i="13"/>
  <c r="AL46" i="13"/>
  <c r="AX46" i="13"/>
  <c r="B33" i="13"/>
  <c r="AY50" i="13"/>
  <c r="AC50" i="13"/>
  <c r="V50" i="13"/>
  <c r="BM33" i="13"/>
  <c r="AG50" i="13"/>
  <c r="B6" i="13"/>
  <c r="AH6" i="13"/>
  <c r="BE6" i="13"/>
  <c r="AW6" i="13"/>
  <c r="BH6" i="13"/>
  <c r="BB6" i="13"/>
  <c r="AT6" i="13"/>
  <c r="BR6" i="13"/>
  <c r="AY6" i="13"/>
  <c r="AM6" i="13"/>
  <c r="AZ6" i="13"/>
  <c r="BO6" i="13"/>
  <c r="BN6" i="13"/>
  <c r="AE6" i="13"/>
  <c r="AN6" i="13"/>
  <c r="AI6" i="13"/>
  <c r="AK6" i="13"/>
  <c r="BJ6" i="13"/>
  <c r="BM6" i="13"/>
  <c r="BQ6" i="13"/>
  <c r="AO6" i="13"/>
  <c r="AR6" i="13"/>
  <c r="BC6" i="13"/>
  <c r="AP6" i="13"/>
  <c r="BA6" i="13"/>
  <c r="BT6" i="13"/>
  <c r="BL6" i="13"/>
  <c r="AL6" i="13"/>
  <c r="BP6" i="13"/>
  <c r="AF6" i="13"/>
  <c r="AG6" i="13"/>
  <c r="AU6" i="13"/>
  <c r="AQ6" i="13"/>
  <c r="BF6" i="13"/>
  <c r="BU6" i="13"/>
  <c r="BG6" i="13"/>
  <c r="BK6" i="13"/>
  <c r="AV6" i="13"/>
  <c r="BD6" i="13"/>
  <c r="BS6" i="13"/>
  <c r="AX6" i="13"/>
  <c r="AJ6" i="13"/>
  <c r="BI6" i="13"/>
  <c r="AS6" i="13"/>
  <c r="B9" i="13"/>
  <c r="AW9" i="13"/>
  <c r="BE9" i="13"/>
  <c r="AP9" i="13"/>
  <c r="AX9" i="13"/>
  <c r="BA9" i="13"/>
  <c r="AJ9" i="13"/>
  <c r="BP9" i="13"/>
  <c r="AV9" i="13"/>
  <c r="AY9" i="13"/>
  <c r="AQ9" i="13"/>
  <c r="AS9" i="13"/>
  <c r="AE9" i="13"/>
  <c r="AK9" i="13"/>
  <c r="AT9" i="13"/>
  <c r="BS9" i="13"/>
  <c r="AI9" i="13"/>
  <c r="AM9" i="13"/>
  <c r="AO9" i="13"/>
  <c r="AF9" i="13"/>
  <c r="BT9" i="13"/>
  <c r="BR9" i="13"/>
  <c r="BK9" i="13"/>
  <c r="BL9" i="13"/>
  <c r="AL9" i="13"/>
  <c r="AU9" i="13"/>
  <c r="BD9" i="13"/>
  <c r="BH9" i="13"/>
  <c r="AR9" i="13"/>
  <c r="BG9" i="13"/>
  <c r="AZ9" i="13"/>
  <c r="BB9" i="13"/>
  <c r="AH9" i="13"/>
  <c r="BI9" i="13"/>
  <c r="BN9" i="13"/>
  <c r="BM9" i="13"/>
  <c r="BC9" i="13"/>
  <c r="AG9" i="13"/>
  <c r="BO9" i="13"/>
  <c r="BF9" i="13"/>
  <c r="BU9" i="13"/>
  <c r="BQ9" i="13"/>
  <c r="AN9" i="13"/>
  <c r="BJ9" i="13"/>
  <c r="AL50" i="13"/>
  <c r="B11" i="13"/>
  <c r="B32" i="13"/>
  <c r="T49" i="13"/>
  <c r="B10" i="13"/>
  <c r="B27" i="13"/>
  <c r="B14" i="13"/>
  <c r="AH53" i="13"/>
  <c r="D8" i="13"/>
  <c r="CC30" i="13"/>
  <c r="D11" i="13"/>
  <c r="BP33" i="13"/>
  <c r="D5" i="13"/>
  <c r="BJ27" i="13"/>
  <c r="B18" i="13"/>
  <c r="AI18" i="13"/>
  <c r="BP18" i="13"/>
  <c r="BF18" i="13"/>
  <c r="AZ18" i="13"/>
  <c r="BT18" i="13"/>
  <c r="BD18" i="13"/>
  <c r="BI18" i="13"/>
  <c r="AQ18" i="13"/>
  <c r="BG18" i="13"/>
  <c r="AN18" i="13"/>
  <c r="BQ18" i="13"/>
  <c r="AW18" i="13"/>
  <c r="BB18" i="13"/>
  <c r="BC18" i="13"/>
  <c r="AX18" i="13"/>
  <c r="AK18" i="13"/>
  <c r="BJ18" i="13"/>
  <c r="AU18" i="13"/>
  <c r="AY18" i="13"/>
  <c r="AE18" i="13"/>
  <c r="AH18" i="13"/>
  <c r="AM18" i="13"/>
  <c r="AP18" i="13"/>
  <c r="BK18" i="13"/>
  <c r="AV18" i="13"/>
  <c r="BU18" i="13"/>
  <c r="AJ18" i="13"/>
  <c r="AF18" i="13"/>
  <c r="BA18" i="13"/>
  <c r="BL18" i="13"/>
  <c r="BH18" i="13"/>
  <c r="BR18" i="13"/>
  <c r="BE18" i="13"/>
  <c r="AG18" i="13"/>
  <c r="AR18" i="13"/>
  <c r="BS18" i="13"/>
  <c r="BN18" i="13"/>
  <c r="BM18" i="13"/>
  <c r="AS18" i="13"/>
  <c r="AO18" i="13"/>
  <c r="AT18" i="13"/>
  <c r="BO18" i="13"/>
  <c r="AL18" i="13"/>
  <c r="W54" i="13"/>
  <c r="AR54" i="13"/>
  <c r="AZ54" i="13"/>
  <c r="AK54" i="13"/>
  <c r="V54" i="13"/>
  <c r="B12" i="13"/>
  <c r="AO12" i="13"/>
  <c r="BN12" i="13"/>
  <c r="BE12" i="13"/>
  <c r="AW12" i="13"/>
  <c r="AM12" i="13"/>
  <c r="AT12" i="13"/>
  <c r="BU12" i="13"/>
  <c r="BM12" i="13"/>
  <c r="AR12" i="13"/>
  <c r="BR12" i="13"/>
  <c r="AE12" i="13"/>
  <c r="BG12" i="13"/>
  <c r="BO12" i="13"/>
  <c r="AF12" i="13"/>
  <c r="AK12" i="13"/>
  <c r="BA12" i="13"/>
  <c r="BL12" i="13"/>
  <c r="AP12" i="13"/>
  <c r="BK12" i="13"/>
  <c r="BQ12" i="13"/>
  <c r="AL12" i="13"/>
  <c r="BT12" i="13"/>
  <c r="AJ12" i="13"/>
  <c r="AY12" i="13"/>
  <c r="AX12" i="13"/>
  <c r="AN12" i="13"/>
  <c r="AH12" i="13"/>
  <c r="BP12" i="13"/>
  <c r="AS12" i="13"/>
  <c r="BJ12" i="13"/>
  <c r="BF12" i="13"/>
  <c r="BI12" i="13"/>
  <c r="BS12" i="13"/>
  <c r="AI12" i="13"/>
  <c r="AZ12" i="13"/>
  <c r="AU12" i="13"/>
  <c r="AG12" i="13"/>
  <c r="BB12" i="13"/>
  <c r="AQ12" i="13"/>
  <c r="AV12" i="13"/>
  <c r="BH12" i="13"/>
  <c r="BD12" i="13"/>
  <c r="BC12" i="13"/>
  <c r="B17" i="13"/>
  <c r="AV17" i="13"/>
  <c r="AN17" i="13"/>
  <c r="AT17" i="13"/>
  <c r="AQ17" i="13"/>
  <c r="AW17" i="13"/>
  <c r="BF17" i="13"/>
  <c r="AU17" i="13"/>
  <c r="BH17" i="13"/>
  <c r="AE17" i="13"/>
  <c r="BD17" i="13"/>
  <c r="AP17" i="13"/>
  <c r="BS17" i="13"/>
  <c r="BG17" i="13"/>
  <c r="BE17" i="13"/>
  <c r="AS17" i="13"/>
  <c r="BK17" i="13"/>
  <c r="AM17" i="13"/>
  <c r="AY17" i="13"/>
  <c r="AG17" i="13"/>
  <c r="BI17" i="13"/>
  <c r="AL17" i="13"/>
  <c r="BC17" i="13"/>
  <c r="AO17" i="13"/>
  <c r="AJ17" i="13"/>
  <c r="BP17" i="13"/>
  <c r="BR17" i="13"/>
  <c r="BO17" i="13"/>
  <c r="BN17" i="13"/>
  <c r="BT17" i="13"/>
  <c r="AF17" i="13"/>
  <c r="AX17" i="13"/>
  <c r="BA17" i="13"/>
  <c r="BQ17" i="13"/>
  <c r="BM17" i="13"/>
  <c r="AH17" i="13"/>
  <c r="AZ17" i="13"/>
  <c r="BU17" i="13"/>
  <c r="AI17" i="13"/>
  <c r="AK17" i="13"/>
  <c r="BL17" i="13"/>
  <c r="BB17" i="13"/>
  <c r="BJ17" i="13"/>
  <c r="AR17" i="13"/>
  <c r="B40" i="13"/>
  <c r="D39" i="13"/>
  <c r="D17" i="13"/>
  <c r="AH83" i="12"/>
  <c r="B26" i="13"/>
  <c r="AV43" i="13"/>
  <c r="AJ45" i="13"/>
  <c r="D4" i="13"/>
  <c r="BU26" i="13"/>
  <c r="B34" i="13"/>
  <c r="BJ34" i="13"/>
  <c r="D12" i="13"/>
  <c r="BC40" i="13"/>
  <c r="AW40" i="13"/>
  <c r="BL40" i="13"/>
  <c r="BF40" i="13"/>
  <c r="BK40" i="13"/>
  <c r="AY40" i="13"/>
  <c r="BT40" i="13"/>
  <c r="AX40" i="13"/>
  <c r="AI40" i="13"/>
  <c r="BU40" i="13"/>
  <c r="AK40" i="13"/>
  <c r="AP40" i="13"/>
  <c r="BI40" i="13"/>
  <c r="BE40" i="13"/>
  <c r="AZ40" i="13"/>
  <c r="BR40" i="13"/>
  <c r="AO40" i="13"/>
  <c r="AF40" i="13"/>
  <c r="AE40" i="13"/>
  <c r="BJ40" i="13"/>
  <c r="BP40" i="13"/>
  <c r="AT40" i="13"/>
  <c r="AS40" i="13"/>
  <c r="BN40" i="13"/>
  <c r="BO40" i="13"/>
  <c r="BD40" i="13"/>
  <c r="BS40" i="13"/>
  <c r="BQ40" i="13"/>
  <c r="AJ40" i="13"/>
  <c r="BH40" i="13"/>
  <c r="AQ40" i="13"/>
  <c r="BB40" i="13"/>
  <c r="AV40" i="13"/>
  <c r="AH40" i="13"/>
  <c r="BG40" i="13"/>
  <c r="AM40" i="13"/>
  <c r="AN40" i="13"/>
  <c r="BA40" i="13"/>
  <c r="AL40" i="13"/>
  <c r="AG40" i="13"/>
  <c r="BM40" i="13"/>
  <c r="AU40" i="13"/>
  <c r="AR40" i="13"/>
  <c r="BB15" i="13"/>
  <c r="AF15" i="13"/>
  <c r="BN15" i="13"/>
  <c r="AE15" i="13"/>
  <c r="AH15" i="13"/>
  <c r="AY15" i="13"/>
  <c r="BL15" i="13"/>
  <c r="BH15" i="13"/>
  <c r="BF15" i="13"/>
  <c r="BQ15" i="13"/>
  <c r="AQ15" i="13"/>
  <c r="AW15" i="13"/>
  <c r="BI15" i="13"/>
  <c r="BP15" i="13"/>
  <c r="BD15" i="13"/>
  <c r="AV15" i="13"/>
  <c r="BE15" i="13"/>
  <c r="BA15" i="13"/>
  <c r="BO15" i="13"/>
  <c r="AI15" i="13"/>
  <c r="AL15" i="13"/>
  <c r="AS15" i="13"/>
  <c r="BK15" i="13"/>
  <c r="AT15" i="13"/>
  <c r="BU15" i="13"/>
  <c r="AN15" i="13"/>
  <c r="BS15" i="13"/>
  <c r="BR15" i="13"/>
  <c r="BT15" i="13"/>
  <c r="AO15" i="13"/>
  <c r="AK15" i="13"/>
  <c r="AJ15" i="13"/>
  <c r="AP15" i="13"/>
  <c r="AG15" i="13"/>
  <c r="BJ15" i="13"/>
  <c r="AU15" i="13"/>
  <c r="BM15" i="13"/>
  <c r="BG15" i="13"/>
  <c r="AZ15" i="13"/>
  <c r="BC15" i="13"/>
  <c r="AM15" i="13"/>
  <c r="AR15" i="13"/>
  <c r="AX15" i="13"/>
  <c r="CB34" i="13"/>
  <c r="BX34" i="13"/>
  <c r="BD34" i="13"/>
  <c r="BG34" i="13"/>
  <c r="BM34" i="13"/>
  <c r="AL51" i="13"/>
  <c r="BR34" i="13"/>
  <c r="BO34" i="13"/>
  <c r="BW34" i="13"/>
  <c r="AT51" i="13"/>
  <c r="BT34" i="13"/>
  <c r="AE51" i="13"/>
  <c r="BP34" i="13"/>
  <c r="BL34" i="13"/>
  <c r="BI34" i="13"/>
  <c r="BB34" i="13"/>
  <c r="BA34" i="13"/>
  <c r="BS34" i="13"/>
  <c r="BN34" i="13"/>
  <c r="BI39" i="13"/>
  <c r="BS39" i="13"/>
  <c r="B39" i="13"/>
  <c r="BC39" i="13"/>
  <c r="BB39" i="13"/>
  <c r="AT39" i="13"/>
  <c r="BM39" i="13"/>
  <c r="BL39" i="13"/>
  <c r="AN39" i="13"/>
  <c r="BE39" i="13"/>
  <c r="BP39" i="13"/>
  <c r="BJ39" i="13"/>
  <c r="AS39" i="13"/>
  <c r="AW39" i="13"/>
  <c r="BA39" i="13"/>
  <c r="AF39" i="13"/>
  <c r="AU39" i="13"/>
  <c r="BO39" i="13"/>
  <c r="BK39" i="13"/>
  <c r="AP39" i="13"/>
  <c r="AG39" i="13"/>
  <c r="AE39" i="13"/>
  <c r="BG39" i="13"/>
  <c r="AR39" i="13"/>
  <c r="AO39" i="13"/>
  <c r="AI39" i="13"/>
  <c r="AM39" i="13"/>
  <c r="BU39" i="13"/>
  <c r="AJ39" i="13"/>
  <c r="AL39" i="13"/>
  <c r="BR39" i="13"/>
  <c r="AV39" i="13"/>
  <c r="BT39" i="13"/>
  <c r="AZ39" i="13"/>
  <c r="AK39" i="13"/>
  <c r="BQ39" i="13"/>
  <c r="AQ39" i="13"/>
  <c r="BD39" i="13"/>
  <c r="AH39" i="13"/>
  <c r="BF39" i="13"/>
  <c r="AX39" i="13"/>
  <c r="AY39" i="13"/>
  <c r="BH39" i="13"/>
  <c r="BN39" i="13"/>
  <c r="F94" i="9"/>
  <c r="D40" i="13"/>
  <c r="D18" i="13"/>
  <c r="BS11" i="13"/>
  <c r="BK11" i="13"/>
  <c r="AX11" i="13"/>
  <c r="BG11" i="13"/>
  <c r="AN11" i="13"/>
  <c r="BJ11" i="13"/>
  <c r="AZ11" i="13"/>
  <c r="BP11" i="13"/>
  <c r="BE11" i="13"/>
  <c r="AY11" i="13"/>
  <c r="AM11" i="13"/>
  <c r="AR11" i="13"/>
  <c r="AV11" i="13"/>
  <c r="AL11" i="13"/>
  <c r="BU11" i="13"/>
  <c r="AH11" i="13"/>
  <c r="AO11" i="13"/>
  <c r="AI11" i="13"/>
  <c r="BN11" i="13"/>
  <c r="BC11" i="13"/>
  <c r="AT11" i="13"/>
  <c r="BF11" i="13"/>
  <c r="AQ11" i="13"/>
  <c r="AK11" i="13"/>
  <c r="AU11" i="13"/>
  <c r="BM11" i="13"/>
  <c r="BQ11" i="13"/>
  <c r="BI11" i="13"/>
  <c r="BD11" i="13"/>
  <c r="BB11" i="13"/>
  <c r="BH11" i="13"/>
  <c r="AP11" i="13"/>
  <c r="BT11" i="13"/>
  <c r="AS11" i="13"/>
  <c r="AW11" i="13"/>
  <c r="BR11" i="13"/>
  <c r="AE11" i="13"/>
  <c r="BO11" i="13"/>
  <c r="AG11" i="13"/>
  <c r="AF11" i="13"/>
  <c r="AJ11" i="13"/>
  <c r="BL11" i="13"/>
  <c r="BA11" i="13"/>
  <c r="D7" i="13"/>
  <c r="BP29" i="13"/>
  <c r="AH47" i="13"/>
  <c r="AK47" i="13"/>
  <c r="BK30" i="13"/>
  <c r="AJ47" i="13"/>
  <c r="BS10" i="13"/>
  <c r="BI10" i="13"/>
  <c r="AZ10" i="13"/>
  <c r="BJ10" i="13"/>
  <c r="BL10" i="13"/>
  <c r="BK10" i="13"/>
  <c r="AO10" i="13"/>
  <c r="BB10" i="13"/>
  <c r="BT10" i="13"/>
  <c r="BC10" i="13"/>
  <c r="AF10" i="13"/>
  <c r="BU10" i="13"/>
  <c r="BD10" i="13"/>
  <c r="BG10" i="13"/>
  <c r="BQ10" i="13"/>
  <c r="AH10" i="13"/>
  <c r="AW10" i="13"/>
  <c r="BE10" i="13"/>
  <c r="BM10" i="13"/>
  <c r="AI10" i="13"/>
  <c r="BA10" i="13"/>
  <c r="AV10" i="13"/>
  <c r="AJ10" i="13"/>
  <c r="BF10" i="13"/>
  <c r="AG10" i="13"/>
  <c r="BO10" i="13"/>
  <c r="BH10" i="13"/>
  <c r="AP10" i="13"/>
  <c r="AR10" i="13"/>
  <c r="AX10" i="13"/>
  <c r="AY10" i="13"/>
  <c r="AS10" i="13"/>
  <c r="AQ10" i="13"/>
  <c r="AK10" i="13"/>
  <c r="AT10" i="13"/>
  <c r="BP10" i="13"/>
  <c r="BR10" i="13"/>
  <c r="AN10" i="13"/>
  <c r="AE10" i="13"/>
  <c r="AU10" i="13"/>
  <c r="AM10" i="13"/>
  <c r="AL10" i="13"/>
  <c r="BN10" i="13"/>
  <c r="AR43" i="13"/>
  <c r="BO14" i="13"/>
  <c r="AV14" i="13"/>
  <c r="BM14" i="13"/>
  <c r="AT14" i="13"/>
  <c r="AR14" i="13"/>
  <c r="BD14" i="13"/>
  <c r="BK14" i="13"/>
  <c r="BH14" i="13"/>
  <c r="AU14" i="13"/>
  <c r="BP14" i="13"/>
  <c r="BG14" i="13"/>
  <c r="AN14" i="13"/>
  <c r="AE14" i="13"/>
  <c r="BL14" i="13"/>
  <c r="BS14" i="13"/>
  <c r="AY14" i="13"/>
  <c r="AX14" i="13"/>
  <c r="AK14" i="13"/>
  <c r="AM14" i="13"/>
  <c r="AO14" i="13"/>
  <c r="BF14" i="13"/>
  <c r="BT14" i="13"/>
  <c r="AP14" i="13"/>
  <c r="AS14" i="13"/>
  <c r="AW14" i="13"/>
  <c r="BN14" i="13"/>
  <c r="BU14" i="13"/>
  <c r="AZ14" i="13"/>
  <c r="AL14" i="13"/>
  <c r="BJ14" i="13"/>
  <c r="BR14" i="13"/>
  <c r="BA14" i="13"/>
  <c r="AH14" i="13"/>
  <c r="AG14" i="13"/>
  <c r="AJ14" i="13"/>
  <c r="BQ14" i="13"/>
  <c r="AQ14" i="13"/>
  <c r="BB14" i="13"/>
  <c r="AF14" i="13"/>
  <c r="BC14" i="13"/>
  <c r="BE14" i="13"/>
  <c r="AI14" i="13"/>
  <c r="BI14" i="13"/>
  <c r="H93" i="9"/>
  <c r="B83" i="9"/>
  <c r="AI51" i="13"/>
  <c r="AT48" i="13"/>
  <c r="C13" i="13"/>
  <c r="C35" i="13"/>
  <c r="D15" i="13"/>
  <c r="BQ37" i="13"/>
  <c r="AU8" i="13"/>
  <c r="BG8" i="13"/>
  <c r="BB8" i="13"/>
  <c r="AE8" i="13"/>
  <c r="BC8" i="13"/>
  <c r="BF8" i="13"/>
  <c r="AS8" i="13"/>
  <c r="AL8" i="13"/>
  <c r="AF8" i="13"/>
  <c r="AG8" i="13"/>
  <c r="BQ8" i="13"/>
  <c r="BA8" i="13"/>
  <c r="AN8" i="13"/>
  <c r="BP8" i="13"/>
  <c r="AM8" i="13"/>
  <c r="BK8" i="13"/>
  <c r="AW8" i="13"/>
  <c r="BI8" i="13"/>
  <c r="AV8" i="13"/>
  <c r="BD8" i="13"/>
  <c r="BT8" i="13"/>
  <c r="AJ8" i="13"/>
  <c r="BM8" i="13"/>
  <c r="BO8" i="13"/>
  <c r="BR8" i="13"/>
  <c r="AY8" i="13"/>
  <c r="BH8" i="13"/>
  <c r="AZ8" i="13"/>
  <c r="AK8" i="13"/>
  <c r="BL8" i="13"/>
  <c r="AX8" i="13"/>
  <c r="AH8" i="13"/>
  <c r="AO8" i="13"/>
  <c r="AI8" i="13"/>
  <c r="AR8" i="13"/>
  <c r="BJ8" i="13"/>
  <c r="AT8" i="13"/>
  <c r="BN8" i="13"/>
  <c r="BE8" i="13"/>
  <c r="AQ8" i="13"/>
  <c r="AP8" i="13"/>
  <c r="BS8" i="13"/>
  <c r="BU8" i="13"/>
  <c r="BV27" i="13"/>
  <c r="BX27" i="13"/>
  <c r="BC27" i="13"/>
  <c r="AH44" i="13"/>
  <c r="AT44" i="13"/>
  <c r="X44" i="13"/>
  <c r="AY44" i="13"/>
  <c r="Z44" i="13"/>
  <c r="BY27" i="13"/>
  <c r="S44" i="13"/>
  <c r="AN44" i="13"/>
  <c r="AQ44" i="13"/>
  <c r="AC44" i="13"/>
  <c r="W44" i="13"/>
  <c r="AS44" i="13"/>
  <c r="AR44" i="13"/>
  <c r="BL27" i="13"/>
  <c r="CB27" i="13"/>
  <c r="CF27" i="13"/>
  <c r="AD44" i="13"/>
  <c r="C110" i="13"/>
  <c r="AG44" i="13"/>
  <c r="BD27" i="13"/>
  <c r="CE27" i="13"/>
  <c r="AI44" i="13"/>
  <c r="BA27" i="13"/>
  <c r="BZ27" i="13"/>
  <c r="AB44" i="13"/>
  <c r="AU44" i="13"/>
  <c r="AL44" i="13"/>
  <c r="AV44" i="13"/>
  <c r="AK44" i="13"/>
  <c r="AW44" i="13"/>
  <c r="AF44" i="13"/>
  <c r="T44" i="13"/>
  <c r="AO44" i="13"/>
  <c r="AP44" i="13"/>
  <c r="AA44" i="13"/>
  <c r="AE44" i="13"/>
  <c r="AX44" i="13"/>
  <c r="AZ44" i="13"/>
  <c r="CA27" i="13"/>
  <c r="BT27" i="13"/>
  <c r="AM44" i="13"/>
  <c r="V44" i="13"/>
  <c r="Y44" i="13"/>
  <c r="U44" i="13"/>
  <c r="BE27" i="13"/>
  <c r="AJ44" i="13"/>
  <c r="AU7" i="13"/>
  <c r="BA7" i="13"/>
  <c r="BG7" i="13"/>
  <c r="AP7" i="13"/>
  <c r="BR7" i="13"/>
  <c r="AY7" i="13"/>
  <c r="AV7" i="13"/>
  <c r="AI7" i="13"/>
  <c r="AW7" i="13"/>
  <c r="BE7" i="13"/>
  <c r="AX7" i="13"/>
  <c r="AL7" i="13"/>
  <c r="BO7" i="13"/>
  <c r="BF7" i="13"/>
  <c r="BT7" i="13"/>
  <c r="AJ7" i="13"/>
  <c r="AK7" i="13"/>
  <c r="BU7" i="13"/>
  <c r="BD7" i="13"/>
  <c r="BQ7" i="13"/>
  <c r="BH7" i="13"/>
  <c r="AM7" i="13"/>
  <c r="BL7" i="13"/>
  <c r="BJ7" i="13"/>
  <c r="AR7" i="13"/>
  <c r="AT7" i="13"/>
  <c r="AF7" i="13"/>
  <c r="AQ7" i="13"/>
  <c r="AZ7" i="13"/>
  <c r="AS7" i="13"/>
  <c r="BN7" i="13"/>
  <c r="AO7" i="13"/>
  <c r="BK7" i="13"/>
  <c r="BP7" i="13"/>
  <c r="BS7" i="13"/>
  <c r="BM7" i="13"/>
  <c r="AE7" i="13"/>
  <c r="AG7" i="13"/>
  <c r="AN7" i="13"/>
  <c r="BB7" i="13"/>
  <c r="BI7" i="13"/>
  <c r="AH7" i="13"/>
  <c r="BC7" i="13"/>
  <c r="CE32" i="13"/>
  <c r="BI32" i="13"/>
  <c r="AC49" i="13"/>
  <c r="BT32" i="13"/>
  <c r="BZ32" i="13"/>
  <c r="CF32" i="13"/>
  <c r="C25" i="13"/>
  <c r="C3" i="13"/>
  <c r="H94" i="9"/>
  <c r="AH83" i="7"/>
  <c r="I74" i="1"/>
  <c r="L75" i="1"/>
  <c r="BR32" i="13"/>
  <c r="BO32" i="13"/>
  <c r="BE32" i="13"/>
  <c r="BD26" i="13"/>
  <c r="AA54" i="13"/>
  <c r="U54" i="13"/>
  <c r="U15" i="13"/>
  <c r="U71" i="13"/>
  <c r="V45" i="13"/>
  <c r="V6" i="13"/>
  <c r="V62" i="13"/>
  <c r="BX32" i="13"/>
  <c r="BV32" i="13"/>
  <c r="CG32" i="13"/>
  <c r="BD32" i="13"/>
  <c r="AY51" i="13"/>
  <c r="BZ34" i="13"/>
  <c r="BF34" i="13"/>
  <c r="CG34" i="13"/>
  <c r="CC34" i="13"/>
  <c r="BK34" i="13"/>
  <c r="CD34" i="13"/>
  <c r="BY34" i="13"/>
  <c r="BH34" i="13"/>
  <c r="BU34" i="13"/>
  <c r="AQ54" i="13"/>
  <c r="AQ71" i="13"/>
  <c r="AJ54" i="13"/>
  <c r="AS54" i="13"/>
  <c r="X54" i="13"/>
  <c r="X15" i="13"/>
  <c r="X71" i="13"/>
  <c r="AI54" i="13"/>
  <c r="AO50" i="13"/>
  <c r="AA50" i="13"/>
  <c r="AH45" i="13"/>
  <c r="AH62" i="13"/>
  <c r="BR30" i="13"/>
  <c r="AM54" i="13"/>
  <c r="AP54" i="13"/>
  <c r="L70" i="1"/>
  <c r="CD32" i="13"/>
  <c r="BU32" i="13"/>
  <c r="BM32" i="13"/>
  <c r="BF32" i="13"/>
  <c r="BK32" i="13"/>
  <c r="CB26" i="13"/>
  <c r="BY30" i="13"/>
  <c r="BO30" i="13"/>
  <c r="BC34" i="13"/>
  <c r="CE34" i="13"/>
  <c r="BV34" i="13"/>
  <c r="AN51" i="13"/>
  <c r="CF34" i="13"/>
  <c r="BE34" i="13"/>
  <c r="CA34" i="13"/>
  <c r="BQ34" i="13"/>
  <c r="S54" i="13"/>
  <c r="AE54" i="13"/>
  <c r="AH54" i="13"/>
  <c r="AH71" i="13"/>
  <c r="AT54" i="13"/>
  <c r="AT71" i="13"/>
  <c r="AD54" i="13"/>
  <c r="C120" i="13"/>
  <c r="BX33" i="13"/>
  <c r="CG33" i="13"/>
  <c r="AD53" i="13"/>
  <c r="C119" i="13"/>
  <c r="AU45" i="13"/>
  <c r="BR36" i="13"/>
  <c r="BV30" i="13"/>
  <c r="AA47" i="13"/>
  <c r="AA8" i="13"/>
  <c r="AA64" i="13"/>
  <c r="AP47" i="13"/>
  <c r="CC29" i="13"/>
  <c r="BE36" i="13"/>
  <c r="AA43" i="13"/>
  <c r="AA4" i="13"/>
  <c r="AA60" i="13"/>
  <c r="BE30" i="13"/>
  <c r="AB47" i="13"/>
  <c r="AV47" i="13"/>
  <c r="AS47" i="13"/>
  <c r="AS64" i="13"/>
  <c r="BA30" i="13"/>
  <c r="BQ30" i="13"/>
  <c r="U47" i="13"/>
  <c r="U8" i="13"/>
  <c r="U64" i="13"/>
  <c r="BC30" i="13"/>
  <c r="AU51" i="13"/>
  <c r="CG37" i="13"/>
  <c r="AH50" i="13"/>
  <c r="AH67" i="13"/>
  <c r="AW50" i="13"/>
  <c r="AU50" i="13"/>
  <c r="AZ50" i="13"/>
  <c r="AZ67" i="13"/>
  <c r="AT50" i="13"/>
  <c r="AT67" i="13"/>
  <c r="X53" i="13"/>
  <c r="AF53" i="13"/>
  <c r="Z53" i="13"/>
  <c r="Z14" i="13"/>
  <c r="Z70" i="13"/>
  <c r="CB28" i="13"/>
  <c r="BX28" i="13"/>
  <c r="AR45" i="13"/>
  <c r="AV45" i="13"/>
  <c r="CE36" i="13"/>
  <c r="BL28" i="13"/>
  <c r="BG30" i="13"/>
  <c r="CG30" i="13"/>
  <c r="S47" i="13"/>
  <c r="CB30" i="13"/>
  <c r="BC36" i="13"/>
  <c r="BO28" i="13"/>
  <c r="BF28" i="13"/>
  <c r="AT43" i="13"/>
  <c r="AT60" i="13"/>
  <c r="Y47" i="13"/>
  <c r="CA30" i="13"/>
  <c r="BD30" i="13"/>
  <c r="AO47" i="13"/>
  <c r="AT47" i="13"/>
  <c r="BN30" i="13"/>
  <c r="W47" i="13"/>
  <c r="W8" i="13"/>
  <c r="W64" i="13"/>
  <c r="AK51" i="13"/>
  <c r="AK68" i="13"/>
  <c r="U50" i="13"/>
  <c r="AE50" i="13"/>
  <c r="AE67" i="13"/>
  <c r="AJ50" i="13"/>
  <c r="AJ67" i="13"/>
  <c r="BC33" i="13"/>
  <c r="AV53" i="13"/>
  <c r="BY36" i="13"/>
  <c r="CD36" i="13"/>
  <c r="AL45" i="13"/>
  <c r="BT28" i="13"/>
  <c r="BM28" i="13"/>
  <c r="AX45" i="13"/>
  <c r="AX62" i="13"/>
  <c r="BU31" i="13"/>
  <c r="BY31" i="13"/>
  <c r="Y43" i="13"/>
  <c r="Y4" i="13"/>
  <c r="Y60" i="13"/>
  <c r="W43" i="13"/>
  <c r="W4" i="13"/>
  <c r="W60" i="13"/>
  <c r="BR37" i="13"/>
  <c r="BA33" i="13"/>
  <c r="BJ33" i="13"/>
  <c r="AA53" i="13"/>
  <c r="AA14" i="13"/>
  <c r="AA70" i="13"/>
  <c r="BB31" i="13"/>
  <c r="BJ31" i="13"/>
  <c r="BG31" i="13"/>
  <c r="BQ31" i="13"/>
  <c r="BP32" i="13"/>
  <c r="BQ32" i="13"/>
  <c r="BB32" i="13"/>
  <c r="BL32" i="13"/>
  <c r="CA32" i="13"/>
  <c r="BW32" i="13"/>
  <c r="BC32" i="13"/>
  <c r="BH32" i="13"/>
  <c r="BI27" i="13"/>
  <c r="BM27" i="13"/>
  <c r="BH27" i="13"/>
  <c r="BB27" i="13"/>
  <c r="CC27" i="13"/>
  <c r="BF27" i="13"/>
  <c r="BS27" i="13"/>
  <c r="CG27" i="13"/>
  <c r="BQ27" i="13"/>
  <c r="BU27" i="13"/>
  <c r="BK27" i="13"/>
  <c r="BO27" i="13"/>
  <c r="BP27" i="13"/>
  <c r="AN43" i="13"/>
  <c r="AN60" i="13"/>
  <c r="BV26" i="13"/>
  <c r="AY43" i="13"/>
  <c r="AY60" i="13"/>
  <c r="AZ43" i="13"/>
  <c r="AZ60" i="13"/>
  <c r="BY26" i="13"/>
  <c r="W51" i="13"/>
  <c r="W12" i="13"/>
  <c r="W68" i="13"/>
  <c r="S51" i="13"/>
  <c r="AX51" i="13"/>
  <c r="AX68" i="13"/>
  <c r="X51" i="13"/>
  <c r="X12" i="13"/>
  <c r="X68" i="13"/>
  <c r="BD37" i="13"/>
  <c r="AW54" i="13"/>
  <c r="AW71" i="13"/>
  <c r="CD37" i="13"/>
  <c r="BH37" i="13"/>
  <c r="AX54" i="13"/>
  <c r="AX71" i="13"/>
  <c r="AU54" i="13"/>
  <c r="AU71" i="13"/>
  <c r="Y54" i="13"/>
  <c r="Y15" i="13"/>
  <c r="Y71" i="13"/>
  <c r="T54" i="13"/>
  <c r="T15" i="13"/>
  <c r="T71" i="13"/>
  <c r="AB54" i="13"/>
  <c r="AB15" i="13"/>
  <c r="AB71" i="13"/>
  <c r="AN54" i="13"/>
  <c r="AN71" i="13"/>
  <c r="AM50" i="13"/>
  <c r="AM67" i="13"/>
  <c r="CE33" i="13"/>
  <c r="CD33" i="13"/>
  <c r="AR50" i="13"/>
  <c r="X50" i="13"/>
  <c r="X11" i="13"/>
  <c r="X67" i="13"/>
  <c r="BE33" i="13"/>
  <c r="BG33" i="13"/>
  <c r="BT33" i="13"/>
  <c r="AV50" i="13"/>
  <c r="AV67" i="13"/>
  <c r="BD29" i="13"/>
  <c r="AC53" i="13"/>
  <c r="AC14" i="13"/>
  <c r="AC70" i="13"/>
  <c r="BV36" i="13"/>
  <c r="AU53" i="13"/>
  <c r="AU70" i="13"/>
  <c r="S53" i="13"/>
  <c r="S14" i="13"/>
  <c r="S70" i="13"/>
  <c r="AK53" i="13"/>
  <c r="AK70" i="13"/>
  <c r="AS53" i="13"/>
  <c r="AS70" i="13"/>
  <c r="BW31" i="13"/>
  <c r="BF31" i="13"/>
  <c r="BC31" i="13"/>
  <c r="BM31" i="13"/>
  <c r="BI31" i="13"/>
  <c r="Z45" i="13"/>
  <c r="Z6" i="13"/>
  <c r="Z62" i="13"/>
  <c r="BI28" i="13"/>
  <c r="BZ28" i="13"/>
  <c r="AZ45" i="13"/>
  <c r="AZ62" i="13"/>
  <c r="AB45" i="13"/>
  <c r="AB6" i="13"/>
  <c r="AB62" i="13"/>
  <c r="AS45" i="13"/>
  <c r="AS62" i="13"/>
  <c r="AT45" i="13"/>
  <c r="AT62" i="13"/>
  <c r="BD31" i="13"/>
  <c r="BH31" i="13"/>
  <c r="BV31" i="13"/>
  <c r="AJ43" i="13"/>
  <c r="AX43" i="13"/>
  <c r="AX60" i="13"/>
  <c r="BR33" i="13"/>
  <c r="BC29" i="13"/>
  <c r="AB53" i="13"/>
  <c r="AB14" i="13"/>
  <c r="AB70" i="13"/>
  <c r="BG32" i="13"/>
  <c r="CC32" i="13"/>
  <c r="BA32" i="13"/>
  <c r="BJ32" i="13"/>
  <c r="CB32" i="13"/>
  <c r="BN32" i="13"/>
  <c r="BS32" i="13"/>
  <c r="X49" i="13"/>
  <c r="X10" i="13"/>
  <c r="X66" i="13"/>
  <c r="BW27" i="13"/>
  <c r="BG27" i="13"/>
  <c r="CD27" i="13"/>
  <c r="BN27" i="13"/>
  <c r="BR27" i="13"/>
  <c r="AD43" i="13"/>
  <c r="C109" i="13"/>
  <c r="BG26" i="13"/>
  <c r="AC43" i="13"/>
  <c r="AC4" i="13"/>
  <c r="AC60" i="13"/>
  <c r="T51" i="13"/>
  <c r="T12" i="13"/>
  <c r="T68" i="13"/>
  <c r="Y51" i="13"/>
  <c r="Y12" i="13"/>
  <c r="Y68" i="13"/>
  <c r="AJ51" i="13"/>
  <c r="AJ68" i="13"/>
  <c r="AO51" i="13"/>
  <c r="AO68" i="13"/>
  <c r="BJ37" i="13"/>
  <c r="AL54" i="13"/>
  <c r="AG54" i="13"/>
  <c r="AG71" i="13"/>
  <c r="AO54" i="13"/>
  <c r="AO71" i="13"/>
  <c r="AY54" i="13"/>
  <c r="AY71" i="13"/>
  <c r="AF54" i="13"/>
  <c r="Z54" i="13"/>
  <c r="Z15" i="13"/>
  <c r="Z71" i="13"/>
  <c r="AC54" i="13"/>
  <c r="BO33" i="13"/>
  <c r="BI33" i="13"/>
  <c r="BB33" i="13"/>
  <c r="BY29" i="13"/>
  <c r="AP53" i="13"/>
  <c r="AP70" i="13"/>
  <c r="AL53" i="13"/>
  <c r="AL70" i="13"/>
  <c r="AR53" i="13"/>
  <c r="AR70" i="13"/>
  <c r="AW53" i="13"/>
  <c r="AW70" i="13"/>
  <c r="AT53" i="13"/>
  <c r="AT70" i="13"/>
  <c r="AH83" i="8"/>
  <c r="BX31" i="13"/>
  <c r="BZ31" i="13"/>
  <c r="AK48" i="13"/>
  <c r="AK65" i="13"/>
  <c r="AN45" i="13"/>
  <c r="AN62" i="13"/>
  <c r="AD45" i="13"/>
  <c r="C111" i="13"/>
  <c r="AG45" i="13"/>
  <c r="AG62" i="13"/>
  <c r="AQ45" i="13"/>
  <c r="BV28" i="13"/>
  <c r="BH28" i="13"/>
  <c r="J4" i="13"/>
  <c r="J60" i="13"/>
  <c r="O4" i="13"/>
  <c r="O60" i="13"/>
  <c r="R4" i="13"/>
  <c r="R60" i="13"/>
  <c r="M4" i="13"/>
  <c r="M60" i="13"/>
  <c r="V4" i="13"/>
  <c r="AB4" i="13"/>
  <c r="H4" i="13"/>
  <c r="H60" i="13"/>
  <c r="Q4" i="13"/>
  <c r="Q60" i="13"/>
  <c r="L4" i="13"/>
  <c r="L60" i="13"/>
  <c r="G4" i="13"/>
  <c r="G60" i="13"/>
  <c r="F4" i="13"/>
  <c r="F60" i="13"/>
  <c r="I4" i="13"/>
  <c r="I60" i="13"/>
  <c r="X4" i="13"/>
  <c r="S4" i="13"/>
  <c r="AD4" i="13"/>
  <c r="P4" i="13"/>
  <c r="P60" i="13"/>
  <c r="Z4" i="13"/>
  <c r="K4" i="13"/>
  <c r="K60" i="13"/>
  <c r="N4" i="13"/>
  <c r="N60" i="13"/>
  <c r="U4" i="13"/>
  <c r="T4" i="13"/>
  <c r="M18" i="13"/>
  <c r="AD18" i="13"/>
  <c r="L18" i="13"/>
  <c r="AB18" i="13"/>
  <c r="W18" i="13"/>
  <c r="AC18" i="13"/>
  <c r="AA18" i="13"/>
  <c r="P18" i="13"/>
  <c r="I18" i="13"/>
  <c r="H18" i="13"/>
  <c r="U18" i="13"/>
  <c r="J18" i="13"/>
  <c r="Y18" i="13"/>
  <c r="G18" i="13"/>
  <c r="S18" i="13"/>
  <c r="T18" i="13"/>
  <c r="R18" i="13"/>
  <c r="F18" i="13"/>
  <c r="N18" i="13"/>
  <c r="Q18" i="13"/>
  <c r="Z18" i="13"/>
  <c r="V18" i="13"/>
  <c r="X18" i="13"/>
  <c r="K18" i="13"/>
  <c r="O18" i="13"/>
  <c r="E39" i="13"/>
  <c r="E17" i="13"/>
  <c r="CG54" i="13"/>
  <c r="CG71" i="13"/>
  <c r="CF54" i="13"/>
  <c r="CF71" i="13"/>
  <c r="BX54" i="13"/>
  <c r="BX71" i="13"/>
  <c r="BG54" i="13"/>
  <c r="BG71" i="13"/>
  <c r="CC54" i="13"/>
  <c r="CC71" i="13"/>
  <c r="BP54" i="13"/>
  <c r="BP71" i="13"/>
  <c r="BJ54" i="13"/>
  <c r="BJ71" i="13"/>
  <c r="BT54" i="13"/>
  <c r="BT71" i="13"/>
  <c r="BI54" i="13"/>
  <c r="BI71" i="13"/>
  <c r="BL54" i="13"/>
  <c r="BL71" i="13"/>
  <c r="BQ54" i="13"/>
  <c r="BQ71" i="13"/>
  <c r="BU54" i="13"/>
  <c r="BA54" i="13"/>
  <c r="BA71" i="13"/>
  <c r="BW54" i="13"/>
  <c r="BW71" i="13"/>
  <c r="BD54" i="13"/>
  <c r="BD71" i="13"/>
  <c r="CD54" i="13"/>
  <c r="CD71" i="13"/>
  <c r="CE54" i="13"/>
  <c r="CE71" i="13"/>
  <c r="BR54" i="13"/>
  <c r="BR71" i="13"/>
  <c r="BK54" i="13"/>
  <c r="BK71" i="13"/>
  <c r="BZ54" i="13"/>
  <c r="BZ71" i="13"/>
  <c r="BY54" i="13"/>
  <c r="BY71" i="13"/>
  <c r="BF54" i="13"/>
  <c r="BF71" i="13"/>
  <c r="BC54" i="13"/>
  <c r="BC71" i="13"/>
  <c r="BS54" i="13"/>
  <c r="BS71" i="13"/>
  <c r="BH54" i="13"/>
  <c r="BH71" i="13"/>
  <c r="CA54" i="13"/>
  <c r="CA71" i="13"/>
  <c r="BV54" i="13"/>
  <c r="BV71" i="13"/>
  <c r="BO54" i="13"/>
  <c r="BO71" i="13"/>
  <c r="BM54" i="13"/>
  <c r="BM71" i="13"/>
  <c r="CB54" i="13"/>
  <c r="CB71" i="13"/>
  <c r="BN54" i="13"/>
  <c r="BN71" i="13"/>
  <c r="BB54" i="13"/>
  <c r="BB71" i="13"/>
  <c r="BE54" i="13"/>
  <c r="BE71" i="13"/>
  <c r="CF37" i="13"/>
  <c r="CC37" i="13"/>
  <c r="BP37" i="13"/>
  <c r="BW37" i="13"/>
  <c r="BT37" i="13"/>
  <c r="BE37" i="13"/>
  <c r="BL37" i="13"/>
  <c r="BY37" i="13"/>
  <c r="BA37" i="13"/>
  <c r="BK37" i="13"/>
  <c r="BZ37" i="13"/>
  <c r="BI37" i="13"/>
  <c r="CB37" i="13"/>
  <c r="BC37" i="13"/>
  <c r="CE37" i="13"/>
  <c r="BU37" i="13"/>
  <c r="M31" i="13"/>
  <c r="I31" i="13"/>
  <c r="P31" i="13"/>
  <c r="K31" i="13"/>
  <c r="O31" i="13"/>
  <c r="L31" i="13"/>
  <c r="G31" i="13"/>
  <c r="N31" i="13"/>
  <c r="J31" i="13"/>
  <c r="H31" i="13"/>
  <c r="R31" i="13"/>
  <c r="Q31" i="13"/>
  <c r="S31" i="13"/>
  <c r="AH31" i="13"/>
  <c r="AJ31" i="13"/>
  <c r="AB31" i="13"/>
  <c r="AV31" i="13"/>
  <c r="AQ31" i="13"/>
  <c r="AE31" i="13"/>
  <c r="Y31" i="13"/>
  <c r="AW31" i="13"/>
  <c r="AI31" i="13"/>
  <c r="AF31" i="13"/>
  <c r="AL31" i="13"/>
  <c r="T31" i="13"/>
  <c r="AY31" i="13"/>
  <c r="AR31" i="13"/>
  <c r="AG31" i="13"/>
  <c r="AC31" i="13"/>
  <c r="AX31" i="13"/>
  <c r="W31" i="13"/>
  <c r="AD31" i="13"/>
  <c r="F31" i="13"/>
  <c r="AS31" i="13"/>
  <c r="U31" i="13"/>
  <c r="AZ31" i="13"/>
  <c r="Z31" i="13"/>
  <c r="AM31" i="13"/>
  <c r="AT31" i="13"/>
  <c r="X31" i="13"/>
  <c r="AK31" i="13"/>
  <c r="V31" i="13"/>
  <c r="AT65" i="13"/>
  <c r="AU31" i="13"/>
  <c r="AA31" i="13"/>
  <c r="AO31" i="13"/>
  <c r="AP31" i="13"/>
  <c r="AN31" i="13"/>
  <c r="AN48" i="13"/>
  <c r="AN65" i="13"/>
  <c r="AZ48" i="13"/>
  <c r="AZ65" i="13"/>
  <c r="U48" i="13"/>
  <c r="U9" i="13"/>
  <c r="U65" i="13"/>
  <c r="AE48" i="13"/>
  <c r="AE65" i="13"/>
  <c r="AJ48" i="13"/>
  <c r="AJ65" i="13"/>
  <c r="W48" i="13"/>
  <c r="W9" i="13"/>
  <c r="W65" i="13"/>
  <c r="V48" i="13"/>
  <c r="V9" i="13"/>
  <c r="V65" i="13"/>
  <c r="X48" i="13"/>
  <c r="X9" i="13"/>
  <c r="X65" i="13"/>
  <c r="AG48" i="13"/>
  <c r="AG65" i="13"/>
  <c r="AI48" i="13"/>
  <c r="AI65" i="13"/>
  <c r="Z48" i="13"/>
  <c r="Z9" i="13"/>
  <c r="Z65" i="13"/>
  <c r="AU48" i="13"/>
  <c r="AU65" i="13"/>
  <c r="AV48" i="13"/>
  <c r="AV65" i="13"/>
  <c r="AQ48" i="13"/>
  <c r="AQ65" i="13"/>
  <c r="S48" i="13"/>
  <c r="S9" i="13"/>
  <c r="S65" i="13"/>
  <c r="AF48" i="13"/>
  <c r="AF65" i="13"/>
  <c r="Y48" i="13"/>
  <c r="Y9" i="13"/>
  <c r="Y65" i="13"/>
  <c r="AW48" i="13"/>
  <c r="AW65" i="13"/>
  <c r="AM48" i="13"/>
  <c r="AM65" i="13"/>
  <c r="AL48" i="13"/>
  <c r="AL65" i="13"/>
  <c r="AH48" i="13"/>
  <c r="AH65" i="13"/>
  <c r="AD48" i="13"/>
  <c r="C114" i="13"/>
  <c r="T48" i="13"/>
  <c r="T9" i="13"/>
  <c r="T65" i="13"/>
  <c r="AC48" i="13"/>
  <c r="AC9" i="13"/>
  <c r="AC65" i="13"/>
  <c r="AR48" i="13"/>
  <c r="AR65" i="13"/>
  <c r="BP46" i="13"/>
  <c r="BP63" i="13"/>
  <c r="BY46" i="13"/>
  <c r="BY63" i="13"/>
  <c r="BE46" i="13"/>
  <c r="BE63" i="13"/>
  <c r="BT46" i="13"/>
  <c r="BT63" i="13"/>
  <c r="BH46" i="13"/>
  <c r="BH63" i="13"/>
  <c r="CE46" i="13"/>
  <c r="CE63" i="13"/>
  <c r="BF46" i="13"/>
  <c r="BF63" i="13"/>
  <c r="BJ46" i="13"/>
  <c r="BJ63" i="13"/>
  <c r="BL46" i="13"/>
  <c r="BL63" i="13"/>
  <c r="BW46" i="13"/>
  <c r="BW63" i="13"/>
  <c r="BM46" i="13"/>
  <c r="BM63" i="13"/>
  <c r="BG46" i="13"/>
  <c r="BG63" i="13"/>
  <c r="BN46" i="13"/>
  <c r="BN63" i="13"/>
  <c r="BV46" i="13"/>
  <c r="BV63" i="13"/>
  <c r="BR46" i="13"/>
  <c r="BR63" i="13"/>
  <c r="BD46" i="13"/>
  <c r="BD63" i="13"/>
  <c r="BS46" i="13"/>
  <c r="BS63" i="13"/>
  <c r="CA46" i="13"/>
  <c r="CA63" i="13"/>
  <c r="BA46" i="13"/>
  <c r="BA63" i="13"/>
  <c r="CG46" i="13"/>
  <c r="CG63" i="13"/>
  <c r="CF46" i="13"/>
  <c r="CF63" i="13"/>
  <c r="BQ46" i="13"/>
  <c r="BQ63" i="13"/>
  <c r="CB46" i="13"/>
  <c r="CB63" i="13"/>
  <c r="BU46" i="13"/>
  <c r="BO46" i="13"/>
  <c r="BO63" i="13"/>
  <c r="CC46" i="13"/>
  <c r="CC63" i="13"/>
  <c r="BX46" i="13"/>
  <c r="BX63" i="13"/>
  <c r="BK46" i="13"/>
  <c r="BK63" i="13"/>
  <c r="BZ46" i="13"/>
  <c r="BZ63" i="13"/>
  <c r="CD46" i="13"/>
  <c r="CD63" i="13"/>
  <c r="BI46" i="13"/>
  <c r="BI63" i="13"/>
  <c r="BB46" i="13"/>
  <c r="BB63" i="13"/>
  <c r="BC46" i="13"/>
  <c r="BC63" i="13"/>
  <c r="CF29" i="13"/>
  <c r="CD29" i="13"/>
  <c r="BF29" i="13"/>
  <c r="CA29" i="13"/>
  <c r="BR29" i="13"/>
  <c r="CE29" i="13"/>
  <c r="BM29" i="13"/>
  <c r="BK29" i="13"/>
  <c r="CB29" i="13"/>
  <c r="BL29" i="13"/>
  <c r="BV29" i="13"/>
  <c r="BX29" i="13"/>
  <c r="BJ29" i="13"/>
  <c r="BG29" i="13"/>
  <c r="CG29" i="13"/>
  <c r="BH29" i="13"/>
  <c r="BA29" i="13"/>
  <c r="BZ29" i="13"/>
  <c r="BT29" i="13"/>
  <c r="BE29" i="13"/>
  <c r="BW29" i="13"/>
  <c r="BO29" i="13"/>
  <c r="BQ29" i="13"/>
  <c r="CG4" i="13"/>
  <c r="CP4" i="13"/>
  <c r="CA4" i="13"/>
  <c r="CL4" i="13"/>
  <c r="BV4" i="13"/>
  <c r="CD4" i="13"/>
  <c r="CH4" i="13"/>
  <c r="E4" i="13"/>
  <c r="CQ4" i="13"/>
  <c r="CF4" i="13"/>
  <c r="CK4" i="13"/>
  <c r="BW4" i="13"/>
  <c r="CE4" i="13"/>
  <c r="CC4" i="13"/>
  <c r="CO4" i="13"/>
  <c r="BZ4" i="13"/>
  <c r="BX4" i="13"/>
  <c r="CJ4" i="13"/>
  <c r="CR4" i="13"/>
  <c r="CM4" i="13"/>
  <c r="CN4" i="13"/>
  <c r="CB4" i="13"/>
  <c r="CI4" i="13"/>
  <c r="BY4" i="13"/>
  <c r="AO26" i="13"/>
  <c r="Y26" i="13"/>
  <c r="O26" i="13"/>
  <c r="AD26" i="13"/>
  <c r="Z26" i="13"/>
  <c r="L26" i="13"/>
  <c r="AB26" i="13"/>
  <c r="P26" i="13"/>
  <c r="F26" i="13"/>
  <c r="AI26" i="13"/>
  <c r="AX26" i="13"/>
  <c r="AP26" i="13"/>
  <c r="W26" i="13"/>
  <c r="T26" i="13"/>
  <c r="AW26" i="13"/>
  <c r="I26" i="13"/>
  <c r="M26" i="13"/>
  <c r="AQ26" i="13"/>
  <c r="AK26" i="13"/>
  <c r="AJ26" i="13"/>
  <c r="AH26" i="13"/>
  <c r="AS26" i="13"/>
  <c r="X26" i="13"/>
  <c r="H26" i="13"/>
  <c r="S26" i="13"/>
  <c r="AV26" i="13"/>
  <c r="Q26" i="13"/>
  <c r="AR26" i="13"/>
  <c r="AF26" i="13"/>
  <c r="J26" i="13"/>
  <c r="AN26" i="13"/>
  <c r="U26" i="13"/>
  <c r="AZ26" i="13"/>
  <c r="AE26" i="13"/>
  <c r="AK43" i="13"/>
  <c r="AK60" i="13"/>
  <c r="AR60" i="13"/>
  <c r="AJ60" i="13"/>
  <c r="AY26" i="13"/>
  <c r="K26" i="13"/>
  <c r="N26" i="13"/>
  <c r="AM26" i="13"/>
  <c r="V26" i="13"/>
  <c r="AC26" i="13"/>
  <c r="AT26" i="13"/>
  <c r="AG26" i="13"/>
  <c r="R26" i="13"/>
  <c r="AU26" i="13"/>
  <c r="AV60" i="13"/>
  <c r="AA26" i="13"/>
  <c r="AL26" i="13"/>
  <c r="G26" i="13"/>
  <c r="V43" i="13"/>
  <c r="V60" i="13"/>
  <c r="AQ43" i="13"/>
  <c r="AQ60" i="13"/>
  <c r="AG43" i="13"/>
  <c r="AG60" i="13"/>
  <c r="AW43" i="13"/>
  <c r="AW60" i="13"/>
  <c r="Z43" i="13"/>
  <c r="Z60" i="13"/>
  <c r="AS43" i="13"/>
  <c r="AS60" i="13"/>
  <c r="AB43" i="13"/>
  <c r="AB60" i="13"/>
  <c r="AE43" i="13"/>
  <c r="AE60" i="13"/>
  <c r="AI43" i="13"/>
  <c r="AI60" i="13"/>
  <c r="T43" i="13"/>
  <c r="T60" i="13"/>
  <c r="S43" i="13"/>
  <c r="S60" i="13"/>
  <c r="U43" i="13"/>
  <c r="U60" i="13"/>
  <c r="AU43" i="13"/>
  <c r="AU60" i="13"/>
  <c r="AL43" i="13"/>
  <c r="AL60" i="13"/>
  <c r="AM43" i="13"/>
  <c r="AM60" i="13"/>
  <c r="AO43" i="13"/>
  <c r="AO60" i="13"/>
  <c r="X43" i="13"/>
  <c r="X60" i="13"/>
  <c r="CN39" i="13"/>
  <c r="CJ39" i="13"/>
  <c r="CD39" i="13"/>
  <c r="CK39" i="13"/>
  <c r="CI39" i="13"/>
  <c r="CG39" i="13"/>
  <c r="CF39" i="13"/>
  <c r="BY39" i="13"/>
  <c r="CE39" i="13"/>
  <c r="CP39" i="13"/>
  <c r="CA39" i="13"/>
  <c r="CB39" i="13"/>
  <c r="BV39" i="13"/>
  <c r="BX39" i="13"/>
  <c r="CH39" i="13"/>
  <c r="CR39" i="13"/>
  <c r="BW39" i="13"/>
  <c r="CC39" i="13"/>
  <c r="CL39" i="13"/>
  <c r="CQ39" i="13"/>
  <c r="CO39" i="13"/>
  <c r="CM39" i="13"/>
  <c r="BZ39" i="13"/>
  <c r="M40" i="13"/>
  <c r="W40" i="13"/>
  <c r="I40" i="13"/>
  <c r="AB40" i="13"/>
  <c r="K40" i="13"/>
  <c r="P40" i="13"/>
  <c r="T40" i="13"/>
  <c r="AC40" i="13"/>
  <c r="F40" i="13"/>
  <c r="G40" i="13"/>
  <c r="AA40" i="13"/>
  <c r="X40" i="13"/>
  <c r="S40" i="13"/>
  <c r="J40" i="13"/>
  <c r="U40" i="13"/>
  <c r="L40" i="13"/>
  <c r="O40" i="13"/>
  <c r="H40" i="13"/>
  <c r="Y40" i="13"/>
  <c r="N40" i="13"/>
  <c r="Z40" i="13"/>
  <c r="Q40" i="13"/>
  <c r="V40" i="13"/>
  <c r="R40" i="13"/>
  <c r="AD40" i="13"/>
  <c r="BJ47" i="13"/>
  <c r="BJ64" i="13"/>
  <c r="BM47" i="13"/>
  <c r="BM64" i="13"/>
  <c r="BC47" i="13"/>
  <c r="BC64" i="13"/>
  <c r="CC47" i="13"/>
  <c r="CC64" i="13"/>
  <c r="BX47" i="13"/>
  <c r="BX64" i="13"/>
  <c r="BA47" i="13"/>
  <c r="BA64" i="13"/>
  <c r="BZ47" i="13"/>
  <c r="BZ64" i="13"/>
  <c r="CD47" i="13"/>
  <c r="CD64" i="13"/>
  <c r="BO47" i="13"/>
  <c r="BO64" i="13"/>
  <c r="BK47" i="13"/>
  <c r="BK64" i="13"/>
  <c r="CB47" i="13"/>
  <c r="CB64" i="13"/>
  <c r="BT47" i="13"/>
  <c r="BT64" i="13"/>
  <c r="BV47" i="13"/>
  <c r="BV64" i="13"/>
  <c r="CF47" i="13"/>
  <c r="CF64" i="13"/>
  <c r="BR47" i="13"/>
  <c r="BR64" i="13"/>
  <c r="BW47" i="13"/>
  <c r="BW64" i="13"/>
  <c r="CG47" i="13"/>
  <c r="CG64" i="13"/>
  <c r="BP47" i="13"/>
  <c r="BP64" i="13"/>
  <c r="CA47" i="13"/>
  <c r="CA64" i="13"/>
  <c r="BL47" i="13"/>
  <c r="BL64" i="13"/>
  <c r="BU47" i="13"/>
  <c r="CE47" i="13"/>
  <c r="CE64" i="13"/>
  <c r="BE47" i="13"/>
  <c r="BE64" i="13"/>
  <c r="BI47" i="13"/>
  <c r="BI64" i="13"/>
  <c r="BY47" i="13"/>
  <c r="BY64" i="13"/>
  <c r="BD47" i="13"/>
  <c r="BD64" i="13"/>
  <c r="BN47" i="13"/>
  <c r="BN64" i="13"/>
  <c r="BG47" i="13"/>
  <c r="BG64" i="13"/>
  <c r="BF47" i="13"/>
  <c r="BF64" i="13"/>
  <c r="BH47" i="13"/>
  <c r="BH64" i="13"/>
  <c r="BS47" i="13"/>
  <c r="BS64" i="13"/>
  <c r="BQ47" i="13"/>
  <c r="BQ64" i="13"/>
  <c r="BB47" i="13"/>
  <c r="BB64" i="13"/>
  <c r="BL30" i="13"/>
  <c r="BU30" i="13"/>
  <c r="BF30" i="13"/>
  <c r="BX30" i="13"/>
  <c r="CF30" i="13"/>
  <c r="BT30" i="13"/>
  <c r="BZ30" i="13"/>
  <c r="BS30" i="13"/>
  <c r="BW30" i="13"/>
  <c r="BJ30" i="13"/>
  <c r="BB30" i="13"/>
  <c r="CD30" i="13"/>
  <c r="BP30" i="13"/>
  <c r="BH30" i="13"/>
  <c r="CE30" i="13"/>
  <c r="AD5" i="13"/>
  <c r="K5" i="13"/>
  <c r="K61" i="13"/>
  <c r="V5" i="13"/>
  <c r="Z5" i="13"/>
  <c r="G5" i="13"/>
  <c r="G61" i="13"/>
  <c r="Q5" i="13"/>
  <c r="Q61" i="13"/>
  <c r="X5" i="13"/>
  <c r="W5" i="13"/>
  <c r="U5" i="13"/>
  <c r="Y5" i="13"/>
  <c r="R5" i="13"/>
  <c r="R61" i="13"/>
  <c r="I5" i="13"/>
  <c r="I61" i="13"/>
  <c r="L5" i="13"/>
  <c r="L61" i="13"/>
  <c r="H5" i="13"/>
  <c r="H61" i="13"/>
  <c r="N5" i="13"/>
  <c r="N61" i="13"/>
  <c r="M5" i="13"/>
  <c r="M61" i="13"/>
  <c r="J5" i="13"/>
  <c r="J61" i="13"/>
  <c r="AA5" i="13"/>
  <c r="O5" i="13"/>
  <c r="O61" i="13"/>
  <c r="P5" i="13"/>
  <c r="P61" i="13"/>
  <c r="AB5" i="13"/>
  <c r="AC5" i="13"/>
  <c r="T5" i="13"/>
  <c r="F5" i="13"/>
  <c r="F61" i="13"/>
  <c r="S5" i="13"/>
  <c r="T11" i="13"/>
  <c r="I11" i="13"/>
  <c r="I67" i="13"/>
  <c r="V11" i="13"/>
  <c r="N11" i="13"/>
  <c r="N67" i="13"/>
  <c r="M11" i="13"/>
  <c r="M67" i="13"/>
  <c r="AC11" i="13"/>
  <c r="W11" i="13"/>
  <c r="G11" i="13"/>
  <c r="G67" i="13"/>
  <c r="Q11" i="13"/>
  <c r="Q67" i="13"/>
  <c r="AA11" i="13"/>
  <c r="O11" i="13"/>
  <c r="O67" i="13"/>
  <c r="Y11" i="13"/>
  <c r="S11" i="13"/>
  <c r="H11" i="13"/>
  <c r="H67" i="13"/>
  <c r="Z11" i="13"/>
  <c r="U11" i="13"/>
  <c r="L11" i="13"/>
  <c r="L67" i="13"/>
  <c r="AB11" i="13"/>
  <c r="P11" i="13"/>
  <c r="P67" i="13"/>
  <c r="K11" i="13"/>
  <c r="K67" i="13"/>
  <c r="J11" i="13"/>
  <c r="J67" i="13"/>
  <c r="F11" i="13"/>
  <c r="F67" i="13"/>
  <c r="R11" i="13"/>
  <c r="R67" i="13"/>
  <c r="AD11" i="13"/>
  <c r="CK6" i="13"/>
  <c r="CC6" i="13"/>
  <c r="CB6" i="13"/>
  <c r="BY6" i="13"/>
  <c r="CH6" i="13"/>
  <c r="CN6" i="13"/>
  <c r="CF6" i="13"/>
  <c r="BZ6" i="13"/>
  <c r="CP6" i="13"/>
  <c r="E6" i="13"/>
  <c r="CR6" i="13"/>
  <c r="CE6" i="13"/>
  <c r="CD6" i="13"/>
  <c r="CL6" i="13"/>
  <c r="BV6" i="13"/>
  <c r="CI6" i="13"/>
  <c r="CA6" i="13"/>
  <c r="CG6" i="13"/>
  <c r="CO6" i="13"/>
  <c r="CJ6" i="13"/>
  <c r="BW6" i="13"/>
  <c r="BX6" i="13"/>
  <c r="CQ6" i="13"/>
  <c r="CM6" i="13"/>
  <c r="BX14" i="13"/>
  <c r="E14" i="13"/>
  <c r="CR14" i="13"/>
  <c r="CK14" i="13"/>
  <c r="BZ14" i="13"/>
  <c r="BW14" i="13"/>
  <c r="CA14" i="13"/>
  <c r="CG14" i="13"/>
  <c r="CD14" i="13"/>
  <c r="CF14" i="13"/>
  <c r="CH14" i="13"/>
  <c r="CC14" i="13"/>
  <c r="CO14" i="13"/>
  <c r="CB14" i="13"/>
  <c r="CJ14" i="13"/>
  <c r="BV14" i="13"/>
  <c r="BY14" i="13"/>
  <c r="CQ14" i="13"/>
  <c r="CP14" i="13"/>
  <c r="CM14" i="13"/>
  <c r="CN14" i="13"/>
  <c r="CL14" i="13"/>
  <c r="CE14" i="13"/>
  <c r="CI14" i="13"/>
  <c r="AC8" i="13"/>
  <c r="X8" i="13"/>
  <c r="F8" i="13"/>
  <c r="F64" i="13"/>
  <c r="R8" i="13"/>
  <c r="R64" i="13"/>
  <c r="Q8" i="13"/>
  <c r="Q64" i="13"/>
  <c r="AD8" i="13"/>
  <c r="V8" i="13"/>
  <c r="Y8" i="13"/>
  <c r="Z8" i="13"/>
  <c r="H8" i="13"/>
  <c r="H64" i="13"/>
  <c r="O8" i="13"/>
  <c r="O64" i="13"/>
  <c r="P8" i="13"/>
  <c r="P64" i="13"/>
  <c r="S8" i="13"/>
  <c r="AB8" i="13"/>
  <c r="J8" i="13"/>
  <c r="J64" i="13"/>
  <c r="M8" i="13"/>
  <c r="M64" i="13"/>
  <c r="T8" i="13"/>
  <c r="G8" i="13"/>
  <c r="G64" i="13"/>
  <c r="I8" i="13"/>
  <c r="I64" i="13"/>
  <c r="L8" i="13"/>
  <c r="L64" i="13"/>
  <c r="K8" i="13"/>
  <c r="K64" i="13"/>
  <c r="N8" i="13"/>
  <c r="N64" i="13"/>
  <c r="B25" i="13"/>
  <c r="AU42" i="13"/>
  <c r="B3" i="13"/>
  <c r="CJ32" i="13"/>
  <c r="E10" i="13"/>
  <c r="CP28" i="13"/>
  <c r="CL31" i="13"/>
  <c r="E9" i="13"/>
  <c r="AO49" i="13"/>
  <c r="AO66" i="13"/>
  <c r="AH49" i="13"/>
  <c r="AH66" i="13"/>
  <c r="AQ49" i="13"/>
  <c r="AQ66" i="13"/>
  <c r="AW49" i="13"/>
  <c r="AW66" i="13"/>
  <c r="W49" i="13"/>
  <c r="W10" i="13"/>
  <c r="W66" i="13"/>
  <c r="AP49" i="13"/>
  <c r="AP66" i="13"/>
  <c r="V49" i="13"/>
  <c r="V10" i="13"/>
  <c r="V66" i="13"/>
  <c r="BN26" i="13"/>
  <c r="CE26" i="13"/>
  <c r="BE26" i="13"/>
  <c r="CG26" i="13"/>
  <c r="BN37" i="13"/>
  <c r="BV37" i="13"/>
  <c r="BX37" i="13"/>
  <c r="BM37" i="13"/>
  <c r="CA37" i="13"/>
  <c r="BN29" i="13"/>
  <c r="BB29" i="13"/>
  <c r="BS29" i="13"/>
  <c r="AO48" i="13"/>
  <c r="AO65" i="13"/>
  <c r="AP48" i="13"/>
  <c r="AP65" i="13"/>
  <c r="AX48" i="13"/>
  <c r="AX65" i="13"/>
  <c r="AB48" i="13"/>
  <c r="AB9" i="13"/>
  <c r="AB65" i="13"/>
  <c r="CE43" i="13"/>
  <c r="CE60" i="13"/>
  <c r="BG43" i="13"/>
  <c r="BG60" i="13"/>
  <c r="BW43" i="13"/>
  <c r="BW60" i="13"/>
  <c r="BZ43" i="13"/>
  <c r="BZ60" i="13"/>
  <c r="BU43" i="13"/>
  <c r="BT43" i="13"/>
  <c r="BT60" i="13"/>
  <c r="CB43" i="13"/>
  <c r="CB60" i="13"/>
  <c r="BI43" i="13"/>
  <c r="BI60" i="13"/>
  <c r="BR43" i="13"/>
  <c r="BR60" i="13"/>
  <c r="BL43" i="13"/>
  <c r="BL60" i="13"/>
  <c r="CC43" i="13"/>
  <c r="CC60" i="13"/>
  <c r="BS43" i="13"/>
  <c r="BS60" i="13"/>
  <c r="CA43" i="13"/>
  <c r="CA60" i="13"/>
  <c r="CG43" i="13"/>
  <c r="CG60" i="13"/>
  <c r="BE43" i="13"/>
  <c r="BE60" i="13"/>
  <c r="BY43" i="13"/>
  <c r="BY60" i="13"/>
  <c r="BO43" i="13"/>
  <c r="BO60" i="13"/>
  <c r="BV43" i="13"/>
  <c r="BV60" i="13"/>
  <c r="BB43" i="13"/>
  <c r="BB60" i="13"/>
  <c r="BA43" i="13"/>
  <c r="BA60" i="13"/>
  <c r="BM43" i="13"/>
  <c r="BM60" i="13"/>
  <c r="BJ43" i="13"/>
  <c r="BJ60" i="13"/>
  <c r="BX43" i="13"/>
  <c r="BX60" i="13"/>
  <c r="CD43" i="13"/>
  <c r="CD60" i="13"/>
  <c r="BF43" i="13"/>
  <c r="BF60" i="13"/>
  <c r="BH43" i="13"/>
  <c r="BH60" i="13"/>
  <c r="BD43" i="13"/>
  <c r="BD60" i="13"/>
  <c r="BN43" i="13"/>
  <c r="BN60" i="13"/>
  <c r="BC43" i="13"/>
  <c r="BC60" i="13"/>
  <c r="BQ43" i="13"/>
  <c r="BQ60" i="13"/>
  <c r="BK43" i="13"/>
  <c r="BK60" i="13"/>
  <c r="BP43" i="13"/>
  <c r="BP60" i="13"/>
  <c r="CF43" i="13"/>
  <c r="CF60" i="13"/>
  <c r="BK26" i="13"/>
  <c r="BA26" i="13"/>
  <c r="BI26" i="13"/>
  <c r="CC26" i="13"/>
  <c r="BL26" i="13"/>
  <c r="BW26" i="13"/>
  <c r="BS26" i="13"/>
  <c r="BC26" i="13"/>
  <c r="BQ26" i="13"/>
  <c r="CA26" i="13"/>
  <c r="CF26" i="13"/>
  <c r="BH26" i="13"/>
  <c r="BX26" i="13"/>
  <c r="BJ26" i="13"/>
  <c r="BP26" i="13"/>
  <c r="CM17" i="13"/>
  <c r="BX17" i="13"/>
  <c r="BY17" i="13"/>
  <c r="CI17" i="13"/>
  <c r="CB17" i="13"/>
  <c r="CO17" i="13"/>
  <c r="CF17" i="13"/>
  <c r="CQ17" i="13"/>
  <c r="CN17" i="13"/>
  <c r="CD17" i="13"/>
  <c r="CP17" i="13"/>
  <c r="CJ17" i="13"/>
  <c r="BZ17" i="13"/>
  <c r="CH17" i="13"/>
  <c r="CG17" i="13"/>
  <c r="CR17" i="13"/>
  <c r="CK17" i="13"/>
  <c r="BV17" i="13"/>
  <c r="CA17" i="13"/>
  <c r="BW17" i="13"/>
  <c r="CC17" i="13"/>
  <c r="CL17" i="13"/>
  <c r="CE17" i="13"/>
  <c r="CA5" i="13"/>
  <c r="BW5" i="13"/>
  <c r="CI5" i="13"/>
  <c r="CE5" i="13"/>
  <c r="CG5" i="13"/>
  <c r="CL5" i="13"/>
  <c r="CD5" i="13"/>
  <c r="BV5" i="13"/>
  <c r="E5" i="13"/>
  <c r="CR5" i="13"/>
  <c r="CK5" i="13"/>
  <c r="CN5" i="13"/>
  <c r="CB5" i="13"/>
  <c r="CF5" i="13"/>
  <c r="CH5" i="13"/>
  <c r="CC5" i="13"/>
  <c r="CO5" i="13"/>
  <c r="BZ5" i="13"/>
  <c r="CQ5" i="13"/>
  <c r="BY5" i="13"/>
  <c r="CP5" i="13"/>
  <c r="BX5" i="13"/>
  <c r="CM5" i="13"/>
  <c r="CJ5" i="13"/>
  <c r="CL11" i="13"/>
  <c r="CA11" i="13"/>
  <c r="BZ11" i="13"/>
  <c r="CD11" i="13"/>
  <c r="CB11" i="13"/>
  <c r="BX11" i="13"/>
  <c r="CO11" i="13"/>
  <c r="CG11" i="13"/>
  <c r="CN11" i="13"/>
  <c r="CC11" i="13"/>
  <c r="CJ11" i="13"/>
  <c r="CP11" i="13"/>
  <c r="E11" i="13"/>
  <c r="CR11" i="13"/>
  <c r="BY11" i="13"/>
  <c r="BW11" i="13"/>
  <c r="BV11" i="13"/>
  <c r="CQ11" i="13"/>
  <c r="CK11" i="13"/>
  <c r="CI11" i="13"/>
  <c r="CF11" i="13"/>
  <c r="CE11" i="13"/>
  <c r="CH11" i="13"/>
  <c r="CM11" i="13"/>
  <c r="H14" i="13"/>
  <c r="H70" i="13"/>
  <c r="N14" i="13"/>
  <c r="N70" i="13"/>
  <c r="Q14" i="13"/>
  <c r="Q70" i="13"/>
  <c r="F14" i="13"/>
  <c r="F70" i="13"/>
  <c r="M14" i="13"/>
  <c r="M70" i="13"/>
  <c r="X14" i="13"/>
  <c r="G14" i="13"/>
  <c r="G70" i="13"/>
  <c r="W14" i="13"/>
  <c r="AD14" i="13"/>
  <c r="T14" i="13"/>
  <c r="O14" i="13"/>
  <c r="O70" i="13"/>
  <c r="V14" i="13"/>
  <c r="L14" i="13"/>
  <c r="L70" i="13"/>
  <c r="P14" i="13"/>
  <c r="P70" i="13"/>
  <c r="Y14" i="13"/>
  <c r="K14" i="13"/>
  <c r="K70" i="13"/>
  <c r="U14" i="13"/>
  <c r="J14" i="13"/>
  <c r="J70" i="13"/>
  <c r="R14" i="13"/>
  <c r="R70" i="13"/>
  <c r="I14" i="13"/>
  <c r="I70" i="13"/>
  <c r="V32" i="13"/>
  <c r="AU32" i="13"/>
  <c r="M32" i="13"/>
  <c r="AY32" i="13"/>
  <c r="X32" i="13"/>
  <c r="R32" i="13"/>
  <c r="H32" i="13"/>
  <c r="K32" i="13"/>
  <c r="J32" i="13"/>
  <c r="AL32" i="13"/>
  <c r="N32" i="13"/>
  <c r="P32" i="13"/>
  <c r="F32" i="13"/>
  <c r="Z32" i="13"/>
  <c r="I32" i="13"/>
  <c r="O32" i="13"/>
  <c r="T10" i="13"/>
  <c r="T66" i="13"/>
  <c r="AC10" i="13"/>
  <c r="AC66" i="13"/>
  <c r="AQ32" i="13"/>
  <c r="AL49" i="13"/>
  <c r="AL66" i="13"/>
  <c r="AB32" i="13"/>
  <c r="T32" i="13"/>
  <c r="AE32" i="13"/>
  <c r="AA32" i="13"/>
  <c r="AV32" i="13"/>
  <c r="L32" i="13"/>
  <c r="AJ32" i="13"/>
  <c r="W32" i="13"/>
  <c r="AW32" i="13"/>
  <c r="U32" i="13"/>
  <c r="AN32" i="13"/>
  <c r="AX32" i="13"/>
  <c r="AO32" i="13"/>
  <c r="G32" i="13"/>
  <c r="S32" i="13"/>
  <c r="AS32" i="13"/>
  <c r="AH32" i="13"/>
  <c r="AF32" i="13"/>
  <c r="AZ32" i="13"/>
  <c r="AM32" i="13"/>
  <c r="AP32" i="13"/>
  <c r="Y32" i="13"/>
  <c r="AG32" i="13"/>
  <c r="AK32" i="13"/>
  <c r="AD32" i="13"/>
  <c r="Q32" i="13"/>
  <c r="AR32" i="13"/>
  <c r="AC32" i="13"/>
  <c r="AT32" i="13"/>
  <c r="AI32" i="13"/>
  <c r="Z49" i="13"/>
  <c r="Z10" i="13"/>
  <c r="Z66" i="13"/>
  <c r="AY49" i="13"/>
  <c r="AY66" i="13"/>
  <c r="AD49" i="13"/>
  <c r="C115" i="13"/>
  <c r="S49" i="13"/>
  <c r="S10" i="13"/>
  <c r="S66" i="13"/>
  <c r="AJ49" i="13"/>
  <c r="AJ66" i="13"/>
  <c r="AX49" i="13"/>
  <c r="AX66" i="13"/>
  <c r="AM49" i="13"/>
  <c r="AM66" i="13"/>
  <c r="AZ49" i="13"/>
  <c r="AZ66" i="13"/>
  <c r="AK49" i="13"/>
  <c r="AK66" i="13"/>
  <c r="AF49" i="13"/>
  <c r="AF66" i="13"/>
  <c r="AG49" i="13"/>
  <c r="AG66" i="13"/>
  <c r="Y49" i="13"/>
  <c r="Y10" i="13"/>
  <c r="Y66" i="13"/>
  <c r="AU49" i="13"/>
  <c r="AU66" i="13"/>
  <c r="AB49" i="13"/>
  <c r="AB10" i="13"/>
  <c r="AB66" i="13"/>
  <c r="U49" i="13"/>
  <c r="U10" i="13"/>
  <c r="U66" i="13"/>
  <c r="AN49" i="13"/>
  <c r="AN66" i="13"/>
  <c r="AT49" i="13"/>
  <c r="AT66" i="13"/>
  <c r="AS49" i="13"/>
  <c r="AS66" i="13"/>
  <c r="AI49" i="13"/>
  <c r="AI66" i="13"/>
  <c r="AE49" i="13"/>
  <c r="AE66" i="13"/>
  <c r="I93" i="9"/>
  <c r="CO15" i="13"/>
  <c r="CG15" i="13"/>
  <c r="CI15" i="13"/>
  <c r="CN15" i="13"/>
  <c r="CM15" i="13"/>
  <c r="E15" i="13"/>
  <c r="CQ15" i="13"/>
  <c r="BV15" i="13"/>
  <c r="CR15" i="13"/>
  <c r="CB15" i="13"/>
  <c r="CA15" i="13"/>
  <c r="BY15" i="13"/>
  <c r="CF15" i="13"/>
  <c r="CL15" i="13"/>
  <c r="CP15" i="13"/>
  <c r="BZ15" i="13"/>
  <c r="CK15" i="13"/>
  <c r="CC15" i="13"/>
  <c r="BX15" i="13"/>
  <c r="CE15" i="13"/>
  <c r="CD15" i="13"/>
  <c r="CH15" i="13"/>
  <c r="CJ15" i="13"/>
  <c r="BW15" i="13"/>
  <c r="L9" i="13"/>
  <c r="L65" i="13"/>
  <c r="I9" i="13"/>
  <c r="I65" i="13"/>
  <c r="P9" i="13"/>
  <c r="P65" i="13"/>
  <c r="R9" i="13"/>
  <c r="R65" i="13"/>
  <c r="AD9" i="13"/>
  <c r="J9" i="13"/>
  <c r="J65" i="13"/>
  <c r="F9" i="13"/>
  <c r="F65" i="13"/>
  <c r="G9" i="13"/>
  <c r="G65" i="13"/>
  <c r="AA9" i="13"/>
  <c r="K9" i="13"/>
  <c r="K65" i="13"/>
  <c r="H9" i="13"/>
  <c r="H65" i="13"/>
  <c r="N9" i="13"/>
  <c r="N65" i="13"/>
  <c r="Q9" i="13"/>
  <c r="Q65" i="13"/>
  <c r="O9" i="13"/>
  <c r="O65" i="13"/>
  <c r="M9" i="13"/>
  <c r="M65" i="13"/>
  <c r="B35" i="13"/>
  <c r="B13" i="13"/>
  <c r="BV7" i="13"/>
  <c r="BZ7" i="13"/>
  <c r="CO7" i="13"/>
  <c r="E7" i="13"/>
  <c r="CR7" i="13"/>
  <c r="CK7" i="13"/>
  <c r="CH7" i="13"/>
  <c r="CJ7" i="13"/>
  <c r="BW7" i="13"/>
  <c r="CI7" i="13"/>
  <c r="CA7" i="13"/>
  <c r="CL7" i="13"/>
  <c r="CM7" i="13"/>
  <c r="BX7" i="13"/>
  <c r="CE7" i="13"/>
  <c r="CQ7" i="13"/>
  <c r="CG7" i="13"/>
  <c r="CN7" i="13"/>
  <c r="CD7" i="13"/>
  <c r="CP7" i="13"/>
  <c r="CC7" i="13"/>
  <c r="BY7" i="13"/>
  <c r="CB7" i="13"/>
  <c r="CF7" i="13"/>
  <c r="CM18" i="13"/>
  <c r="CD18" i="13"/>
  <c r="BY18" i="13"/>
  <c r="CH18" i="13"/>
  <c r="CC18" i="13"/>
  <c r="CF18" i="13"/>
  <c r="CK18" i="13"/>
  <c r="CL18" i="13"/>
  <c r="CI18" i="13"/>
  <c r="CB18" i="13"/>
  <c r="CE18" i="13"/>
  <c r="E18" i="13"/>
  <c r="CR18" i="13"/>
  <c r="CN18" i="13"/>
  <c r="CP18" i="13"/>
  <c r="CJ18" i="13"/>
  <c r="BV18" i="13"/>
  <c r="CA18" i="13"/>
  <c r="CG18" i="13"/>
  <c r="BW18" i="13"/>
  <c r="CQ18" i="13"/>
  <c r="BX18" i="13"/>
  <c r="BZ18" i="13"/>
  <c r="CO18" i="13"/>
  <c r="BR26" i="13"/>
  <c r="BZ26" i="13"/>
  <c r="BT26" i="13"/>
  <c r="BG37" i="13"/>
  <c r="BO37" i="13"/>
  <c r="AY48" i="13"/>
  <c r="AY65" i="13"/>
  <c r="AA48" i="13"/>
  <c r="AA65" i="13"/>
  <c r="AR49" i="13"/>
  <c r="AR66" i="13"/>
  <c r="AV49" i="13"/>
  <c r="AV66" i="13"/>
  <c r="AA49" i="13"/>
  <c r="AA10" i="13"/>
  <c r="AA66" i="13"/>
  <c r="CD26" i="13"/>
  <c r="BO26" i="13"/>
  <c r="BM26" i="13"/>
  <c r="BB26" i="13"/>
  <c r="AF43" i="13"/>
  <c r="AF60" i="13"/>
  <c r="AP43" i="13"/>
  <c r="AP60" i="13"/>
  <c r="BF26" i="13"/>
  <c r="AH43" i="13"/>
  <c r="AH60" i="13"/>
  <c r="BM30" i="13"/>
  <c r="BI30" i="13"/>
  <c r="BS37" i="13"/>
  <c r="BB37" i="13"/>
  <c r="BF37" i="13"/>
  <c r="BU29" i="13"/>
  <c r="BI29" i="13"/>
  <c r="AS48" i="13"/>
  <c r="AS65" i="13"/>
  <c r="BK53" i="13"/>
  <c r="BK70" i="13"/>
  <c r="BV53" i="13"/>
  <c r="BV70" i="13"/>
  <c r="BP53" i="13"/>
  <c r="BP70" i="13"/>
  <c r="BI53" i="13"/>
  <c r="BI70" i="13"/>
  <c r="CB53" i="13"/>
  <c r="CB70" i="13"/>
  <c r="BT53" i="13"/>
  <c r="BT70" i="13"/>
  <c r="CE53" i="13"/>
  <c r="CE70" i="13"/>
  <c r="BC53" i="13"/>
  <c r="BC70" i="13"/>
  <c r="CC53" i="13"/>
  <c r="CC70" i="13"/>
  <c r="BL53" i="13"/>
  <c r="BL70" i="13"/>
  <c r="BG53" i="13"/>
  <c r="BG70" i="13"/>
  <c r="BN53" i="13"/>
  <c r="BN70" i="13"/>
  <c r="BS53" i="13"/>
  <c r="BS70" i="13"/>
  <c r="BH53" i="13"/>
  <c r="BH70" i="13"/>
  <c r="BX53" i="13"/>
  <c r="BX70" i="13"/>
  <c r="BJ53" i="13"/>
  <c r="BJ70" i="13"/>
  <c r="BW53" i="13"/>
  <c r="BW70" i="13"/>
  <c r="BF53" i="13"/>
  <c r="BF70" i="13"/>
  <c r="CD53" i="13"/>
  <c r="CD70" i="13"/>
  <c r="BZ53" i="13"/>
  <c r="BZ70" i="13"/>
  <c r="BM53" i="13"/>
  <c r="BM70" i="13"/>
  <c r="BE53" i="13"/>
  <c r="BE70" i="13"/>
  <c r="CA53" i="13"/>
  <c r="CA70" i="13"/>
  <c r="BR53" i="13"/>
  <c r="BR70" i="13"/>
  <c r="BA53" i="13"/>
  <c r="BA70" i="13"/>
  <c r="BY53" i="13"/>
  <c r="BY70" i="13"/>
  <c r="CG53" i="13"/>
  <c r="CG70" i="13"/>
  <c r="BQ53" i="13"/>
  <c r="BQ70" i="13"/>
  <c r="CF53" i="13"/>
  <c r="CF70" i="13"/>
  <c r="BO53" i="13"/>
  <c r="BO70" i="13"/>
  <c r="BU53" i="13"/>
  <c r="BB53" i="13"/>
  <c r="BB70" i="13"/>
  <c r="BD53" i="13"/>
  <c r="BD70" i="13"/>
  <c r="CF25" i="13"/>
  <c r="D3" i="13"/>
  <c r="BN25" i="13"/>
  <c r="BJ25" i="13"/>
  <c r="BY25" i="13"/>
  <c r="BA25" i="13"/>
  <c r="BT25" i="13"/>
  <c r="CD25" i="13"/>
  <c r="BV25" i="13"/>
  <c r="BD25" i="13"/>
  <c r="CE25" i="13"/>
  <c r="CA25" i="13"/>
  <c r="BR25" i="13"/>
  <c r="BF25" i="13"/>
  <c r="BB25" i="13"/>
  <c r="S42" i="13"/>
  <c r="CG25" i="13"/>
  <c r="BS25" i="13"/>
  <c r="U42" i="13"/>
  <c r="BO25" i="13"/>
  <c r="BI25" i="13"/>
  <c r="AF42" i="13"/>
  <c r="BG25" i="13"/>
  <c r="BU25" i="13"/>
  <c r="BQ25" i="13"/>
  <c r="BW25" i="13"/>
  <c r="BX25" i="13"/>
  <c r="BP25" i="13"/>
  <c r="CC25" i="13"/>
  <c r="BK25" i="13"/>
  <c r="BZ25" i="13"/>
  <c r="BH25" i="13"/>
  <c r="I94" i="9"/>
  <c r="R17" i="13"/>
  <c r="Z17" i="13"/>
  <c r="W17" i="13"/>
  <c r="H17" i="13"/>
  <c r="I17" i="13"/>
  <c r="T17" i="13"/>
  <c r="O17" i="13"/>
  <c r="AB17" i="13"/>
  <c r="V17" i="13"/>
  <c r="L17" i="13"/>
  <c r="J17" i="13"/>
  <c r="AD17" i="13"/>
  <c r="Q17" i="13"/>
  <c r="P17" i="13"/>
  <c r="K17" i="13"/>
  <c r="AA17" i="13"/>
  <c r="M17" i="13"/>
  <c r="Y17" i="13"/>
  <c r="X17" i="13"/>
  <c r="AC17" i="13"/>
  <c r="N17" i="13"/>
  <c r="F17" i="13"/>
  <c r="G17" i="13"/>
  <c r="S17" i="13"/>
  <c r="U17" i="13"/>
  <c r="BO13" i="13"/>
  <c r="AW13" i="13"/>
  <c r="BK13" i="13"/>
  <c r="BD13" i="13"/>
  <c r="AN13" i="13"/>
  <c r="AE13" i="13"/>
  <c r="BP13" i="13"/>
  <c r="BJ13" i="13"/>
  <c r="BE13" i="13"/>
  <c r="AL13" i="13"/>
  <c r="BM13" i="13"/>
  <c r="AU13" i="13"/>
  <c r="BN13" i="13"/>
  <c r="AT13" i="13"/>
  <c r="BR13" i="13"/>
  <c r="AQ13" i="13"/>
  <c r="AH13" i="13"/>
  <c r="AI13" i="13"/>
  <c r="AY13" i="13"/>
  <c r="BQ13" i="13"/>
  <c r="AZ13" i="13"/>
  <c r="AM13" i="13"/>
  <c r="AG13" i="13"/>
  <c r="BC13" i="13"/>
  <c r="AF13" i="13"/>
  <c r="BI13" i="13"/>
  <c r="AO13" i="13"/>
  <c r="BU13" i="13"/>
  <c r="AJ13" i="13"/>
  <c r="AP13" i="13"/>
  <c r="AS13" i="13"/>
  <c r="BG13" i="13"/>
  <c r="BF13" i="13"/>
  <c r="AK13" i="13"/>
  <c r="AR13" i="13"/>
  <c r="BL13" i="13"/>
  <c r="BT13" i="13"/>
  <c r="AV13" i="13"/>
  <c r="BS13" i="13"/>
  <c r="BB13" i="13"/>
  <c r="AX13" i="13"/>
  <c r="BA13" i="13"/>
  <c r="BH13" i="13"/>
  <c r="H12" i="13"/>
  <c r="H68" i="13"/>
  <c r="N12" i="13"/>
  <c r="N68" i="13"/>
  <c r="R12" i="13"/>
  <c r="R68" i="13"/>
  <c r="I12" i="13"/>
  <c r="I68" i="13"/>
  <c r="P12" i="13"/>
  <c r="P68" i="13"/>
  <c r="V12" i="13"/>
  <c r="AD12" i="13"/>
  <c r="L12" i="13"/>
  <c r="L68" i="13"/>
  <c r="U12" i="13"/>
  <c r="S12" i="13"/>
  <c r="O12" i="13"/>
  <c r="O68" i="13"/>
  <c r="AB12" i="13"/>
  <c r="G12" i="13"/>
  <c r="G68" i="13"/>
  <c r="AA12" i="13"/>
  <c r="K12" i="13"/>
  <c r="K68" i="13"/>
  <c r="Z12" i="13"/>
  <c r="AC12" i="13"/>
  <c r="Q12" i="13"/>
  <c r="Q68" i="13"/>
  <c r="J12" i="13"/>
  <c r="J68" i="13"/>
  <c r="M12" i="13"/>
  <c r="M68" i="13"/>
  <c r="F12" i="13"/>
  <c r="F68" i="13"/>
  <c r="CF51" i="13"/>
  <c r="CF68" i="13"/>
  <c r="BN51" i="13"/>
  <c r="BN68" i="13"/>
  <c r="BX51" i="13"/>
  <c r="BX68" i="13"/>
  <c r="BJ51" i="13"/>
  <c r="BJ68" i="13"/>
  <c r="BW51" i="13"/>
  <c r="BW68" i="13"/>
  <c r="BV51" i="13"/>
  <c r="BV68" i="13"/>
  <c r="BO51" i="13"/>
  <c r="BO68" i="13"/>
  <c r="BD51" i="13"/>
  <c r="BD68" i="13"/>
  <c r="BZ51" i="13"/>
  <c r="BZ68" i="13"/>
  <c r="BE51" i="13"/>
  <c r="BE68" i="13"/>
  <c r="BR51" i="13"/>
  <c r="BR68" i="13"/>
  <c r="CE51" i="13"/>
  <c r="CE68" i="13"/>
  <c r="BS51" i="13"/>
  <c r="BS68" i="13"/>
  <c r="BP51" i="13"/>
  <c r="BP68" i="13"/>
  <c r="BG51" i="13"/>
  <c r="BG68" i="13"/>
  <c r="BM51" i="13"/>
  <c r="BM68" i="13"/>
  <c r="BY51" i="13"/>
  <c r="BY68" i="13"/>
  <c r="CG51" i="13"/>
  <c r="CG68" i="13"/>
  <c r="BU51" i="13"/>
  <c r="BC51" i="13"/>
  <c r="BC68" i="13"/>
  <c r="BT51" i="13"/>
  <c r="BT68" i="13"/>
  <c r="CB51" i="13"/>
  <c r="CB68" i="13"/>
  <c r="BQ51" i="13"/>
  <c r="BQ68" i="13"/>
  <c r="CD51" i="13"/>
  <c r="CD68" i="13"/>
  <c r="BF51" i="13"/>
  <c r="BF68" i="13"/>
  <c r="CC51" i="13"/>
  <c r="CC68" i="13"/>
  <c r="BH51" i="13"/>
  <c r="BH68" i="13"/>
  <c r="BL51" i="13"/>
  <c r="BL68" i="13"/>
  <c r="BI51" i="13"/>
  <c r="BI68" i="13"/>
  <c r="BA51" i="13"/>
  <c r="BA68" i="13"/>
  <c r="CA51" i="13"/>
  <c r="CA68" i="13"/>
  <c r="BK51" i="13"/>
  <c r="BK68" i="13"/>
  <c r="BB51" i="13"/>
  <c r="BB68" i="13"/>
  <c r="N28" i="13"/>
  <c r="I28" i="13"/>
  <c r="R28" i="13"/>
  <c r="P28" i="13"/>
  <c r="L28" i="13"/>
  <c r="J28" i="13"/>
  <c r="F28" i="13"/>
  <c r="O28" i="13"/>
  <c r="M28" i="13"/>
  <c r="Q28" i="13"/>
  <c r="AM28" i="13"/>
  <c r="AG28" i="13"/>
  <c r="AN28" i="13"/>
  <c r="AO28" i="13"/>
  <c r="V28" i="13"/>
  <c r="AS28" i="13"/>
  <c r="AQ62" i="13"/>
  <c r="AP62" i="13"/>
  <c r="AU62" i="13"/>
  <c r="AW28" i="13"/>
  <c r="K28" i="13"/>
  <c r="U28" i="13"/>
  <c r="T28" i="13"/>
  <c r="AR28" i="13"/>
  <c r="Y28" i="13"/>
  <c r="AY28" i="13"/>
  <c r="AJ28" i="13"/>
  <c r="AV62" i="13"/>
  <c r="AP28" i="13"/>
  <c r="AH28" i="13"/>
  <c r="H28" i="13"/>
  <c r="Z28" i="13"/>
  <c r="AV28" i="13"/>
  <c r="AE28" i="13"/>
  <c r="AL62" i="13"/>
  <c r="G28" i="13"/>
  <c r="AI28" i="13"/>
  <c r="AF28" i="13"/>
  <c r="AC28" i="13"/>
  <c r="AT28" i="13"/>
  <c r="X28" i="13"/>
  <c r="AR62" i="13"/>
  <c r="AX28" i="13"/>
  <c r="Y6" i="13"/>
  <c r="Y62" i="13"/>
  <c r="AL28" i="13"/>
  <c r="AK28" i="13"/>
  <c r="AU28" i="13"/>
  <c r="AA28" i="13"/>
  <c r="AD28" i="13"/>
  <c r="S28" i="13"/>
  <c r="AQ28" i="13"/>
  <c r="AB28" i="13"/>
  <c r="W28" i="13"/>
  <c r="AJ62" i="13"/>
  <c r="AZ28" i="13"/>
  <c r="I70" i="12"/>
  <c r="I76" i="12"/>
  <c r="BI44" i="13"/>
  <c r="BI61" i="13"/>
  <c r="BR44" i="13"/>
  <c r="BR61" i="13"/>
  <c r="BB44" i="13"/>
  <c r="BB61" i="13"/>
  <c r="CA44" i="13"/>
  <c r="CA61" i="13"/>
  <c r="CE44" i="13"/>
  <c r="CE61" i="13"/>
  <c r="BA44" i="13"/>
  <c r="BA61" i="13"/>
  <c r="CG44" i="13"/>
  <c r="CG61" i="13"/>
  <c r="BM44" i="13"/>
  <c r="BM61" i="13"/>
  <c r="BX44" i="13"/>
  <c r="BX61" i="13"/>
  <c r="BN44" i="13"/>
  <c r="BN61" i="13"/>
  <c r="CF44" i="13"/>
  <c r="CF61" i="13"/>
  <c r="CC44" i="13"/>
  <c r="CC61" i="13"/>
  <c r="BT44" i="13"/>
  <c r="BT61" i="13"/>
  <c r="BD44" i="13"/>
  <c r="BD61" i="13"/>
  <c r="BO44" i="13"/>
  <c r="BO61" i="13"/>
  <c r="BW44" i="13"/>
  <c r="BW61" i="13"/>
  <c r="BZ44" i="13"/>
  <c r="BZ61" i="13"/>
  <c r="BG44" i="13"/>
  <c r="BG61" i="13"/>
  <c r="BJ44" i="13"/>
  <c r="BJ61" i="13"/>
  <c r="BV44" i="13"/>
  <c r="BV61" i="13"/>
  <c r="BF44" i="13"/>
  <c r="BF61" i="13"/>
  <c r="BP44" i="13"/>
  <c r="BP61" i="13"/>
  <c r="BU44" i="13"/>
  <c r="BQ44" i="13"/>
  <c r="BQ61" i="13"/>
  <c r="BY44" i="13"/>
  <c r="BY61" i="13"/>
  <c r="BH44" i="13"/>
  <c r="BH61" i="13"/>
  <c r="BS44" i="13"/>
  <c r="BS61" i="13"/>
  <c r="BK44" i="13"/>
  <c r="BK61" i="13"/>
  <c r="BC44" i="13"/>
  <c r="BC61" i="13"/>
  <c r="BE44" i="13"/>
  <c r="BE61" i="13"/>
  <c r="BL44" i="13"/>
  <c r="BL61" i="13"/>
  <c r="CD44" i="13"/>
  <c r="CD61" i="13"/>
  <c r="CB44" i="13"/>
  <c r="CB61" i="13"/>
  <c r="BZ50" i="13"/>
  <c r="BZ67" i="13"/>
  <c r="BB50" i="13"/>
  <c r="BB67" i="13"/>
  <c r="CG50" i="13"/>
  <c r="CG67" i="13"/>
  <c r="BF50" i="13"/>
  <c r="BF67" i="13"/>
  <c r="CE50" i="13"/>
  <c r="CE67" i="13"/>
  <c r="BA50" i="13"/>
  <c r="BA67" i="13"/>
  <c r="BQ50" i="13"/>
  <c r="BQ67" i="13"/>
  <c r="BV50" i="13"/>
  <c r="BV67" i="13"/>
  <c r="BP50" i="13"/>
  <c r="BP67" i="13"/>
  <c r="BL50" i="13"/>
  <c r="BL67" i="13"/>
  <c r="BI50" i="13"/>
  <c r="BI67" i="13"/>
  <c r="BM50" i="13"/>
  <c r="BM67" i="13"/>
  <c r="BY50" i="13"/>
  <c r="BY67" i="13"/>
  <c r="BN50" i="13"/>
  <c r="BN67" i="13"/>
  <c r="BG50" i="13"/>
  <c r="BG67" i="13"/>
  <c r="BU50" i="13"/>
  <c r="BR50" i="13"/>
  <c r="BR67" i="13"/>
  <c r="CA50" i="13"/>
  <c r="CA67" i="13"/>
  <c r="BT50" i="13"/>
  <c r="BT67" i="13"/>
  <c r="BJ50" i="13"/>
  <c r="BJ67" i="13"/>
  <c r="BO50" i="13"/>
  <c r="BO67" i="13"/>
  <c r="CB50" i="13"/>
  <c r="CB67" i="13"/>
  <c r="BD50" i="13"/>
  <c r="BD67" i="13"/>
  <c r="BE50" i="13"/>
  <c r="BE67" i="13"/>
  <c r="CF50" i="13"/>
  <c r="CF67" i="13"/>
  <c r="BC50" i="13"/>
  <c r="BC67" i="13"/>
  <c r="BW50" i="13"/>
  <c r="BW67" i="13"/>
  <c r="BK50" i="13"/>
  <c r="BK67" i="13"/>
  <c r="BH50" i="13"/>
  <c r="BH67" i="13"/>
  <c r="BS50" i="13"/>
  <c r="BS67" i="13"/>
  <c r="CC50" i="13"/>
  <c r="CC67" i="13"/>
  <c r="BX50" i="13"/>
  <c r="BX67" i="13"/>
  <c r="CD50" i="13"/>
  <c r="CD67" i="13"/>
  <c r="K36" i="13"/>
  <c r="N36" i="13"/>
  <c r="H36" i="13"/>
  <c r="P36" i="13"/>
  <c r="O36" i="13"/>
  <c r="Q36" i="13"/>
  <c r="I36" i="13"/>
  <c r="M36" i="13"/>
  <c r="R36" i="13"/>
  <c r="J36" i="13"/>
  <c r="G36" i="13"/>
  <c r="AS36" i="13"/>
  <c r="AN36" i="13"/>
  <c r="AY36" i="13"/>
  <c r="U36" i="13"/>
  <c r="AH36" i="13"/>
  <c r="X70" i="13"/>
  <c r="AO36" i="13"/>
  <c r="Y36" i="13"/>
  <c r="AV70" i="13"/>
  <c r="AP36" i="13"/>
  <c r="F36" i="13"/>
  <c r="AH70" i="13"/>
  <c r="X36" i="13"/>
  <c r="AL36" i="13"/>
  <c r="AK36" i="13"/>
  <c r="AD36" i="13"/>
  <c r="AX36" i="13"/>
  <c r="AA36" i="13"/>
  <c r="AG36" i="13"/>
  <c r="S36" i="13"/>
  <c r="T36" i="13"/>
  <c r="V36" i="13"/>
  <c r="AU36" i="13"/>
  <c r="AR36" i="13"/>
  <c r="AQ36" i="13"/>
  <c r="AJ36" i="13"/>
  <c r="AW36" i="13"/>
  <c r="AB36" i="13"/>
  <c r="AV36" i="13"/>
  <c r="AC36" i="13"/>
  <c r="AZ36" i="13"/>
  <c r="AF36" i="13"/>
  <c r="Z36" i="13"/>
  <c r="AI36" i="13"/>
  <c r="AF70" i="13"/>
  <c r="AT36" i="13"/>
  <c r="W36" i="13"/>
  <c r="AE36" i="13"/>
  <c r="L36" i="13"/>
  <c r="AM36" i="13"/>
  <c r="AM70" i="13"/>
  <c r="AD70" i="13"/>
  <c r="K10" i="13"/>
  <c r="K66" i="13"/>
  <c r="L10" i="13"/>
  <c r="L66" i="13"/>
  <c r="J10" i="13"/>
  <c r="J66" i="13"/>
  <c r="P10" i="13"/>
  <c r="P66" i="13"/>
  <c r="AD10" i="13"/>
  <c r="G10" i="13"/>
  <c r="G66" i="13"/>
  <c r="I10" i="13"/>
  <c r="I66" i="13"/>
  <c r="O10" i="13"/>
  <c r="O66" i="13"/>
  <c r="M10" i="13"/>
  <c r="M66" i="13"/>
  <c r="N10" i="13"/>
  <c r="N66" i="13"/>
  <c r="R10" i="13"/>
  <c r="R66" i="13"/>
  <c r="F10" i="13"/>
  <c r="F66" i="13"/>
  <c r="Q10" i="13"/>
  <c r="Q66" i="13"/>
  <c r="H10" i="13"/>
  <c r="H66" i="13"/>
  <c r="BX48" i="13"/>
  <c r="BX65" i="13"/>
  <c r="CU31" i="13"/>
  <c r="CM31" i="13"/>
  <c r="BA48" i="13"/>
  <c r="BA65" i="13"/>
  <c r="CC48" i="13"/>
  <c r="CC65" i="13"/>
  <c r="BT48" i="13"/>
  <c r="BT65" i="13"/>
  <c r="CD48" i="13"/>
  <c r="CD65" i="13"/>
  <c r="BJ48" i="13"/>
  <c r="BJ65" i="13"/>
  <c r="BQ48" i="13"/>
  <c r="BQ65" i="13"/>
  <c r="BI48" i="13"/>
  <c r="BI65" i="13"/>
  <c r="BZ48" i="13"/>
  <c r="BZ65" i="13"/>
  <c r="BK48" i="13"/>
  <c r="BK65" i="13"/>
  <c r="BV48" i="13"/>
  <c r="BV65" i="13"/>
  <c r="BG48" i="13"/>
  <c r="BG65" i="13"/>
  <c r="BF48" i="13"/>
  <c r="BF65" i="13"/>
  <c r="CE48" i="13"/>
  <c r="CE65" i="13"/>
  <c r="CO31" i="13"/>
  <c r="CA48" i="13"/>
  <c r="CA65" i="13"/>
  <c r="BM48" i="13"/>
  <c r="BM65" i="13"/>
  <c r="BD48" i="13"/>
  <c r="BD65" i="13"/>
  <c r="BW48" i="13"/>
  <c r="BW65" i="13"/>
  <c r="BL48" i="13"/>
  <c r="BL65" i="13"/>
  <c r="BY48" i="13"/>
  <c r="BY65" i="13"/>
  <c r="CK31" i="13"/>
  <c r="BR48" i="13"/>
  <c r="BR65" i="13"/>
  <c r="BN48" i="13"/>
  <c r="BN65" i="13"/>
  <c r="BS48" i="13"/>
  <c r="BS65" i="13"/>
  <c r="BP48" i="13"/>
  <c r="BP65" i="13"/>
  <c r="BB48" i="13"/>
  <c r="BB65" i="13"/>
  <c r="CB48" i="13"/>
  <c r="CB65" i="13"/>
  <c r="CF48" i="13"/>
  <c r="CF65" i="13"/>
  <c r="CW31" i="13"/>
  <c r="BO48" i="13"/>
  <c r="BO65" i="13"/>
  <c r="BC48" i="13"/>
  <c r="BC65" i="13"/>
  <c r="BH48" i="13"/>
  <c r="BH65" i="13"/>
  <c r="BE48" i="13"/>
  <c r="BE65" i="13"/>
  <c r="BU48" i="13"/>
  <c r="CG48" i="13"/>
  <c r="CG65" i="13"/>
  <c r="CM10" i="13"/>
  <c r="CD10" i="13"/>
  <c r="CQ10" i="13"/>
  <c r="CC10" i="13"/>
  <c r="CB10" i="13"/>
  <c r="CO10" i="13"/>
  <c r="CA10" i="13"/>
  <c r="CG10" i="13"/>
  <c r="CL10" i="13"/>
  <c r="CR10" i="13"/>
  <c r="CE10" i="13"/>
  <c r="BX10" i="13"/>
  <c r="CF10" i="13"/>
  <c r="CI10" i="13"/>
  <c r="BW10" i="13"/>
  <c r="BY10" i="13"/>
  <c r="CJ10" i="13"/>
  <c r="CN10" i="13"/>
  <c r="CH10" i="13"/>
  <c r="BV10" i="13"/>
  <c r="CP10" i="13"/>
  <c r="BZ10" i="13"/>
  <c r="CK10" i="13"/>
  <c r="W15" i="13"/>
  <c r="Q15" i="13"/>
  <c r="Q71" i="13"/>
  <c r="AD15" i="13"/>
  <c r="J15" i="13"/>
  <c r="J71" i="13"/>
  <c r="K15" i="13"/>
  <c r="K71" i="13"/>
  <c r="I15" i="13"/>
  <c r="I71" i="13"/>
  <c r="M15" i="13"/>
  <c r="M71" i="13"/>
  <c r="N15" i="13"/>
  <c r="N71" i="13"/>
  <c r="F15" i="13"/>
  <c r="F71" i="13"/>
  <c r="P15" i="13"/>
  <c r="P71" i="13"/>
  <c r="AC15" i="13"/>
  <c r="O15" i="13"/>
  <c r="O71" i="13"/>
  <c r="L15" i="13"/>
  <c r="L71" i="13"/>
  <c r="G15" i="13"/>
  <c r="G71" i="13"/>
  <c r="V15" i="13"/>
  <c r="S15" i="13"/>
  <c r="R15" i="13"/>
  <c r="R71" i="13"/>
  <c r="AA15" i="13"/>
  <c r="H15" i="13"/>
  <c r="H71" i="13"/>
  <c r="CI33" i="13"/>
  <c r="CM27" i="13"/>
  <c r="E8" i="13"/>
  <c r="CO30" i="13"/>
  <c r="T7" i="13"/>
  <c r="W7" i="13"/>
  <c r="P7" i="13"/>
  <c r="P63" i="13"/>
  <c r="O7" i="13"/>
  <c r="O63" i="13"/>
  <c r="U7" i="13"/>
  <c r="AD7" i="13"/>
  <c r="AC7" i="13"/>
  <c r="V7" i="13"/>
  <c r="L7" i="13"/>
  <c r="L63" i="13"/>
  <c r="N7" i="13"/>
  <c r="N63" i="13"/>
  <c r="F7" i="13"/>
  <c r="F63" i="13"/>
  <c r="Y7" i="13"/>
  <c r="R7" i="13"/>
  <c r="R63" i="13"/>
  <c r="Q7" i="13"/>
  <c r="Q63" i="13"/>
  <c r="AA7" i="13"/>
  <c r="AB7" i="13"/>
  <c r="Z7" i="13"/>
  <c r="X7" i="13"/>
  <c r="J7" i="13"/>
  <c r="J63" i="13"/>
  <c r="G7" i="13"/>
  <c r="G63" i="13"/>
  <c r="K7" i="13"/>
  <c r="K63" i="13"/>
  <c r="H7" i="13"/>
  <c r="H63" i="13"/>
  <c r="M7" i="13"/>
  <c r="M63" i="13"/>
  <c r="I7" i="13"/>
  <c r="I63" i="13"/>
  <c r="S7" i="13"/>
  <c r="BS36" i="13"/>
  <c r="BT36" i="13"/>
  <c r="BJ36" i="13"/>
  <c r="BN28" i="13"/>
  <c r="CG28" i="13"/>
  <c r="CD28" i="13"/>
  <c r="BR28" i="13"/>
  <c r="BB28" i="13"/>
  <c r="BG28" i="13"/>
  <c r="BK28" i="13"/>
  <c r="AI47" i="13"/>
  <c r="AI64" i="13"/>
  <c r="AE47" i="13"/>
  <c r="AE64" i="13"/>
  <c r="X47" i="13"/>
  <c r="X64" i="13"/>
  <c r="AW47" i="13"/>
  <c r="AW64" i="13"/>
  <c r="T47" i="13"/>
  <c r="T64" i="13"/>
  <c r="AL47" i="13"/>
  <c r="AL64" i="13"/>
  <c r="Z47" i="13"/>
  <c r="Z64" i="13"/>
  <c r="AM47" i="13"/>
  <c r="AM64" i="13"/>
  <c r="AD47" i="13"/>
  <c r="C113" i="13"/>
  <c r="AG51" i="13"/>
  <c r="AG68" i="13"/>
  <c r="U51" i="13"/>
  <c r="V51" i="13"/>
  <c r="V68" i="13"/>
  <c r="AC51" i="13"/>
  <c r="AC68" i="13"/>
  <c r="AQ51" i="13"/>
  <c r="AQ68" i="13"/>
  <c r="AW51" i="13"/>
  <c r="AW68" i="13"/>
  <c r="BH33" i="13"/>
  <c r="BN33" i="13"/>
  <c r="BS33" i="13"/>
  <c r="AS50" i="13"/>
  <c r="AS67" i="13"/>
  <c r="Y50" i="13"/>
  <c r="Y67" i="13"/>
  <c r="BF33" i="13"/>
  <c r="CC33" i="13"/>
  <c r="AN50" i="13"/>
  <c r="AN67" i="13"/>
  <c r="S50" i="13"/>
  <c r="T50" i="13"/>
  <c r="BK33" i="13"/>
  <c r="AK50" i="13"/>
  <c r="AK67" i="13"/>
  <c r="BV33" i="13"/>
  <c r="AP50" i="13"/>
  <c r="BL33" i="13"/>
  <c r="BX36" i="13"/>
  <c r="BP36" i="13"/>
  <c r="AO53" i="13"/>
  <c r="AO70" i="13"/>
  <c r="AZ53" i="13"/>
  <c r="AZ70" i="13"/>
  <c r="BU36" i="13"/>
  <c r="AX53" i="13"/>
  <c r="AX70" i="13"/>
  <c r="CG36" i="13"/>
  <c r="AJ53" i="13"/>
  <c r="AJ70" i="13"/>
  <c r="BM36" i="13"/>
  <c r="BA36" i="13"/>
  <c r="AI53" i="13"/>
  <c r="AI70" i="13"/>
  <c r="AY53" i="13"/>
  <c r="AY70" i="13"/>
  <c r="W53" i="13"/>
  <c r="W70" i="13"/>
  <c r="V53" i="13"/>
  <c r="V70" i="13"/>
  <c r="CA36" i="13"/>
  <c r="BK36" i="13"/>
  <c r="AE53" i="13"/>
  <c r="AE70" i="13"/>
  <c r="BI36" i="13"/>
  <c r="CF31" i="13"/>
  <c r="BO31" i="13"/>
  <c r="CE31" i="13"/>
  <c r="CD31" i="13"/>
  <c r="CB31" i="13"/>
  <c r="BN31" i="13"/>
  <c r="BT31" i="13"/>
  <c r="BP31" i="13"/>
  <c r="AF45" i="13"/>
  <c r="AF62" i="13"/>
  <c r="AK45" i="13"/>
  <c r="AK62" i="13"/>
  <c r="AM45" i="13"/>
  <c r="AM62" i="13"/>
  <c r="AY45" i="13"/>
  <c r="AY62" i="13"/>
  <c r="U45" i="13"/>
  <c r="U6" i="13"/>
  <c r="U62" i="13"/>
  <c r="BC28" i="13"/>
  <c r="CC28" i="13"/>
  <c r="W45" i="13"/>
  <c r="W6" i="13"/>
  <c r="W62" i="13"/>
  <c r="AI45" i="13"/>
  <c r="AI62" i="13"/>
  <c r="AW45" i="13"/>
  <c r="AW62" i="13"/>
  <c r="BJ28" i="13"/>
  <c r="S45" i="13"/>
  <c r="S6" i="13"/>
  <c r="S62" i="13"/>
  <c r="AA45" i="13"/>
  <c r="AA6" i="13"/>
  <c r="AA62" i="13"/>
  <c r="BQ28" i="13"/>
  <c r="CO28" i="13"/>
  <c r="BI45" i="13"/>
  <c r="BI62" i="13"/>
  <c r="CC45" i="13"/>
  <c r="CC62" i="13"/>
  <c r="BM45" i="13"/>
  <c r="BM62" i="13"/>
  <c r="BV45" i="13"/>
  <c r="BV62" i="13"/>
  <c r="BW45" i="13"/>
  <c r="BW62" i="13"/>
  <c r="BE45" i="13"/>
  <c r="BE62" i="13"/>
  <c r="BN45" i="13"/>
  <c r="BN62" i="13"/>
  <c r="BX45" i="13"/>
  <c r="BX62" i="13"/>
  <c r="BB45" i="13"/>
  <c r="BB62" i="13"/>
  <c r="BH45" i="13"/>
  <c r="BH62" i="13"/>
  <c r="BP45" i="13"/>
  <c r="BP62" i="13"/>
  <c r="BK45" i="13"/>
  <c r="BK62" i="13"/>
  <c r="BL45" i="13"/>
  <c r="BL62" i="13"/>
  <c r="BZ45" i="13"/>
  <c r="BZ62" i="13"/>
  <c r="BT45" i="13"/>
  <c r="BT62" i="13"/>
  <c r="CF45" i="13"/>
  <c r="CF62" i="13"/>
  <c r="BQ45" i="13"/>
  <c r="BQ62" i="13"/>
  <c r="CG45" i="13"/>
  <c r="CG62" i="13"/>
  <c r="CB45" i="13"/>
  <c r="CB62" i="13"/>
  <c r="CA45" i="13"/>
  <c r="CA62" i="13"/>
  <c r="CE45" i="13"/>
  <c r="CE62" i="13"/>
  <c r="BO45" i="13"/>
  <c r="BO62" i="13"/>
  <c r="BD45" i="13"/>
  <c r="BD62" i="13"/>
  <c r="BG45" i="13"/>
  <c r="BG62" i="13"/>
  <c r="BR45" i="13"/>
  <c r="BR62" i="13"/>
  <c r="BC45" i="13"/>
  <c r="BC62" i="13"/>
  <c r="BU45" i="13"/>
  <c r="BS45" i="13"/>
  <c r="BS62" i="13"/>
  <c r="BJ45" i="13"/>
  <c r="BJ62" i="13"/>
  <c r="BF45" i="13"/>
  <c r="BF62" i="13"/>
  <c r="BY45" i="13"/>
  <c r="BY62" i="13"/>
  <c r="CD45" i="13"/>
  <c r="CD62" i="13"/>
  <c r="BA45" i="13"/>
  <c r="BA62" i="13"/>
  <c r="AD30" i="13"/>
  <c r="J30" i="13"/>
  <c r="T30" i="13"/>
  <c r="AY30" i="13"/>
  <c r="AU30" i="13"/>
  <c r="X30" i="13"/>
  <c r="AR30" i="13"/>
  <c r="AJ30" i="13"/>
  <c r="L30" i="13"/>
  <c r="G30" i="13"/>
  <c r="AE30" i="13"/>
  <c r="V30" i="13"/>
  <c r="I30" i="13"/>
  <c r="Q30" i="13"/>
  <c r="AP30" i="13"/>
  <c r="AA30" i="13"/>
  <c r="N30" i="13"/>
  <c r="AH30" i="13"/>
  <c r="M30" i="13"/>
  <c r="H30" i="13"/>
  <c r="Y30" i="13"/>
  <c r="O30" i="13"/>
  <c r="AM30" i="13"/>
  <c r="W30" i="13"/>
  <c r="AG30" i="13"/>
  <c r="AS30" i="13"/>
  <c r="F30" i="13"/>
  <c r="AV30" i="13"/>
  <c r="AC30" i="13"/>
  <c r="U30" i="13"/>
  <c r="AN30" i="13"/>
  <c r="AL30" i="13"/>
  <c r="AZ30" i="13"/>
  <c r="AO30" i="13"/>
  <c r="AQ30" i="13"/>
  <c r="Z30" i="13"/>
  <c r="AB30" i="13"/>
  <c r="AT30" i="13"/>
  <c r="AK64" i="13"/>
  <c r="Y64" i="13"/>
  <c r="AI30" i="13"/>
  <c r="S30" i="13"/>
  <c r="P30" i="13"/>
  <c r="AF64" i="13"/>
  <c r="AH64" i="13"/>
  <c r="AP64" i="13"/>
  <c r="AK30" i="13"/>
  <c r="AF30" i="13"/>
  <c r="AO64" i="13"/>
  <c r="AB64" i="13"/>
  <c r="AJ64" i="13"/>
  <c r="R30" i="13"/>
  <c r="AX30" i="13"/>
  <c r="S64" i="13"/>
  <c r="AW30" i="13"/>
  <c r="AT64" i="13"/>
  <c r="K30" i="13"/>
  <c r="AV64" i="13"/>
  <c r="E12" i="13"/>
  <c r="CM34" i="13"/>
  <c r="CH37" i="13"/>
  <c r="AO3" i="13"/>
  <c r="AS3" i="13"/>
  <c r="AP3" i="13"/>
  <c r="AN3" i="13"/>
  <c r="AW3" i="13"/>
  <c r="BL3" i="13"/>
  <c r="BJ3" i="13"/>
  <c r="BP3" i="13"/>
  <c r="AX3" i="13"/>
  <c r="AM3" i="13"/>
  <c r="BA3" i="13"/>
  <c r="BN3" i="13"/>
  <c r="BF3" i="13"/>
  <c r="BH3" i="13"/>
  <c r="AU3" i="13"/>
  <c r="AR3" i="13"/>
  <c r="AL3" i="13"/>
  <c r="BK3" i="13"/>
  <c r="AQ3" i="13"/>
  <c r="AZ3" i="13"/>
  <c r="AG3" i="13"/>
  <c r="AT3" i="13"/>
  <c r="AV3" i="13"/>
  <c r="BD3" i="13"/>
  <c r="BT3" i="13"/>
  <c r="AK3" i="13"/>
  <c r="BE3" i="13"/>
  <c r="AY3" i="13"/>
  <c r="AF3" i="13"/>
  <c r="BM3" i="13"/>
  <c r="BI3" i="13"/>
  <c r="AH3" i="13"/>
  <c r="BU3" i="13"/>
  <c r="BB3" i="13"/>
  <c r="BQ3" i="13"/>
  <c r="BR3" i="13"/>
  <c r="BG3" i="13"/>
  <c r="BS3" i="13"/>
  <c r="AI3" i="13"/>
  <c r="BC3" i="13"/>
  <c r="BO3" i="13"/>
  <c r="AE3" i="13"/>
  <c r="AJ3" i="13"/>
  <c r="E40" i="13"/>
  <c r="R39" i="13"/>
  <c r="T39" i="13"/>
  <c r="AC39" i="13"/>
  <c r="S39" i="13"/>
  <c r="U39" i="13"/>
  <c r="O39" i="13"/>
  <c r="M39" i="13"/>
  <c r="V39" i="13"/>
  <c r="G39" i="13"/>
  <c r="K39" i="13"/>
  <c r="AB39" i="13"/>
  <c r="F39" i="13"/>
  <c r="X39" i="13"/>
  <c r="H39" i="13"/>
  <c r="Z39" i="13"/>
  <c r="N39" i="13"/>
  <c r="AD39" i="13"/>
  <c r="AA39" i="13"/>
  <c r="W39" i="13"/>
  <c r="J39" i="13"/>
  <c r="I39" i="13"/>
  <c r="Y39" i="13"/>
  <c r="Q39" i="13"/>
  <c r="L39" i="13"/>
  <c r="P39" i="13"/>
  <c r="AG52" i="13"/>
  <c r="AO52" i="13"/>
  <c r="AD52" i="13"/>
  <c r="C118" i="13"/>
  <c r="AW52" i="13"/>
  <c r="AU52" i="13"/>
  <c r="AZ52" i="13"/>
  <c r="AM52" i="13"/>
  <c r="AF52" i="13"/>
  <c r="AL52" i="13"/>
  <c r="AC52" i="13"/>
  <c r="Y52" i="13"/>
  <c r="S52" i="13"/>
  <c r="T52" i="13"/>
  <c r="AB52" i="13"/>
  <c r="AN52" i="13"/>
  <c r="W52" i="13"/>
  <c r="AY52" i="13"/>
  <c r="U52" i="13"/>
  <c r="AK52" i="13"/>
  <c r="X52" i="13"/>
  <c r="AR52" i="13"/>
  <c r="AX52" i="13"/>
  <c r="AA52" i="13"/>
  <c r="Z52" i="13"/>
  <c r="AI52" i="13"/>
  <c r="AS52" i="13"/>
  <c r="AT52" i="13"/>
  <c r="AE52" i="13"/>
  <c r="AV52" i="13"/>
  <c r="AP52" i="13"/>
  <c r="AQ52" i="13"/>
  <c r="AJ52" i="13"/>
  <c r="AH52" i="13"/>
  <c r="V52" i="13"/>
  <c r="J34" i="13"/>
  <c r="H34" i="13"/>
  <c r="K34" i="13"/>
  <c r="F34" i="13"/>
  <c r="N34" i="13"/>
  <c r="O34" i="13"/>
  <c r="L34" i="13"/>
  <c r="Q34" i="13"/>
  <c r="P34" i="13"/>
  <c r="G34" i="13"/>
  <c r="I34" i="13"/>
  <c r="M34" i="13"/>
  <c r="AT68" i="13"/>
  <c r="AK34" i="13"/>
  <c r="AM34" i="13"/>
  <c r="AN68" i="13"/>
  <c r="AP34" i="13"/>
  <c r="AE68" i="13"/>
  <c r="AJ34" i="13"/>
  <c r="U34" i="13"/>
  <c r="R34" i="13"/>
  <c r="W34" i="13"/>
  <c r="AQ34" i="13"/>
  <c r="AX34" i="13"/>
  <c r="AW34" i="13"/>
  <c r="AI68" i="13"/>
  <c r="AZ34" i="13"/>
  <c r="X34" i="13"/>
  <c r="AI34" i="13"/>
  <c r="T34" i="13"/>
  <c r="AF34" i="13"/>
  <c r="AR34" i="13"/>
  <c r="AU68" i="13"/>
  <c r="U68" i="13"/>
  <c r="AY68" i="13"/>
  <c r="AV34" i="13"/>
  <c r="AG34" i="13"/>
  <c r="AY34" i="13"/>
  <c r="AL34" i="13"/>
  <c r="Z34" i="13"/>
  <c r="AL68" i="13"/>
  <c r="AC34" i="13"/>
  <c r="AB34" i="13"/>
  <c r="AO34" i="13"/>
  <c r="Y34" i="13"/>
  <c r="AD34" i="13"/>
  <c r="AU34" i="13"/>
  <c r="S68" i="13"/>
  <c r="S34" i="13"/>
  <c r="AT34" i="13"/>
  <c r="AS34" i="13"/>
  <c r="AH34" i="13"/>
  <c r="AN34" i="13"/>
  <c r="AE34" i="13"/>
  <c r="V34" i="13"/>
  <c r="AA34" i="13"/>
  <c r="CO40" i="13"/>
  <c r="CN40" i="13"/>
  <c r="CE40" i="13"/>
  <c r="BV40" i="13"/>
  <c r="CJ40" i="13"/>
  <c r="CQ40" i="13"/>
  <c r="CK40" i="13"/>
  <c r="CC40" i="13"/>
  <c r="CB40" i="13"/>
  <c r="CR40" i="13"/>
  <c r="CD40" i="13"/>
  <c r="BY40" i="13"/>
  <c r="BW40" i="13"/>
  <c r="CH40" i="13"/>
  <c r="CF40" i="13"/>
  <c r="BZ40" i="13"/>
  <c r="CI40" i="13"/>
  <c r="CL40" i="13"/>
  <c r="CA40" i="13"/>
  <c r="CG40" i="13"/>
  <c r="BX40" i="13"/>
  <c r="CP40" i="13"/>
  <c r="CM40" i="13"/>
  <c r="CN12" i="13"/>
  <c r="CK12" i="13"/>
  <c r="CH12" i="13"/>
  <c r="CI12" i="13"/>
  <c r="CO12" i="13"/>
  <c r="CD12" i="13"/>
  <c r="CP12" i="13"/>
  <c r="BZ12" i="13"/>
  <c r="BW12" i="13"/>
  <c r="CM12" i="13"/>
  <c r="CJ12" i="13"/>
  <c r="BY12" i="13"/>
  <c r="CB12" i="13"/>
  <c r="BX12" i="13"/>
  <c r="CL12" i="13"/>
  <c r="CG12" i="13"/>
  <c r="CE12" i="13"/>
  <c r="CR12" i="13"/>
  <c r="CA12" i="13"/>
  <c r="CQ12" i="13"/>
  <c r="CC12" i="13"/>
  <c r="CF12" i="13"/>
  <c r="BV12" i="13"/>
  <c r="M6" i="13"/>
  <c r="M62" i="13"/>
  <c r="AD6" i="13"/>
  <c r="P6" i="13"/>
  <c r="P62" i="13"/>
  <c r="J6" i="13"/>
  <c r="J62" i="13"/>
  <c r="F6" i="13"/>
  <c r="F62" i="13"/>
  <c r="X6" i="13"/>
  <c r="H6" i="13"/>
  <c r="H62" i="13"/>
  <c r="G6" i="13"/>
  <c r="G62" i="13"/>
  <c r="N6" i="13"/>
  <c r="N62" i="13"/>
  <c r="L6" i="13"/>
  <c r="L62" i="13"/>
  <c r="T6" i="13"/>
  <c r="K6" i="13"/>
  <c r="K62" i="13"/>
  <c r="O6" i="13"/>
  <c r="O62" i="13"/>
  <c r="I6" i="13"/>
  <c r="I62" i="13"/>
  <c r="Q6" i="13"/>
  <c r="Q62" i="13"/>
  <c r="R6" i="13"/>
  <c r="R62" i="13"/>
  <c r="AC6" i="13"/>
  <c r="C38" i="13"/>
  <c r="C16" i="13"/>
  <c r="D13" i="13"/>
  <c r="CF35" i="13"/>
  <c r="CP8" i="13"/>
  <c r="CM8" i="13"/>
  <c r="BW8" i="13"/>
  <c r="CI8" i="13"/>
  <c r="CR8" i="13"/>
  <c r="CG8" i="13"/>
  <c r="CF8" i="13"/>
  <c r="BY8" i="13"/>
  <c r="BZ8" i="13"/>
  <c r="CA8" i="13"/>
  <c r="CO8" i="13"/>
  <c r="BX8" i="13"/>
  <c r="CN8" i="13"/>
  <c r="CK8" i="13"/>
  <c r="CQ8" i="13"/>
  <c r="CE8" i="13"/>
  <c r="CL8" i="13"/>
  <c r="CC8" i="13"/>
  <c r="CD8" i="13"/>
  <c r="BV8" i="13"/>
  <c r="CB8" i="13"/>
  <c r="CJ8" i="13"/>
  <c r="CH8" i="13"/>
  <c r="F27" i="13"/>
  <c r="O27" i="13"/>
  <c r="Q27" i="13"/>
  <c r="G27" i="13"/>
  <c r="I27" i="13"/>
  <c r="J27" i="13"/>
  <c r="K27" i="13"/>
  <c r="N27" i="13"/>
  <c r="M27" i="13"/>
  <c r="P27" i="13"/>
  <c r="AM27" i="13"/>
  <c r="Y27" i="13"/>
  <c r="AI61" i="13"/>
  <c r="AR27" i="13"/>
  <c r="Z27" i="13"/>
  <c r="AI27" i="13"/>
  <c r="AP27" i="13"/>
  <c r="AV27" i="13"/>
  <c r="W27" i="13"/>
  <c r="AZ27" i="13"/>
  <c r="AE27" i="13"/>
  <c r="AT27" i="13"/>
  <c r="AJ61" i="13"/>
  <c r="R27" i="13"/>
  <c r="AG27" i="13"/>
  <c r="AJ27" i="13"/>
  <c r="AO27" i="13"/>
  <c r="AA27" i="13"/>
  <c r="AH61" i="13"/>
  <c r="AT61" i="13"/>
  <c r="X61" i="13"/>
  <c r="V27" i="13"/>
  <c r="S27" i="13"/>
  <c r="AY61" i="13"/>
  <c r="Z61" i="13"/>
  <c r="S61" i="13"/>
  <c r="AL27" i="13"/>
  <c r="AD27" i="13"/>
  <c r="AN61" i="13"/>
  <c r="AQ61" i="13"/>
  <c r="AC61" i="13"/>
  <c r="AC27" i="13"/>
  <c r="AW27" i="13"/>
  <c r="T27" i="13"/>
  <c r="W61" i="13"/>
  <c r="AS61" i="13"/>
  <c r="AR61" i="13"/>
  <c r="AP61" i="13"/>
  <c r="AA61" i="13"/>
  <c r="U61" i="13"/>
  <c r="AH27" i="13"/>
  <c r="V61" i="13"/>
  <c r="AE61" i="13"/>
  <c r="AQ27" i="13"/>
  <c r="Y61" i="13"/>
  <c r="AX61" i="13"/>
  <c r="AM61" i="13"/>
  <c r="AZ61" i="13"/>
  <c r="U27" i="13"/>
  <c r="AK27" i="13"/>
  <c r="AU27" i="13"/>
  <c r="AS27" i="13"/>
  <c r="AG61" i="13"/>
  <c r="L27" i="13"/>
  <c r="AF27" i="13"/>
  <c r="AX27" i="13"/>
  <c r="H27" i="13"/>
  <c r="AB61" i="13"/>
  <c r="AU61" i="13"/>
  <c r="AL61" i="13"/>
  <c r="AK61" i="13"/>
  <c r="AW61" i="13"/>
  <c r="AY27" i="13"/>
  <c r="AO61" i="13"/>
  <c r="AD61" i="13"/>
  <c r="AN27" i="13"/>
  <c r="T61" i="13"/>
  <c r="AB27" i="13"/>
  <c r="AF61" i="13"/>
  <c r="X27" i="13"/>
  <c r="AV61" i="13"/>
  <c r="F33" i="13"/>
  <c r="J33" i="13"/>
  <c r="P33" i="13"/>
  <c r="M33" i="13"/>
  <c r="Q33" i="13"/>
  <c r="N33" i="13"/>
  <c r="O33" i="13"/>
  <c r="G33" i="13"/>
  <c r="R33" i="13"/>
  <c r="L33" i="13"/>
  <c r="I33" i="13"/>
  <c r="H33" i="13"/>
  <c r="AT33" i="13"/>
  <c r="AW33" i="13"/>
  <c r="AL33" i="13"/>
  <c r="AG67" i="13"/>
  <c r="AA33" i="13"/>
  <c r="AK33" i="13"/>
  <c r="AF33" i="13"/>
  <c r="AR33" i="13"/>
  <c r="AR67" i="13"/>
  <c r="K33" i="13"/>
  <c r="AL67" i="13"/>
  <c r="AY67" i="13"/>
  <c r="AC67" i="13"/>
  <c r="AP67" i="13"/>
  <c r="AZ33" i="13"/>
  <c r="AD33" i="13"/>
  <c r="AG33" i="13"/>
  <c r="AY33" i="13"/>
  <c r="T33" i="13"/>
  <c r="S33" i="13"/>
  <c r="AM33" i="13"/>
  <c r="U67" i="13"/>
  <c r="AW67" i="13"/>
  <c r="AB33" i="13"/>
  <c r="AI33" i="13"/>
  <c r="Z33" i="13"/>
  <c r="AN33" i="13"/>
  <c r="AP33" i="13"/>
  <c r="S67" i="13"/>
  <c r="V67" i="13"/>
  <c r="U33" i="13"/>
  <c r="AJ33" i="13"/>
  <c r="AE33" i="13"/>
  <c r="AX33" i="13"/>
  <c r="AS33" i="13"/>
  <c r="AA67" i="13"/>
  <c r="V33" i="13"/>
  <c r="T67" i="13"/>
  <c r="Y33" i="13"/>
  <c r="AU67" i="13"/>
  <c r="AU33" i="13"/>
  <c r="AV33" i="13"/>
  <c r="AQ33" i="13"/>
  <c r="AH33" i="13"/>
  <c r="AC33" i="13"/>
  <c r="AO33" i="13"/>
  <c r="AO67" i="13"/>
  <c r="W33" i="13"/>
  <c r="X33" i="13"/>
  <c r="CC9" i="13"/>
  <c r="CI9" i="13"/>
  <c r="BV9" i="13"/>
  <c r="CB9" i="13"/>
  <c r="CP9" i="13"/>
  <c r="CN9" i="13"/>
  <c r="CF9" i="13"/>
  <c r="CG9" i="13"/>
  <c r="CQ9" i="13"/>
  <c r="CK9" i="13"/>
  <c r="BW9" i="13"/>
  <c r="BX9" i="13"/>
  <c r="BZ9" i="13"/>
  <c r="CR9" i="13"/>
  <c r="CO9" i="13"/>
  <c r="CL9" i="13"/>
  <c r="CJ9" i="13"/>
  <c r="CM9" i="13"/>
  <c r="BY9" i="13"/>
  <c r="CA9" i="13"/>
  <c r="CH9" i="13"/>
  <c r="CD9" i="13"/>
  <c r="CE9" i="13"/>
  <c r="BY49" i="13"/>
  <c r="BY66" i="13"/>
  <c r="BC49" i="13"/>
  <c r="BC66" i="13"/>
  <c r="CB49" i="13"/>
  <c r="CB66" i="13"/>
  <c r="BH49" i="13"/>
  <c r="BH66" i="13"/>
  <c r="BU49" i="13"/>
  <c r="BA49" i="13"/>
  <c r="BA66" i="13"/>
  <c r="BI49" i="13"/>
  <c r="BI66" i="13"/>
  <c r="BX49" i="13"/>
  <c r="BX66" i="13"/>
  <c r="BG49" i="13"/>
  <c r="BG66" i="13"/>
  <c r="BQ49" i="13"/>
  <c r="BQ66" i="13"/>
  <c r="BN49" i="13"/>
  <c r="BN66" i="13"/>
  <c r="BF49" i="13"/>
  <c r="BF66" i="13"/>
  <c r="CU32" i="13"/>
  <c r="CG49" i="13"/>
  <c r="CG66" i="13"/>
  <c r="BW49" i="13"/>
  <c r="BW66" i="13"/>
  <c r="BK49" i="13"/>
  <c r="BK66" i="13"/>
  <c r="CD49" i="13"/>
  <c r="CD66" i="13"/>
  <c r="CN32" i="13"/>
  <c r="BD49" i="13"/>
  <c r="BD66" i="13"/>
  <c r="CF49" i="13"/>
  <c r="CF66" i="13"/>
  <c r="CH32" i="13"/>
  <c r="BL49" i="13"/>
  <c r="BL66" i="13"/>
  <c r="BT49" i="13"/>
  <c r="BT66" i="13"/>
  <c r="BP49" i="13"/>
  <c r="BP66" i="13"/>
  <c r="CS32" i="13"/>
  <c r="BR49" i="13"/>
  <c r="BR66" i="13"/>
  <c r="CL32" i="13"/>
  <c r="CA49" i="13"/>
  <c r="CA66" i="13"/>
  <c r="CE49" i="13"/>
  <c r="CE66" i="13"/>
  <c r="BO49" i="13"/>
  <c r="BO66" i="13"/>
  <c r="BZ49" i="13"/>
  <c r="BZ66" i="13"/>
  <c r="CC49" i="13"/>
  <c r="CC66" i="13"/>
  <c r="BV49" i="13"/>
  <c r="BV66" i="13"/>
  <c r="BJ49" i="13"/>
  <c r="BJ66" i="13"/>
  <c r="CI32" i="13"/>
  <c r="BM49" i="13"/>
  <c r="BM66" i="13"/>
  <c r="BS49" i="13"/>
  <c r="BS66" i="13"/>
  <c r="BB49" i="13"/>
  <c r="BB66" i="13"/>
  <c r="BE49" i="13"/>
  <c r="BE66" i="13"/>
  <c r="M37" i="13"/>
  <c r="J37" i="13"/>
  <c r="K37" i="13"/>
  <c r="G37" i="13"/>
  <c r="F37" i="13"/>
  <c r="L37" i="13"/>
  <c r="O37" i="13"/>
  <c r="Q37" i="13"/>
  <c r="I37" i="13"/>
  <c r="P37" i="13"/>
  <c r="N37" i="13"/>
  <c r="AI37" i="13"/>
  <c r="AL71" i="13"/>
  <c r="S37" i="13"/>
  <c r="AE71" i="13"/>
  <c r="AV37" i="13"/>
  <c r="V71" i="13"/>
  <c r="AZ71" i="13"/>
  <c r="AK71" i="13"/>
  <c r="AG37" i="13"/>
  <c r="U37" i="13"/>
  <c r="AS37" i="13"/>
  <c r="AP37" i="13"/>
  <c r="H37" i="13"/>
  <c r="AI71" i="13"/>
  <c r="AV71" i="13"/>
  <c r="AW37" i="13"/>
  <c r="W37" i="13"/>
  <c r="AT37" i="13"/>
  <c r="AB37" i="13"/>
  <c r="AJ37" i="13"/>
  <c r="AQ37" i="13"/>
  <c r="AE37" i="13"/>
  <c r="W71" i="13"/>
  <c r="AC71" i="13"/>
  <c r="AA71" i="13"/>
  <c r="T37" i="13"/>
  <c r="AF37" i="13"/>
  <c r="AJ71" i="13"/>
  <c r="AK37" i="13"/>
  <c r="AX37" i="13"/>
  <c r="AH37" i="13"/>
  <c r="S71" i="13"/>
  <c r="AM37" i="13"/>
  <c r="AM71" i="13"/>
  <c r="AL37" i="13"/>
  <c r="AR71" i="13"/>
  <c r="AP71" i="13"/>
  <c r="X37" i="13"/>
  <c r="AD37" i="13"/>
  <c r="V37" i="13"/>
  <c r="AY37" i="13"/>
  <c r="AD71" i="13"/>
  <c r="AZ37" i="13"/>
  <c r="AF71" i="13"/>
  <c r="AC37" i="13"/>
  <c r="AU37" i="13"/>
  <c r="R37" i="13"/>
  <c r="Z37" i="13"/>
  <c r="Y37" i="13"/>
  <c r="AR37" i="13"/>
  <c r="AN37" i="13"/>
  <c r="AA37" i="13"/>
  <c r="AO37" i="13"/>
  <c r="AS71" i="13"/>
  <c r="CI36" i="13"/>
  <c r="I29" i="13"/>
  <c r="AS29" i="13"/>
  <c r="S29" i="13"/>
  <c r="Z29" i="13"/>
  <c r="R29" i="13"/>
  <c r="J29" i="13"/>
  <c r="AD29" i="13"/>
  <c r="AG29" i="13"/>
  <c r="Q29" i="13"/>
  <c r="G29" i="13"/>
  <c r="AC29" i="13"/>
  <c r="AU29" i="13"/>
  <c r="AM29" i="13"/>
  <c r="AB29" i="13"/>
  <c r="AN29" i="13"/>
  <c r="AT29" i="13"/>
  <c r="AI29" i="13"/>
  <c r="AA29" i="13"/>
  <c r="AQ29" i="13"/>
  <c r="O29" i="13"/>
  <c r="AP29" i="13"/>
  <c r="F29" i="13"/>
  <c r="N29" i="13"/>
  <c r="AK29" i="13"/>
  <c r="T29" i="13"/>
  <c r="AZ29" i="13"/>
  <c r="AE29" i="13"/>
  <c r="P29" i="13"/>
  <c r="AW29" i="13"/>
  <c r="AU63" i="13"/>
  <c r="AF63" i="13"/>
  <c r="AC63" i="13"/>
  <c r="AN63" i="13"/>
  <c r="S63" i="13"/>
  <c r="AY63" i="13"/>
  <c r="AL63" i="13"/>
  <c r="AZ63" i="13"/>
  <c r="AO63" i="13"/>
  <c r="AY29" i="13"/>
  <c r="AF29" i="13"/>
  <c r="K29" i="13"/>
  <c r="H29" i="13"/>
  <c r="AV29" i="13"/>
  <c r="AH29" i="13"/>
  <c r="T63" i="13"/>
  <c r="AK63" i="13"/>
  <c r="AP63" i="13"/>
  <c r="AV63" i="13"/>
  <c r="AM63" i="13"/>
  <c r="W63" i="13"/>
  <c r="Z63" i="13"/>
  <c r="AE63" i="13"/>
  <c r="AJ29" i="13"/>
  <c r="AL29" i="13"/>
  <c r="AX29" i="13"/>
  <c r="AX63" i="13"/>
  <c r="AR63" i="13"/>
  <c r="X63" i="13"/>
  <c r="AB63" i="13"/>
  <c r="V29" i="13"/>
  <c r="AR29" i="13"/>
  <c r="Y29" i="13"/>
  <c r="AG63" i="13"/>
  <c r="AW63" i="13"/>
  <c r="AA63" i="13"/>
  <c r="AT63" i="13"/>
  <c r="AD63" i="13"/>
  <c r="M29" i="13"/>
  <c r="AH63" i="13"/>
  <c r="AI63" i="13"/>
  <c r="Y63" i="13"/>
  <c r="U29" i="13"/>
  <c r="V63" i="13"/>
  <c r="L29" i="13"/>
  <c r="AO29" i="13"/>
  <c r="X29" i="13"/>
  <c r="AJ63" i="13"/>
  <c r="U63" i="13"/>
  <c r="W29" i="13"/>
  <c r="AS63" i="13"/>
  <c r="AQ63" i="13"/>
  <c r="BQ36" i="13"/>
  <c r="CF36" i="13"/>
  <c r="BD36" i="13"/>
  <c r="AQ47" i="13"/>
  <c r="AQ64" i="13"/>
  <c r="AG47" i="13"/>
  <c r="AG64" i="13"/>
  <c r="AX47" i="13"/>
  <c r="AX64" i="13"/>
  <c r="AU47" i="13"/>
  <c r="AU64" i="13"/>
  <c r="AY47" i="13"/>
  <c r="AY64" i="13"/>
  <c r="AN47" i="13"/>
  <c r="AN64" i="13"/>
  <c r="AC47" i="13"/>
  <c r="AC64" i="13"/>
  <c r="AZ47" i="13"/>
  <c r="AZ64" i="13"/>
  <c r="V47" i="13"/>
  <c r="V64" i="13"/>
  <c r="AR47" i="13"/>
  <c r="AR64" i="13"/>
  <c r="AS51" i="13"/>
  <c r="AS68" i="13"/>
  <c r="AV51" i="13"/>
  <c r="AV68" i="13"/>
  <c r="AM51" i="13"/>
  <c r="AM68" i="13"/>
  <c r="AA51" i="13"/>
  <c r="AA68" i="13"/>
  <c r="AF51" i="13"/>
  <c r="AF68" i="13"/>
  <c r="AB51" i="13"/>
  <c r="AB68" i="13"/>
  <c r="AR51" i="13"/>
  <c r="AR68" i="13"/>
  <c r="Z51" i="13"/>
  <c r="Z68" i="13"/>
  <c r="AP51" i="13"/>
  <c r="AP68" i="13"/>
  <c r="AD51" i="13"/>
  <c r="C117" i="13"/>
  <c r="AH51" i="13"/>
  <c r="AH68" i="13"/>
  <c r="AZ51" i="13"/>
  <c r="AZ68" i="13"/>
  <c r="AB50" i="13"/>
  <c r="AB67" i="13"/>
  <c r="CA33" i="13"/>
  <c r="W50" i="13"/>
  <c r="W67" i="13"/>
  <c r="BW33" i="13"/>
  <c r="BQ33" i="13"/>
  <c r="AF50" i="13"/>
  <c r="AF67" i="13"/>
  <c r="AX50" i="13"/>
  <c r="AX67" i="13"/>
  <c r="CF33" i="13"/>
  <c r="BY33" i="13"/>
  <c r="BU33" i="13"/>
  <c r="Z50" i="13"/>
  <c r="Z67" i="13"/>
  <c r="CB33" i="13"/>
  <c r="BZ33" i="13"/>
  <c r="AQ50" i="13"/>
  <c r="AQ67" i="13"/>
  <c r="AD50" i="13"/>
  <c r="C116" i="13"/>
  <c r="BD33" i="13"/>
  <c r="AI50" i="13"/>
  <c r="AI67" i="13"/>
  <c r="AQ53" i="13"/>
  <c r="AQ70" i="13"/>
  <c r="BN36" i="13"/>
  <c r="CB36" i="13"/>
  <c r="BZ36" i="13"/>
  <c r="BO36" i="13"/>
  <c r="AG53" i="13"/>
  <c r="AG70" i="13"/>
  <c r="CC36" i="13"/>
  <c r="AN53" i="13"/>
  <c r="AN70" i="13"/>
  <c r="U53" i="13"/>
  <c r="U70" i="13"/>
  <c r="Y53" i="13"/>
  <c r="Y70" i="13"/>
  <c r="BH36" i="13"/>
  <c r="BF36" i="13"/>
  <c r="T53" i="13"/>
  <c r="T70" i="13"/>
  <c r="BB36" i="13"/>
  <c r="BL36" i="13"/>
  <c r="BW36" i="13"/>
  <c r="BK31" i="13"/>
  <c r="BE31" i="13"/>
  <c r="BR31" i="13"/>
  <c r="BS31" i="13"/>
  <c r="CG31" i="13"/>
  <c r="BL31" i="13"/>
  <c r="CA31" i="13"/>
  <c r="CC31" i="13"/>
  <c r="X45" i="13"/>
  <c r="X62" i="13"/>
  <c r="BY28" i="13"/>
  <c r="AO45" i="13"/>
  <c r="AO62" i="13"/>
  <c r="T45" i="13"/>
  <c r="T62" i="13"/>
  <c r="BS28" i="13"/>
  <c r="CF28" i="13"/>
  <c r="AE45" i="13"/>
  <c r="AE62" i="13"/>
  <c r="CE28" i="13"/>
  <c r="BE28" i="13"/>
  <c r="BA28" i="13"/>
  <c r="BW28" i="13"/>
  <c r="BU28" i="13"/>
  <c r="BP28" i="13"/>
  <c r="AC45" i="13"/>
  <c r="AC62" i="13"/>
  <c r="CA28" i="13"/>
  <c r="L31" i="1"/>
  <c r="I74" i="7"/>
  <c r="L73" i="1"/>
  <c r="L76" i="1"/>
  <c r="L74" i="7"/>
  <c r="L75" i="7"/>
  <c r="L70" i="7"/>
  <c r="CV28" i="13"/>
  <c r="CT28" i="13"/>
  <c r="V42" i="13"/>
  <c r="AK42" i="13"/>
  <c r="CU28" i="13"/>
  <c r="CM28" i="13"/>
  <c r="CL28" i="13"/>
  <c r="CJ28" i="13"/>
  <c r="AD62" i="13"/>
  <c r="AX42" i="13"/>
  <c r="AX59" i="13"/>
  <c r="AI42" i="13"/>
  <c r="AI59" i="13"/>
  <c r="AN42" i="13"/>
  <c r="BM25" i="13"/>
  <c r="BE25" i="13"/>
  <c r="CB25" i="13"/>
  <c r="AH42" i="13"/>
  <c r="AE42" i="13"/>
  <c r="AD42" i="13"/>
  <c r="C108" i="13"/>
  <c r="CS28" i="13"/>
  <c r="CR28" i="13"/>
  <c r="AZ42" i="13"/>
  <c r="AZ59" i="13"/>
  <c r="Y42" i="13"/>
  <c r="Y3" i="13"/>
  <c r="Y59" i="13"/>
  <c r="AO42" i="13"/>
  <c r="Z42" i="13"/>
  <c r="AL42" i="13"/>
  <c r="AL59" i="13"/>
  <c r="AJ42" i="13"/>
  <c r="AJ59" i="13"/>
  <c r="CU27" i="13"/>
  <c r="CP27" i="13"/>
  <c r="CK32" i="13"/>
  <c r="BM35" i="13"/>
  <c r="BM38" i="13"/>
  <c r="AD64" i="13"/>
  <c r="CJ31" i="13"/>
  <c r="CV31" i="13"/>
  <c r="CR31" i="13"/>
  <c r="CS27" i="13"/>
  <c r="CH27" i="13"/>
  <c r="CO32" i="13"/>
  <c r="CP31" i="13"/>
  <c r="CQ34" i="13"/>
  <c r="CR36" i="13"/>
  <c r="BB35" i="13"/>
  <c r="BB38" i="13"/>
  <c r="CW34" i="13"/>
  <c r="CW36" i="13"/>
  <c r="CQ37" i="13"/>
  <c r="BF35" i="13"/>
  <c r="BF38" i="13"/>
  <c r="BC35" i="13"/>
  <c r="CN28" i="13"/>
  <c r="CK28" i="13"/>
  <c r="CM33" i="13"/>
  <c r="CL27" i="13"/>
  <c r="CO27" i="13"/>
  <c r="CW27" i="13"/>
  <c r="CJ27" i="13"/>
  <c r="CI27" i="13"/>
  <c r="CL34" i="13"/>
  <c r="CP34" i="13"/>
  <c r="AC42" i="13"/>
  <c r="AC3" i="13"/>
  <c r="AC59" i="13"/>
  <c r="AG42" i="13"/>
  <c r="AG59" i="13"/>
  <c r="AP42" i="13"/>
  <c r="AP59" i="13"/>
  <c r="W42" i="13"/>
  <c r="W3" i="13"/>
  <c r="W59" i="13"/>
  <c r="AR42" i="13"/>
  <c r="AR59" i="13"/>
  <c r="T42" i="13"/>
  <c r="AB42" i="13"/>
  <c r="AB3" i="13"/>
  <c r="AB59" i="13"/>
  <c r="AQ42" i="13"/>
  <c r="AQ59" i="13"/>
  <c r="AA42" i="13"/>
  <c r="AA3" i="13"/>
  <c r="AA59" i="13"/>
  <c r="AY42" i="13"/>
  <c r="CT36" i="13"/>
  <c r="CU36" i="13"/>
  <c r="CP36" i="13"/>
  <c r="CO36" i="13"/>
  <c r="CJ36" i="13"/>
  <c r="CM36" i="13"/>
  <c r="CT30" i="13"/>
  <c r="CP37" i="13"/>
  <c r="CN33" i="13"/>
  <c r="CK33" i="13"/>
  <c r="CI34" i="13"/>
  <c r="CL36" i="13"/>
  <c r="CN36" i="13"/>
  <c r="CW37" i="13"/>
  <c r="CQ33" i="13"/>
  <c r="CT33" i="13"/>
  <c r="CP33" i="13"/>
  <c r="CJ37" i="13"/>
  <c r="CG35" i="13"/>
  <c r="BY35" i="13"/>
  <c r="CD35" i="13"/>
  <c r="CD38" i="13"/>
  <c r="CW28" i="13"/>
  <c r="CI28" i="13"/>
  <c r="CQ28" i="13"/>
  <c r="CH28" i="13"/>
  <c r="CT27" i="13"/>
  <c r="CK34" i="13"/>
  <c r="CS34" i="13"/>
  <c r="X42" i="13"/>
  <c r="X3" i="13"/>
  <c r="X59" i="13"/>
  <c r="AT42" i="13"/>
  <c r="AM42" i="13"/>
  <c r="AS42" i="13"/>
  <c r="AS59" i="13"/>
  <c r="AW42" i="13"/>
  <c r="AW59" i="13"/>
  <c r="AV42" i="13"/>
  <c r="CH36" i="13"/>
  <c r="CS36" i="13"/>
  <c r="AD60" i="13"/>
  <c r="AD65" i="13"/>
  <c r="CS37" i="13"/>
  <c r="CX29" i="13"/>
  <c r="CY29" i="13"/>
  <c r="CX63" i="13"/>
  <c r="CY63" i="13"/>
  <c r="CZ29" i="13"/>
  <c r="CZ63" i="13"/>
  <c r="DA63" i="13"/>
  <c r="CT46" i="13"/>
  <c r="CT63" i="13"/>
  <c r="CH46" i="13"/>
  <c r="CH63" i="13"/>
  <c r="CS46" i="13"/>
  <c r="CS63" i="13"/>
  <c r="CM46" i="13"/>
  <c r="CM63" i="13"/>
  <c r="CL46" i="13"/>
  <c r="CL63" i="13"/>
  <c r="CO46" i="13"/>
  <c r="CO63" i="13"/>
  <c r="CP46" i="13"/>
  <c r="CP63" i="13"/>
  <c r="CI46" i="13"/>
  <c r="CI63" i="13"/>
  <c r="CR46" i="13"/>
  <c r="CK46" i="13"/>
  <c r="CK63" i="13"/>
  <c r="CQ46" i="13"/>
  <c r="CQ63" i="13"/>
  <c r="CU46" i="13"/>
  <c r="CU63" i="13"/>
  <c r="CN46" i="13"/>
  <c r="CN63" i="13"/>
  <c r="CJ46" i="13"/>
  <c r="CJ63" i="13"/>
  <c r="DA29" i="13"/>
  <c r="CW46" i="13"/>
  <c r="CW63" i="13"/>
  <c r="CV46" i="13"/>
  <c r="CV63" i="13"/>
  <c r="CI13" i="13"/>
  <c r="CN13" i="13"/>
  <c r="BW13" i="13"/>
  <c r="CM13" i="13"/>
  <c r="CA13" i="13"/>
  <c r="CB13" i="13"/>
  <c r="CG13" i="13"/>
  <c r="CH13" i="13"/>
  <c r="CE13" i="13"/>
  <c r="BV13" i="13"/>
  <c r="BX13" i="13"/>
  <c r="CD13" i="13"/>
  <c r="CP13" i="13"/>
  <c r="CJ13" i="13"/>
  <c r="E13" i="13"/>
  <c r="CR13" i="13"/>
  <c r="CF13" i="13"/>
  <c r="BZ13" i="13"/>
  <c r="BY13" i="13"/>
  <c r="CC13" i="13"/>
  <c r="CQ13" i="13"/>
  <c r="CK13" i="13"/>
  <c r="CO13" i="13"/>
  <c r="CL13" i="13"/>
  <c r="CX26" i="13"/>
  <c r="DA60" i="13"/>
  <c r="CZ26" i="13"/>
  <c r="CY60" i="13"/>
  <c r="DA26" i="13"/>
  <c r="CZ60" i="13"/>
  <c r="CX60" i="13"/>
  <c r="CP43" i="13"/>
  <c r="CP60" i="13"/>
  <c r="CV43" i="13"/>
  <c r="CV60" i="13"/>
  <c r="CS43" i="13"/>
  <c r="CS60" i="13"/>
  <c r="CO43" i="13"/>
  <c r="CO60" i="13"/>
  <c r="CM43" i="13"/>
  <c r="CM60" i="13"/>
  <c r="CT43" i="13"/>
  <c r="CT60" i="13"/>
  <c r="CU43" i="13"/>
  <c r="CU60" i="13"/>
  <c r="CI43" i="13"/>
  <c r="CI60" i="13"/>
  <c r="CY26" i="13"/>
  <c r="CK43" i="13"/>
  <c r="CK60" i="13"/>
  <c r="CN43" i="13"/>
  <c r="CN60" i="13"/>
  <c r="CJ43" i="13"/>
  <c r="CJ60" i="13"/>
  <c r="CQ43" i="13"/>
  <c r="CQ60" i="13"/>
  <c r="CL43" i="13"/>
  <c r="CL60" i="13"/>
  <c r="CH43" i="13"/>
  <c r="CH60" i="13"/>
  <c r="CR43" i="13"/>
  <c r="CW43" i="13"/>
  <c r="CW60" i="13"/>
  <c r="D116" i="13"/>
  <c r="BU67" i="13"/>
  <c r="S13" i="13"/>
  <c r="Z13" i="13"/>
  <c r="AA13" i="13"/>
  <c r="X13" i="13"/>
  <c r="AC13" i="13"/>
  <c r="N13" i="13"/>
  <c r="N69" i="13"/>
  <c r="M13" i="13"/>
  <c r="M69" i="13"/>
  <c r="I13" i="13"/>
  <c r="I69" i="13"/>
  <c r="R13" i="13"/>
  <c r="R69" i="13"/>
  <c r="T13" i="13"/>
  <c r="AB13" i="13"/>
  <c r="AD13" i="13"/>
  <c r="V13" i="13"/>
  <c r="H13" i="13"/>
  <c r="H69" i="13"/>
  <c r="Y13" i="13"/>
  <c r="W13" i="13"/>
  <c r="K13" i="13"/>
  <c r="K69" i="13"/>
  <c r="L13" i="13"/>
  <c r="L69" i="13"/>
  <c r="J13" i="13"/>
  <c r="J69" i="13"/>
  <c r="P13" i="13"/>
  <c r="P69" i="13"/>
  <c r="U13" i="13"/>
  <c r="O13" i="13"/>
  <c r="O69" i="13"/>
  <c r="G13" i="13"/>
  <c r="G69" i="13"/>
  <c r="F13" i="13"/>
  <c r="F69" i="13"/>
  <c r="Q13" i="13"/>
  <c r="Q69" i="13"/>
  <c r="DA6" i="13"/>
  <c r="CV6" i="13"/>
  <c r="CY6" i="13"/>
  <c r="CT6" i="13"/>
  <c r="CS6" i="13"/>
  <c r="CU6" i="13"/>
  <c r="CZ6" i="13"/>
  <c r="CX6" i="13"/>
  <c r="CW6" i="13"/>
  <c r="V3" i="13"/>
  <c r="R3" i="13"/>
  <c r="R59" i="13"/>
  <c r="F3" i="13"/>
  <c r="F59" i="13"/>
  <c r="F72" i="13"/>
  <c r="Z3" i="13"/>
  <c r="Q3" i="13"/>
  <c r="Q59" i="13"/>
  <c r="I3" i="13"/>
  <c r="I59" i="13"/>
  <c r="N3" i="13"/>
  <c r="N59" i="13"/>
  <c r="U3" i="13"/>
  <c r="T3" i="13"/>
  <c r="O3" i="13"/>
  <c r="O59" i="13"/>
  <c r="J3" i="13"/>
  <c r="J59" i="13"/>
  <c r="S3" i="13"/>
  <c r="P3" i="13"/>
  <c r="P59" i="13"/>
  <c r="P72" i="13"/>
  <c r="L3" i="13"/>
  <c r="L59" i="13"/>
  <c r="L72" i="13"/>
  <c r="H3" i="13"/>
  <c r="H59" i="13"/>
  <c r="H72" i="13"/>
  <c r="K3" i="13"/>
  <c r="K59" i="13"/>
  <c r="M3" i="13"/>
  <c r="M59" i="13"/>
  <c r="G3" i="13"/>
  <c r="G59" i="13"/>
  <c r="AD3" i="13"/>
  <c r="BU52" i="13"/>
  <c r="BK52" i="13"/>
  <c r="BK69" i="13"/>
  <c r="BD52" i="13"/>
  <c r="BD69" i="13"/>
  <c r="BC52" i="13"/>
  <c r="BC69" i="13"/>
  <c r="CA52" i="13"/>
  <c r="CA69" i="13"/>
  <c r="BM52" i="13"/>
  <c r="BM69" i="13"/>
  <c r="BR52" i="13"/>
  <c r="BR69" i="13"/>
  <c r="BY52" i="13"/>
  <c r="BY69" i="13"/>
  <c r="BG52" i="13"/>
  <c r="BG69" i="13"/>
  <c r="BH52" i="13"/>
  <c r="BH69" i="13"/>
  <c r="BP52" i="13"/>
  <c r="BP69" i="13"/>
  <c r="BI52" i="13"/>
  <c r="BI69" i="13"/>
  <c r="BJ52" i="13"/>
  <c r="BJ69" i="13"/>
  <c r="BX52" i="13"/>
  <c r="BX69" i="13"/>
  <c r="CB52" i="13"/>
  <c r="CB69" i="13"/>
  <c r="BW52" i="13"/>
  <c r="BW69" i="13"/>
  <c r="CE52" i="13"/>
  <c r="CE69" i="13"/>
  <c r="BA52" i="13"/>
  <c r="BA69" i="13"/>
  <c r="BL52" i="13"/>
  <c r="BL69" i="13"/>
  <c r="BB52" i="13"/>
  <c r="BB69" i="13"/>
  <c r="BV52" i="13"/>
  <c r="BV69" i="13"/>
  <c r="BQ52" i="13"/>
  <c r="BQ69" i="13"/>
  <c r="BN52" i="13"/>
  <c r="BN69" i="13"/>
  <c r="BT52" i="13"/>
  <c r="BT69" i="13"/>
  <c r="CC52" i="13"/>
  <c r="CC69" i="13"/>
  <c r="BS52" i="13"/>
  <c r="BS69" i="13"/>
  <c r="BF52" i="13"/>
  <c r="BF69" i="13"/>
  <c r="CG52" i="13"/>
  <c r="CG69" i="13"/>
  <c r="BO52" i="13"/>
  <c r="BO69" i="13"/>
  <c r="CD52" i="13"/>
  <c r="CD69" i="13"/>
  <c r="BZ52" i="13"/>
  <c r="BZ69" i="13"/>
  <c r="BE52" i="13"/>
  <c r="BE69" i="13"/>
  <c r="CF52" i="13"/>
  <c r="CF69" i="13"/>
  <c r="CW35" i="13"/>
  <c r="CK35" i="13"/>
  <c r="DA66" i="13"/>
  <c r="CZ32" i="13"/>
  <c r="CX32" i="13"/>
  <c r="DA32" i="13"/>
  <c r="CY66" i="13"/>
  <c r="CX66" i="13"/>
  <c r="CZ66" i="13"/>
  <c r="CP49" i="13"/>
  <c r="CP66" i="13"/>
  <c r="CY32" i="13"/>
  <c r="CQ49" i="13"/>
  <c r="CQ66" i="13"/>
  <c r="CO49" i="13"/>
  <c r="CO66" i="13"/>
  <c r="CU49" i="13"/>
  <c r="CU66" i="13"/>
  <c r="CH49" i="13"/>
  <c r="CH66" i="13"/>
  <c r="CL49" i="13"/>
  <c r="CL66" i="13"/>
  <c r="CV49" i="13"/>
  <c r="CV66" i="13"/>
  <c r="CK49" i="13"/>
  <c r="CK66" i="13"/>
  <c r="CS49" i="13"/>
  <c r="CS66" i="13"/>
  <c r="CR49" i="13"/>
  <c r="CT49" i="13"/>
  <c r="CT66" i="13"/>
  <c r="CI49" i="13"/>
  <c r="CI66" i="13"/>
  <c r="CN49" i="13"/>
  <c r="CN66" i="13"/>
  <c r="CJ49" i="13"/>
  <c r="CJ66" i="13"/>
  <c r="CM49" i="13"/>
  <c r="CM66" i="13"/>
  <c r="CW49" i="13"/>
  <c r="CW66" i="13"/>
  <c r="CT14" i="13"/>
  <c r="DA14" i="13"/>
  <c r="CU14" i="13"/>
  <c r="CY14" i="13"/>
  <c r="CZ14" i="13"/>
  <c r="CW14" i="13"/>
  <c r="CX14" i="13"/>
  <c r="CS14" i="13"/>
  <c r="CV14" i="13"/>
  <c r="D115" i="13"/>
  <c r="BU66" i="13"/>
  <c r="B16" i="13"/>
  <c r="AE16" i="13"/>
  <c r="AK16" i="13"/>
  <c r="BJ16" i="13"/>
  <c r="BQ16" i="13"/>
  <c r="AJ16" i="13"/>
  <c r="AY16" i="13"/>
  <c r="BH16" i="13"/>
  <c r="BL16" i="13"/>
  <c r="BB16" i="13"/>
  <c r="BM16" i="13"/>
  <c r="AW16" i="13"/>
  <c r="AV16" i="13"/>
  <c r="AP16" i="13"/>
  <c r="AO16" i="13"/>
  <c r="AS16" i="13"/>
  <c r="AN16" i="13"/>
  <c r="AT16" i="13"/>
  <c r="AZ16" i="13"/>
  <c r="AG16" i="13"/>
  <c r="BE16" i="13"/>
  <c r="AL16" i="13"/>
  <c r="BC16" i="13"/>
  <c r="BO16" i="13"/>
  <c r="BG16" i="13"/>
  <c r="BS16" i="13"/>
  <c r="BT16" i="13"/>
  <c r="BF16" i="13"/>
  <c r="BU16" i="13"/>
  <c r="BA16" i="13"/>
  <c r="AR16" i="13"/>
  <c r="AU16" i="13"/>
  <c r="AQ16" i="13"/>
  <c r="BP16" i="13"/>
  <c r="BN16" i="13"/>
  <c r="AI16" i="13"/>
  <c r="BR16" i="13"/>
  <c r="BI16" i="13"/>
  <c r="AM16" i="13"/>
  <c r="AH16" i="13"/>
  <c r="BD16" i="13"/>
  <c r="BK16" i="13"/>
  <c r="AF16" i="13"/>
  <c r="AX16" i="13"/>
  <c r="CV18" i="13"/>
  <c r="CU18" i="13"/>
  <c r="CT18" i="13"/>
  <c r="CX18" i="13"/>
  <c r="CW18" i="13"/>
  <c r="CZ18" i="13"/>
  <c r="DA18" i="13"/>
  <c r="CS18" i="13"/>
  <c r="CY18" i="13"/>
  <c r="CY37" i="13"/>
  <c r="CY71" i="13"/>
  <c r="DA37" i="13"/>
  <c r="CZ71" i="13"/>
  <c r="CX37" i="13"/>
  <c r="DA71" i="13"/>
  <c r="CX71" i="13"/>
  <c r="CZ37" i="13"/>
  <c r="CP54" i="13"/>
  <c r="CP71" i="13"/>
  <c r="CN54" i="13"/>
  <c r="CN71" i="13"/>
  <c r="CM54" i="13"/>
  <c r="CM71" i="13"/>
  <c r="CV54" i="13"/>
  <c r="CV71" i="13"/>
  <c r="CI54" i="13"/>
  <c r="CI71" i="13"/>
  <c r="CL54" i="13"/>
  <c r="CL71" i="13"/>
  <c r="CS54" i="13"/>
  <c r="CS71" i="13"/>
  <c r="CR54" i="13"/>
  <c r="CK54" i="13"/>
  <c r="CK71" i="13"/>
  <c r="CQ54" i="13"/>
  <c r="CQ71" i="13"/>
  <c r="CW54" i="13"/>
  <c r="CW71" i="13"/>
  <c r="CU54" i="13"/>
  <c r="CU71" i="13"/>
  <c r="CO54" i="13"/>
  <c r="CO71" i="13"/>
  <c r="CH54" i="13"/>
  <c r="CH71" i="13"/>
  <c r="CJ54" i="13"/>
  <c r="CJ71" i="13"/>
  <c r="CT54" i="13"/>
  <c r="CT71" i="13"/>
  <c r="DA68" i="13"/>
  <c r="CY34" i="13"/>
  <c r="CX34" i="13"/>
  <c r="CZ68" i="13"/>
  <c r="CZ34" i="13"/>
  <c r="DA34" i="13"/>
  <c r="CX68" i="13"/>
  <c r="CY68" i="13"/>
  <c r="CP51" i="13"/>
  <c r="CP68" i="13"/>
  <c r="CS51" i="13"/>
  <c r="CS68" i="13"/>
  <c r="CL51" i="13"/>
  <c r="CL68" i="13"/>
  <c r="CM51" i="13"/>
  <c r="CM68" i="13"/>
  <c r="CJ51" i="13"/>
  <c r="CJ68" i="13"/>
  <c r="CO51" i="13"/>
  <c r="CO68" i="13"/>
  <c r="CU51" i="13"/>
  <c r="CU68" i="13"/>
  <c r="CR51" i="13"/>
  <c r="CW51" i="13"/>
  <c r="CW68" i="13"/>
  <c r="CK51" i="13"/>
  <c r="CK68" i="13"/>
  <c r="CQ51" i="13"/>
  <c r="CQ68" i="13"/>
  <c r="CT51" i="13"/>
  <c r="CT68" i="13"/>
  <c r="CI51" i="13"/>
  <c r="CI68" i="13"/>
  <c r="CH51" i="13"/>
  <c r="CH68" i="13"/>
  <c r="CV51" i="13"/>
  <c r="CV68" i="13"/>
  <c r="CN51" i="13"/>
  <c r="CN68" i="13"/>
  <c r="D111" i="13"/>
  <c r="BU62" i="13"/>
  <c r="CT5" i="13"/>
  <c r="CW5" i="13"/>
  <c r="CV5" i="13"/>
  <c r="CZ5" i="13"/>
  <c r="CX5" i="13"/>
  <c r="CU5" i="13"/>
  <c r="CY5" i="13"/>
  <c r="DA5" i="13"/>
  <c r="CS5" i="13"/>
  <c r="CY67" i="13"/>
  <c r="CX67" i="13"/>
  <c r="DA33" i="13"/>
  <c r="CZ33" i="13"/>
  <c r="DA67" i="13"/>
  <c r="CY33" i="13"/>
  <c r="CX33" i="13"/>
  <c r="CH50" i="13"/>
  <c r="CH67" i="13"/>
  <c r="CN50" i="13"/>
  <c r="CN67" i="13"/>
  <c r="CK50" i="13"/>
  <c r="CK67" i="13"/>
  <c r="CS50" i="13"/>
  <c r="CS67" i="13"/>
  <c r="CU50" i="13"/>
  <c r="CU67" i="13"/>
  <c r="CR50" i="13"/>
  <c r="CP50" i="13"/>
  <c r="CP67" i="13"/>
  <c r="CL50" i="13"/>
  <c r="CL67" i="13"/>
  <c r="CV50" i="13"/>
  <c r="CV67" i="13"/>
  <c r="CI50" i="13"/>
  <c r="CI67" i="13"/>
  <c r="CM50" i="13"/>
  <c r="CM67" i="13"/>
  <c r="CJ50" i="13"/>
  <c r="CJ67" i="13"/>
  <c r="CQ50" i="13"/>
  <c r="CQ67" i="13"/>
  <c r="CW50" i="13"/>
  <c r="CW67" i="13"/>
  <c r="CT50" i="13"/>
  <c r="CT67" i="13"/>
  <c r="CZ67" i="13"/>
  <c r="CO50" i="13"/>
  <c r="CO67" i="13"/>
  <c r="D117" i="13"/>
  <c r="BU68" i="13"/>
  <c r="CN25" i="13"/>
  <c r="BI42" i="13"/>
  <c r="BI59" i="13"/>
  <c r="BI72" i="13"/>
  <c r="BN42" i="13"/>
  <c r="BN59" i="13"/>
  <c r="BV42" i="13"/>
  <c r="BV59" i="13"/>
  <c r="BY42" i="13"/>
  <c r="BY59" i="13"/>
  <c r="BY72" i="13"/>
  <c r="CB42" i="13"/>
  <c r="CB59" i="13"/>
  <c r="BC42" i="13"/>
  <c r="BC59" i="13"/>
  <c r="BC72" i="13"/>
  <c r="BJ42" i="13"/>
  <c r="BJ59" i="13"/>
  <c r="BM42" i="13"/>
  <c r="BM59" i="13"/>
  <c r="BD42" i="13"/>
  <c r="BD59" i="13"/>
  <c r="BB42" i="13"/>
  <c r="BB59" i="13"/>
  <c r="BB72" i="13"/>
  <c r="BQ42" i="13"/>
  <c r="BQ59" i="13"/>
  <c r="BE42" i="13"/>
  <c r="BE59" i="13"/>
  <c r="BE72" i="13"/>
  <c r="BS42" i="13"/>
  <c r="BS59" i="13"/>
  <c r="BH42" i="13"/>
  <c r="BH59" i="13"/>
  <c r="BF42" i="13"/>
  <c r="BF59" i="13"/>
  <c r="BO42" i="13"/>
  <c r="BO59" i="13"/>
  <c r="CG42" i="13"/>
  <c r="CG59" i="13"/>
  <c r="CG72" i="13"/>
  <c r="BX42" i="13"/>
  <c r="BX59" i="13"/>
  <c r="BP42" i="13"/>
  <c r="BP59" i="13"/>
  <c r="CA42" i="13"/>
  <c r="CA59" i="13"/>
  <c r="CC42" i="13"/>
  <c r="CC59" i="13"/>
  <c r="BW42" i="13"/>
  <c r="BW59" i="13"/>
  <c r="BK42" i="13"/>
  <c r="BK59" i="13"/>
  <c r="BA42" i="13"/>
  <c r="BA59" i="13"/>
  <c r="BU42" i="13"/>
  <c r="BZ42" i="13"/>
  <c r="BZ59" i="13"/>
  <c r="BR42" i="13"/>
  <c r="BR59" i="13"/>
  <c r="BG42" i="13"/>
  <c r="BG59" i="13"/>
  <c r="CE42" i="13"/>
  <c r="CE59" i="13"/>
  <c r="BL42" i="13"/>
  <c r="BL59" i="13"/>
  <c r="BT42" i="13"/>
  <c r="BT59" i="13"/>
  <c r="BT72" i="13"/>
  <c r="CF42" i="13"/>
  <c r="CF59" i="13"/>
  <c r="CD42" i="13"/>
  <c r="CD59" i="13"/>
  <c r="D119" i="13"/>
  <c r="BU70" i="13"/>
  <c r="Q35" i="13"/>
  <c r="H35" i="13"/>
  <c r="N35" i="13"/>
  <c r="P35" i="13"/>
  <c r="R35" i="13"/>
  <c r="O35" i="13"/>
  <c r="I35" i="13"/>
  <c r="F35" i="13"/>
  <c r="J35" i="13"/>
  <c r="M35" i="13"/>
  <c r="L35" i="13"/>
  <c r="G35" i="13"/>
  <c r="AF35" i="13"/>
  <c r="AA35" i="13"/>
  <c r="AN69" i="13"/>
  <c r="AW35" i="13"/>
  <c r="V69" i="13"/>
  <c r="AP35" i="13"/>
  <c r="AA69" i="13"/>
  <c r="AX35" i="13"/>
  <c r="AE35" i="13"/>
  <c r="AV35" i="13"/>
  <c r="W69" i="13"/>
  <c r="T35" i="13"/>
  <c r="S35" i="13"/>
  <c r="Z69" i="13"/>
  <c r="AY69" i="13"/>
  <c r="AT35" i="13"/>
  <c r="U69" i="13"/>
  <c r="AI69" i="13"/>
  <c r="AL35" i="13"/>
  <c r="K35" i="13"/>
  <c r="AG69" i="13"/>
  <c r="AQ35" i="13"/>
  <c r="AO69" i="13"/>
  <c r="AS35" i="13"/>
  <c r="W35" i="13"/>
  <c r="AU35" i="13"/>
  <c r="AW69" i="13"/>
  <c r="AU69" i="13"/>
  <c r="AN35" i="13"/>
  <c r="AR35" i="13"/>
  <c r="Y35" i="13"/>
  <c r="AZ69" i="13"/>
  <c r="AM69" i="13"/>
  <c r="U35" i="13"/>
  <c r="AF69" i="13"/>
  <c r="AC35" i="13"/>
  <c r="AB35" i="13"/>
  <c r="AZ35" i="13"/>
  <c r="AJ69" i="13"/>
  <c r="AK69" i="13"/>
  <c r="X69" i="13"/>
  <c r="AR69" i="13"/>
  <c r="AX69" i="13"/>
  <c r="V35" i="13"/>
  <c r="AH69" i="13"/>
  <c r="Z35" i="13"/>
  <c r="Y69" i="13"/>
  <c r="AO35" i="13"/>
  <c r="AB69" i="13"/>
  <c r="AG35" i="13"/>
  <c r="AT69" i="13"/>
  <c r="AD35" i="13"/>
  <c r="X35" i="13"/>
  <c r="AY35" i="13"/>
  <c r="AL69" i="13"/>
  <c r="AJ35" i="13"/>
  <c r="AC69" i="13"/>
  <c r="AM35" i="13"/>
  <c r="S69" i="13"/>
  <c r="AD69" i="13"/>
  <c r="AI35" i="13"/>
  <c r="AH35" i="13"/>
  <c r="AK35" i="13"/>
  <c r="T69" i="13"/>
  <c r="AS69" i="13"/>
  <c r="AE69" i="13"/>
  <c r="AV69" i="13"/>
  <c r="AP69" i="13"/>
  <c r="AQ69" i="13"/>
  <c r="CW45" i="13"/>
  <c r="CW62" i="13"/>
  <c r="CX28" i="13"/>
  <c r="CR45" i="13"/>
  <c r="CK45" i="13"/>
  <c r="CK62" i="13"/>
  <c r="CS45" i="13"/>
  <c r="CS62" i="13"/>
  <c r="CX62" i="13"/>
  <c r="DA28" i="13"/>
  <c r="CI45" i="13"/>
  <c r="CI62" i="13"/>
  <c r="CP45" i="13"/>
  <c r="CP62" i="13"/>
  <c r="CO45" i="13"/>
  <c r="CO62" i="13"/>
  <c r="DA62" i="13"/>
  <c r="CM45" i="13"/>
  <c r="CM62" i="13"/>
  <c r="CU45" i="13"/>
  <c r="CU62" i="13"/>
  <c r="CJ45" i="13"/>
  <c r="CJ62" i="13"/>
  <c r="CL45" i="13"/>
  <c r="CL62" i="13"/>
  <c r="CY62" i="13"/>
  <c r="CT45" i="13"/>
  <c r="CT62" i="13"/>
  <c r="CN45" i="13"/>
  <c r="CN62" i="13"/>
  <c r="CQ45" i="13"/>
  <c r="CQ62" i="13"/>
  <c r="CZ28" i="13"/>
  <c r="CY28" i="13"/>
  <c r="CH45" i="13"/>
  <c r="CH62" i="13"/>
  <c r="CZ62" i="13"/>
  <c r="CV45" i="13"/>
  <c r="CV62" i="13"/>
  <c r="P25" i="13"/>
  <c r="O25" i="13"/>
  <c r="K25" i="13"/>
  <c r="K38" i="13"/>
  <c r="G25" i="13"/>
  <c r="M25" i="13"/>
  <c r="M38" i="13"/>
  <c r="L25" i="13"/>
  <c r="L38" i="13"/>
  <c r="F25" i="13"/>
  <c r="F38" i="13"/>
  <c r="R25" i="13"/>
  <c r="R38" i="13"/>
  <c r="I25" i="13"/>
  <c r="Q25" i="13"/>
  <c r="H25" i="13"/>
  <c r="J25" i="13"/>
  <c r="J38" i="13"/>
  <c r="AM59" i="13"/>
  <c r="S59" i="13"/>
  <c r="AK59" i="13"/>
  <c r="T59" i="13"/>
  <c r="T72" i="13"/>
  <c r="V59" i="13"/>
  <c r="V72" i="13"/>
  <c r="AH25" i="13"/>
  <c r="AH38" i="13"/>
  <c r="AV25" i="13"/>
  <c r="U25" i="13"/>
  <c r="AF25" i="13"/>
  <c r="AF38" i="13"/>
  <c r="U59" i="13"/>
  <c r="W25" i="13"/>
  <c r="W38" i="13"/>
  <c r="S25" i="13"/>
  <c r="AI25" i="13"/>
  <c r="AZ25" i="13"/>
  <c r="AZ38" i="13"/>
  <c r="N25" i="13"/>
  <c r="AU59" i="13"/>
  <c r="AU72" i="13"/>
  <c r="AY59" i="13"/>
  <c r="AX25" i="13"/>
  <c r="AB25" i="13"/>
  <c r="AV59" i="13"/>
  <c r="Y25" i="13"/>
  <c r="AG25" i="13"/>
  <c r="AJ25" i="13"/>
  <c r="AJ38" i="13"/>
  <c r="AY25" i="13"/>
  <c r="AP25" i="13"/>
  <c r="AP38" i="13"/>
  <c r="AD25" i="13"/>
  <c r="AA25" i="13"/>
  <c r="AN59" i="13"/>
  <c r="AE25" i="13"/>
  <c r="AE38" i="13"/>
  <c r="AT59" i="13"/>
  <c r="AR25" i="13"/>
  <c r="AT25" i="13"/>
  <c r="AF59" i="13"/>
  <c r="AL25" i="13"/>
  <c r="AS25" i="13"/>
  <c r="X25" i="13"/>
  <c r="X38" i="13"/>
  <c r="AN25" i="13"/>
  <c r="Z25" i="13"/>
  <c r="AQ25" i="13"/>
  <c r="AK25" i="13"/>
  <c r="AO25" i="13"/>
  <c r="T25" i="13"/>
  <c r="AO59" i="13"/>
  <c r="AM25" i="13"/>
  <c r="V25" i="13"/>
  <c r="AH59" i="13"/>
  <c r="Z59" i="13"/>
  <c r="AE59" i="13"/>
  <c r="AE72" i="13"/>
  <c r="AW25" i="13"/>
  <c r="AU25" i="13"/>
  <c r="AC25" i="13"/>
  <c r="D120" i="13"/>
  <c r="BU71" i="13"/>
  <c r="CS26" i="13"/>
  <c r="CJ29" i="13"/>
  <c r="CN29" i="13"/>
  <c r="CI29" i="13"/>
  <c r="BX35" i="13"/>
  <c r="BX38" i="13"/>
  <c r="BS35" i="13"/>
  <c r="BS38" i="13"/>
  <c r="BV35" i="13"/>
  <c r="BV38" i="13"/>
  <c r="CB35" i="13"/>
  <c r="BH35" i="13"/>
  <c r="BH38" i="13"/>
  <c r="CG38" i="13"/>
  <c r="CL26" i="13"/>
  <c r="CK30" i="13"/>
  <c r="CT29" i="13"/>
  <c r="CQ32" i="13"/>
  <c r="CT32" i="13"/>
  <c r="CW32" i="13"/>
  <c r="CP32" i="13"/>
  <c r="BQ35" i="13"/>
  <c r="BQ38" i="13"/>
  <c r="BL35" i="13"/>
  <c r="BU35" i="13"/>
  <c r="BU38" i="13"/>
  <c r="BP35" i="13"/>
  <c r="CC35" i="13"/>
  <c r="CC38" i="13"/>
  <c r="BG35" i="13"/>
  <c r="BG38" i="13"/>
  <c r="BN35" i="13"/>
  <c r="CH31" i="13"/>
  <c r="CT31" i="13"/>
  <c r="CS31" i="13"/>
  <c r="CH33" i="13"/>
  <c r="CW33" i="13"/>
  <c r="CJ33" i="13"/>
  <c r="CK27" i="13"/>
  <c r="CH34" i="13"/>
  <c r="CV34" i="13"/>
  <c r="CT34" i="13"/>
  <c r="CO34" i="13"/>
  <c r="CU34" i="13"/>
  <c r="BP38" i="13"/>
  <c r="BY38" i="13"/>
  <c r="AD66" i="13"/>
  <c r="CK26" i="13"/>
  <c r="CJ26" i="13"/>
  <c r="CW30" i="13"/>
  <c r="CJ30" i="13"/>
  <c r="CO29" i="13"/>
  <c r="CQ29" i="13"/>
  <c r="CN37" i="13"/>
  <c r="CO37" i="13"/>
  <c r="CI37" i="13"/>
  <c r="CU37" i="13"/>
  <c r="CL37" i="13"/>
  <c r="CU40" i="13"/>
  <c r="CY40" i="13"/>
  <c r="CV40" i="13"/>
  <c r="CZ40" i="13"/>
  <c r="CX40" i="13"/>
  <c r="CW40" i="13"/>
  <c r="CS40" i="13"/>
  <c r="DA40" i="13"/>
  <c r="CT40" i="13"/>
  <c r="CV8" i="13"/>
  <c r="CT8" i="13"/>
  <c r="CX8" i="13"/>
  <c r="CU8" i="13"/>
  <c r="DA8" i="13"/>
  <c r="CY8" i="13"/>
  <c r="CW8" i="13"/>
  <c r="CZ8" i="13"/>
  <c r="CS8" i="13"/>
  <c r="I74" i="12"/>
  <c r="CA3" i="13"/>
  <c r="CG3" i="13"/>
  <c r="BY3" i="13"/>
  <c r="CP3" i="13"/>
  <c r="CI3" i="13"/>
  <c r="CK3" i="13"/>
  <c r="CD3" i="13"/>
  <c r="CB3" i="13"/>
  <c r="CM3" i="13"/>
  <c r="E3" i="13"/>
  <c r="CQ3" i="13"/>
  <c r="BW3" i="13"/>
  <c r="BV3" i="13"/>
  <c r="CJ3" i="13"/>
  <c r="BX3" i="13"/>
  <c r="CO3" i="13"/>
  <c r="CC3" i="13"/>
  <c r="CN3" i="13"/>
  <c r="CE3" i="13"/>
  <c r="CH3" i="13"/>
  <c r="CR3" i="13"/>
  <c r="BZ3" i="13"/>
  <c r="CF3" i="13"/>
  <c r="CL3" i="13"/>
  <c r="L74" i="12"/>
  <c r="L70" i="12"/>
  <c r="D109" i="13"/>
  <c r="BU60" i="13"/>
  <c r="D112" i="13"/>
  <c r="BU63" i="13"/>
  <c r="CS7" i="13"/>
  <c r="CU7" i="13"/>
  <c r="CX7" i="13"/>
  <c r="DA7" i="13"/>
  <c r="CT7" i="13"/>
  <c r="CZ7" i="13"/>
  <c r="CW7" i="13"/>
  <c r="CV7" i="13"/>
  <c r="CY7" i="13"/>
  <c r="CX30" i="13"/>
  <c r="CZ64" i="13"/>
  <c r="CX64" i="13"/>
  <c r="DA30" i="13"/>
  <c r="DA64" i="13"/>
  <c r="CZ30" i="13"/>
  <c r="CY30" i="13"/>
  <c r="CY64" i="13"/>
  <c r="CP47" i="13"/>
  <c r="CP64" i="13"/>
  <c r="CS47" i="13"/>
  <c r="CS64" i="13"/>
  <c r="CL47" i="13"/>
  <c r="CL64" i="13"/>
  <c r="CJ47" i="13"/>
  <c r="CJ64" i="13"/>
  <c r="CN47" i="13"/>
  <c r="CN64" i="13"/>
  <c r="CR47" i="13"/>
  <c r="CW47" i="13"/>
  <c r="CW64" i="13"/>
  <c r="CQ47" i="13"/>
  <c r="CQ64" i="13"/>
  <c r="CT47" i="13"/>
  <c r="CT64" i="13"/>
  <c r="CH47" i="13"/>
  <c r="CH64" i="13"/>
  <c r="CI47" i="13"/>
  <c r="CI64" i="13"/>
  <c r="CO47" i="13"/>
  <c r="CO64" i="13"/>
  <c r="CK47" i="13"/>
  <c r="CK64" i="13"/>
  <c r="CM47" i="13"/>
  <c r="CM64" i="13"/>
  <c r="CU47" i="13"/>
  <c r="CU64" i="13"/>
  <c r="CV47" i="13"/>
  <c r="CV64" i="13"/>
  <c r="CU4" i="13"/>
  <c r="CT4" i="13"/>
  <c r="CS4" i="13"/>
  <c r="CV4" i="13"/>
  <c r="DA4" i="13"/>
  <c r="CW4" i="13"/>
  <c r="CX4" i="13"/>
  <c r="CY4" i="13"/>
  <c r="CZ4" i="13"/>
  <c r="D114" i="13"/>
  <c r="BU65" i="13"/>
  <c r="B38" i="13"/>
  <c r="CX65" i="13"/>
  <c r="DA31" i="13"/>
  <c r="CZ31" i="13"/>
  <c r="DA65" i="13"/>
  <c r="CX31" i="13"/>
  <c r="CY65" i="13"/>
  <c r="CY31" i="13"/>
  <c r="CZ65" i="13"/>
  <c r="CW48" i="13"/>
  <c r="CW65" i="13"/>
  <c r="CQ48" i="13"/>
  <c r="CQ65" i="13"/>
  <c r="CL48" i="13"/>
  <c r="CL65" i="13"/>
  <c r="CK48" i="13"/>
  <c r="CK65" i="13"/>
  <c r="CH48" i="13"/>
  <c r="CH65" i="13"/>
  <c r="CT48" i="13"/>
  <c r="CT65" i="13"/>
  <c r="CJ48" i="13"/>
  <c r="CJ65" i="13"/>
  <c r="CR48" i="13"/>
  <c r="CS48" i="13"/>
  <c r="CS65" i="13"/>
  <c r="CV48" i="13"/>
  <c r="CV65" i="13"/>
  <c r="CU48" i="13"/>
  <c r="CU65" i="13"/>
  <c r="CO48" i="13"/>
  <c r="CO65" i="13"/>
  <c r="CP48" i="13"/>
  <c r="CP65" i="13"/>
  <c r="CM48" i="13"/>
  <c r="CM65" i="13"/>
  <c r="CI48" i="13"/>
  <c r="CI65" i="13"/>
  <c r="CN48" i="13"/>
  <c r="CN65" i="13"/>
  <c r="DA39" i="13"/>
  <c r="CW39" i="13"/>
  <c r="CT39" i="13"/>
  <c r="CX39" i="13"/>
  <c r="CU39" i="13"/>
  <c r="CY39" i="13"/>
  <c r="CZ39" i="13"/>
  <c r="CS39" i="13"/>
  <c r="CV39" i="13"/>
  <c r="CZ70" i="13"/>
  <c r="CY36" i="13"/>
  <c r="CZ36" i="13"/>
  <c r="DA70" i="13"/>
  <c r="CX70" i="13"/>
  <c r="DA36" i="13"/>
  <c r="CL53" i="13"/>
  <c r="CL70" i="13"/>
  <c r="CV53" i="13"/>
  <c r="CV70" i="13"/>
  <c r="CN53" i="13"/>
  <c r="CN70" i="13"/>
  <c r="CW53" i="13"/>
  <c r="CW70" i="13"/>
  <c r="CJ53" i="13"/>
  <c r="CJ70" i="13"/>
  <c r="CO53" i="13"/>
  <c r="CO70" i="13"/>
  <c r="CM53" i="13"/>
  <c r="CM70" i="13"/>
  <c r="CI53" i="13"/>
  <c r="CI70" i="13"/>
  <c r="CU53" i="13"/>
  <c r="CU70" i="13"/>
  <c r="CK53" i="13"/>
  <c r="CK70" i="13"/>
  <c r="CX36" i="13"/>
  <c r="CH53" i="13"/>
  <c r="CH70" i="13"/>
  <c r="CQ53" i="13"/>
  <c r="CQ70" i="13"/>
  <c r="CR53" i="13"/>
  <c r="CY70" i="13"/>
  <c r="CP53" i="13"/>
  <c r="CP70" i="13"/>
  <c r="CT53" i="13"/>
  <c r="CT70" i="13"/>
  <c r="CS53" i="13"/>
  <c r="CS70" i="13"/>
  <c r="DA15" i="13"/>
  <c r="CX15" i="13"/>
  <c r="CU15" i="13"/>
  <c r="CS15" i="13"/>
  <c r="CT15" i="13"/>
  <c r="CY15" i="13"/>
  <c r="CZ15" i="13"/>
  <c r="CV15" i="13"/>
  <c r="CW15" i="13"/>
  <c r="CW12" i="13"/>
  <c r="CV12" i="13"/>
  <c r="CS12" i="13"/>
  <c r="CT12" i="13"/>
  <c r="CY12" i="13"/>
  <c r="CZ12" i="13"/>
  <c r="DA12" i="13"/>
  <c r="CX12" i="13"/>
  <c r="CU12" i="13"/>
  <c r="CR44" i="13"/>
  <c r="DA61" i="13"/>
  <c r="DA27" i="13"/>
  <c r="CJ44" i="13"/>
  <c r="CJ61" i="13"/>
  <c r="CX27" i="13"/>
  <c r="CZ61" i="13"/>
  <c r="CL44" i="13"/>
  <c r="CL61" i="13"/>
  <c r="CO44" i="13"/>
  <c r="CO61" i="13"/>
  <c r="CV44" i="13"/>
  <c r="CV61" i="13"/>
  <c r="CP44" i="13"/>
  <c r="CP61" i="13"/>
  <c r="CH44" i="13"/>
  <c r="CH61" i="13"/>
  <c r="CW44" i="13"/>
  <c r="CW61" i="13"/>
  <c r="CQ44" i="13"/>
  <c r="CQ61" i="13"/>
  <c r="CY61" i="13"/>
  <c r="CX61" i="13"/>
  <c r="CS44" i="13"/>
  <c r="CS61" i="13"/>
  <c r="CT44" i="13"/>
  <c r="CT61" i="13"/>
  <c r="CI44" i="13"/>
  <c r="CI61" i="13"/>
  <c r="CN44" i="13"/>
  <c r="CN61" i="13"/>
  <c r="CK44" i="13"/>
  <c r="CK61" i="13"/>
  <c r="CY27" i="13"/>
  <c r="CZ27" i="13"/>
  <c r="CM44" i="13"/>
  <c r="CM61" i="13"/>
  <c r="CU44" i="13"/>
  <c r="CU61" i="13"/>
  <c r="CX11" i="13"/>
  <c r="CV11" i="13"/>
  <c r="CU11" i="13"/>
  <c r="CT11" i="13"/>
  <c r="CZ11" i="13"/>
  <c r="CY11" i="13"/>
  <c r="CW11" i="13"/>
  <c r="DA11" i="13"/>
  <c r="CS11" i="13"/>
  <c r="D110" i="13"/>
  <c r="BU61" i="13"/>
  <c r="CO25" i="13"/>
  <c r="I76" i="8"/>
  <c r="D38" i="13"/>
  <c r="CZ9" i="13"/>
  <c r="CY9" i="13"/>
  <c r="CT9" i="13"/>
  <c r="CV9" i="13"/>
  <c r="CX9" i="13"/>
  <c r="DA9" i="13"/>
  <c r="CS9" i="13"/>
  <c r="CW9" i="13"/>
  <c r="CU9" i="13"/>
  <c r="CX10" i="13"/>
  <c r="CT10" i="13"/>
  <c r="CS10" i="13"/>
  <c r="DA10" i="13"/>
  <c r="CV10" i="13"/>
  <c r="CU10" i="13"/>
  <c r="CY10" i="13"/>
  <c r="CZ10" i="13"/>
  <c r="CW10" i="13"/>
  <c r="D113" i="13"/>
  <c r="BU64" i="13"/>
  <c r="CX17" i="13"/>
  <c r="CV17" i="13"/>
  <c r="CT17" i="13"/>
  <c r="CW17" i="13"/>
  <c r="CY17" i="13"/>
  <c r="CS17" i="13"/>
  <c r="CZ17" i="13"/>
  <c r="DA17" i="13"/>
  <c r="CU17" i="13"/>
  <c r="CF38" i="13"/>
  <c r="CU26" i="13"/>
  <c r="CH26" i="13"/>
  <c r="CW29" i="13"/>
  <c r="CK29" i="13"/>
  <c r="BK35" i="13"/>
  <c r="BK38" i="13"/>
  <c r="BJ35" i="13"/>
  <c r="BJ38" i="13"/>
  <c r="BW35" i="13"/>
  <c r="BW38" i="13"/>
  <c r="BA35" i="13"/>
  <c r="BA38" i="13"/>
  <c r="BR35" i="13"/>
  <c r="BR38" i="13"/>
  <c r="BN38" i="13"/>
  <c r="CI26" i="13"/>
  <c r="CO26" i="13"/>
  <c r="CR26" i="13"/>
  <c r="CP30" i="13"/>
  <c r="CN30" i="13"/>
  <c r="CS30" i="13"/>
  <c r="CS29" i="13"/>
  <c r="CP29" i="13"/>
  <c r="CM29" i="13"/>
  <c r="CV32" i="13"/>
  <c r="CM32" i="13"/>
  <c r="CR32" i="13"/>
  <c r="AD67" i="13"/>
  <c r="AD68" i="13"/>
  <c r="BT35" i="13"/>
  <c r="BT38" i="13"/>
  <c r="BI35" i="13"/>
  <c r="BI38" i="13"/>
  <c r="CE35" i="13"/>
  <c r="CE38" i="13"/>
  <c r="BO35" i="13"/>
  <c r="BO38" i="13"/>
  <c r="BD35" i="13"/>
  <c r="BD38" i="13"/>
  <c r="BE35" i="13"/>
  <c r="BZ35" i="13"/>
  <c r="BZ38" i="13"/>
  <c r="CA35" i="13"/>
  <c r="CA38" i="13"/>
  <c r="CI31" i="13"/>
  <c r="CQ31" i="13"/>
  <c r="CN31" i="13"/>
  <c r="CL33" i="13"/>
  <c r="CO33" i="13"/>
  <c r="CV33" i="13"/>
  <c r="CU33" i="13"/>
  <c r="CR33" i="13"/>
  <c r="CS33" i="13"/>
  <c r="CQ27" i="13"/>
  <c r="CR27" i="13"/>
  <c r="CN27" i="13"/>
  <c r="CV27" i="13"/>
  <c r="CJ34" i="13"/>
  <c r="CN34" i="13"/>
  <c r="CR34" i="13"/>
  <c r="BC25" i="13"/>
  <c r="BL25" i="13"/>
  <c r="CV36" i="13"/>
  <c r="CQ36" i="13"/>
  <c r="CK36" i="13"/>
  <c r="CV26" i="13"/>
  <c r="CQ26" i="13"/>
  <c r="CT26" i="13"/>
  <c r="CM26" i="13"/>
  <c r="CW26" i="13"/>
  <c r="CP26" i="13"/>
  <c r="CN26" i="13"/>
  <c r="CQ30" i="13"/>
  <c r="CI30" i="13"/>
  <c r="CL30" i="13"/>
  <c r="CU30" i="13"/>
  <c r="CH30" i="13"/>
  <c r="CM30" i="13"/>
  <c r="CV30" i="13"/>
  <c r="CR30" i="13"/>
  <c r="CV29" i="13"/>
  <c r="CR29" i="13"/>
  <c r="CL29" i="13"/>
  <c r="CH29" i="13"/>
  <c r="CU29" i="13"/>
  <c r="CM37" i="13"/>
  <c r="CR37" i="13"/>
  <c r="CV37" i="13"/>
  <c r="CT37" i="13"/>
  <c r="CK37" i="13"/>
  <c r="G86" i="9"/>
  <c r="L73" i="7"/>
  <c r="L76" i="7"/>
  <c r="L31" i="7"/>
  <c r="BV72" i="13"/>
  <c r="BC38" i="13"/>
  <c r="BE38" i="13"/>
  <c r="AT38" i="13"/>
  <c r="CE72" i="13"/>
  <c r="CC72" i="13"/>
  <c r="CL35" i="13"/>
  <c r="O72" i="13"/>
  <c r="N72" i="13"/>
  <c r="AS72" i="13"/>
  <c r="AQ72" i="13"/>
  <c r="AD59" i="13"/>
  <c r="BJ72" i="13"/>
  <c r="CB38" i="13"/>
  <c r="AW38" i="13"/>
  <c r="T38" i="13"/>
  <c r="BO72" i="13"/>
  <c r="CP25" i="13"/>
  <c r="CJ35" i="13"/>
  <c r="AP72" i="13"/>
  <c r="AO72" i="13"/>
  <c r="AT72" i="13"/>
  <c r="AL38" i="13"/>
  <c r="Y38" i="13"/>
  <c r="AJ72" i="13"/>
  <c r="Y72" i="13"/>
  <c r="G38" i="13"/>
  <c r="BA72" i="13"/>
  <c r="CM25" i="13"/>
  <c r="BS72" i="13"/>
  <c r="BD72" i="13"/>
  <c r="CO35" i="13"/>
  <c r="M72" i="13"/>
  <c r="J72" i="13"/>
  <c r="AW72" i="13"/>
  <c r="AL72" i="13"/>
  <c r="AK38" i="13"/>
  <c r="AF72" i="13"/>
  <c r="W72" i="13"/>
  <c r="AC38" i="13"/>
  <c r="V38" i="13"/>
  <c r="AO38" i="13"/>
  <c r="AS38" i="13"/>
  <c r="AD38" i="13"/>
  <c r="AX38" i="13"/>
  <c r="N38" i="13"/>
  <c r="AX72" i="13"/>
  <c r="AZ72" i="13"/>
  <c r="AK72" i="13"/>
  <c r="I38" i="13"/>
  <c r="P38" i="13"/>
  <c r="BN72" i="13"/>
  <c r="G72" i="13"/>
  <c r="AH72" i="13"/>
  <c r="AN38" i="13"/>
  <c r="AD72" i="13"/>
  <c r="AC72" i="13"/>
  <c r="BH72" i="13"/>
  <c r="AB72" i="13"/>
  <c r="Q38" i="13"/>
  <c r="BL72" i="13"/>
  <c r="BZ72" i="13"/>
  <c r="BP72" i="13"/>
  <c r="BQ72" i="13"/>
  <c r="CU25" i="13"/>
  <c r="BL38" i="13"/>
  <c r="S38" i="13"/>
  <c r="X72" i="13"/>
  <c r="CD72" i="13"/>
  <c r="BX72" i="13"/>
  <c r="G84" i="9"/>
  <c r="AG72" i="13"/>
  <c r="AB38" i="13"/>
  <c r="AI38" i="13"/>
  <c r="U72" i="13"/>
  <c r="AM72" i="13"/>
  <c r="BR72" i="13"/>
  <c r="BM72" i="13"/>
  <c r="CR16" i="13"/>
  <c r="CL16" i="13"/>
  <c r="CN16" i="13"/>
  <c r="BW16" i="13"/>
  <c r="BZ16" i="13"/>
  <c r="CG16" i="13"/>
  <c r="CF16" i="13"/>
  <c r="CB16" i="13"/>
  <c r="BX16" i="13"/>
  <c r="CH16" i="13"/>
  <c r="CQ16" i="13"/>
  <c r="CJ16" i="13"/>
  <c r="CI16" i="13"/>
  <c r="CK16" i="13"/>
  <c r="CO16" i="13"/>
  <c r="CC16" i="13"/>
  <c r="CD16" i="13"/>
  <c r="CA16" i="13"/>
  <c r="CM16" i="13"/>
  <c r="BV16" i="13"/>
  <c r="CP16" i="13"/>
  <c r="CE16" i="13"/>
  <c r="BY16" i="13"/>
  <c r="E115" i="13"/>
  <c r="CR66" i="13"/>
  <c r="E38" i="13"/>
  <c r="CK19" i="13"/>
  <c r="CY25" i="13"/>
  <c r="CY59" i="13"/>
  <c r="DA25" i="13"/>
  <c r="CX25" i="13"/>
  <c r="CK42" i="13"/>
  <c r="CK59" i="13"/>
  <c r="CO42" i="13"/>
  <c r="CO59" i="13"/>
  <c r="CS42" i="13"/>
  <c r="CS59" i="13"/>
  <c r="CM42" i="13"/>
  <c r="CM59" i="13"/>
  <c r="DA59" i="13"/>
  <c r="CZ25" i="13"/>
  <c r="CX59" i="13"/>
  <c r="CU42" i="13"/>
  <c r="CU59" i="13"/>
  <c r="CQ42" i="13"/>
  <c r="CQ59" i="13"/>
  <c r="CV42" i="13"/>
  <c r="CV59" i="13"/>
  <c r="CT42" i="13"/>
  <c r="CT59" i="13"/>
  <c r="CZ59" i="13"/>
  <c r="CW42" i="13"/>
  <c r="CW59" i="13"/>
  <c r="CP42" i="13"/>
  <c r="CP59" i="13"/>
  <c r="CL42" i="13"/>
  <c r="CL59" i="13"/>
  <c r="CI42" i="13"/>
  <c r="CI59" i="13"/>
  <c r="CN42" i="13"/>
  <c r="CN59" i="13"/>
  <c r="CR42" i="13"/>
  <c r="CH42" i="13"/>
  <c r="CH59" i="13"/>
  <c r="CJ42" i="13"/>
  <c r="CJ59" i="13"/>
  <c r="E110" i="13"/>
  <c r="CR61" i="13"/>
  <c r="L73" i="12"/>
  <c r="L76" i="12"/>
  <c r="CZ69" i="13"/>
  <c r="DA35" i="13"/>
  <c r="DA69" i="13"/>
  <c r="CN52" i="13"/>
  <c r="CN69" i="13"/>
  <c r="CU52" i="13"/>
  <c r="CU69" i="13"/>
  <c r="CX35" i="13"/>
  <c r="CH52" i="13"/>
  <c r="CH69" i="13"/>
  <c r="CI52" i="13"/>
  <c r="CI69" i="13"/>
  <c r="CQ52" i="13"/>
  <c r="CQ69" i="13"/>
  <c r="CY35" i="13"/>
  <c r="CK52" i="13"/>
  <c r="CK69" i="13"/>
  <c r="CW52" i="13"/>
  <c r="CW69" i="13"/>
  <c r="CR52" i="13"/>
  <c r="CJ52" i="13"/>
  <c r="CJ69" i="13"/>
  <c r="CS52" i="13"/>
  <c r="CS69" i="13"/>
  <c r="CL52" i="13"/>
  <c r="CL69" i="13"/>
  <c r="CX69" i="13"/>
  <c r="CZ35" i="13"/>
  <c r="CV52" i="13"/>
  <c r="CV69" i="13"/>
  <c r="CO52" i="13"/>
  <c r="CO69" i="13"/>
  <c r="CT52" i="13"/>
  <c r="CT69" i="13"/>
  <c r="CM52" i="13"/>
  <c r="CM69" i="13"/>
  <c r="CY69" i="13"/>
  <c r="CP52" i="13"/>
  <c r="CP69" i="13"/>
  <c r="E109" i="13"/>
  <c r="CR60" i="13"/>
  <c r="E119" i="13"/>
  <c r="CR70" i="13"/>
  <c r="E113" i="13"/>
  <c r="CR64" i="13"/>
  <c r="L70" i="8"/>
  <c r="L74" i="8"/>
  <c r="L75" i="8"/>
  <c r="E111" i="13"/>
  <c r="CR62" i="13"/>
  <c r="D108" i="13"/>
  <c r="BU59" i="13"/>
  <c r="E116" i="13"/>
  <c r="CR67" i="13"/>
  <c r="E117" i="13"/>
  <c r="CR68" i="13"/>
  <c r="E120" i="13"/>
  <c r="CR71" i="13"/>
  <c r="CT13" i="13"/>
  <c r="CX13" i="13"/>
  <c r="CY13" i="13"/>
  <c r="CU13" i="13"/>
  <c r="CZ13" i="13"/>
  <c r="CV13" i="13"/>
  <c r="DA13" i="13"/>
  <c r="CS13" i="13"/>
  <c r="CW13" i="13"/>
  <c r="CO38" i="13"/>
  <c r="BZ19" i="13"/>
  <c r="BG19" i="13"/>
  <c r="BX19" i="13"/>
  <c r="BN19" i="13"/>
  <c r="CF19" i="13"/>
  <c r="AG38" i="13"/>
  <c r="O38" i="13"/>
  <c r="CK25" i="13"/>
  <c r="CK38" i="13"/>
  <c r="CI25" i="13"/>
  <c r="CH25" i="13"/>
  <c r="CQ25" i="13"/>
  <c r="BJ19" i="13"/>
  <c r="BA19" i="13"/>
  <c r="BO19" i="13"/>
  <c r="BS19" i="13"/>
  <c r="CH35" i="13"/>
  <c r="CP35" i="13"/>
  <c r="Z72" i="13"/>
  <c r="AM38" i="13"/>
  <c r="AA72" i="13"/>
  <c r="AQ38" i="13"/>
  <c r="AN72" i="13"/>
  <c r="U38" i="13"/>
  <c r="H38" i="13"/>
  <c r="BG72" i="13"/>
  <c r="BW72" i="13"/>
  <c r="BF72" i="13"/>
  <c r="CW25" i="13"/>
  <c r="CW38" i="13"/>
  <c r="CB72" i="13"/>
  <c r="CS25" i="13"/>
  <c r="CL25" i="13"/>
  <c r="BB19" i="13"/>
  <c r="BV19" i="13"/>
  <c r="BC19" i="13"/>
  <c r="BL19" i="13"/>
  <c r="BW19" i="13"/>
  <c r="BU19" i="13"/>
  <c r="BI19" i="13"/>
  <c r="CI35" i="13"/>
  <c r="CR35" i="13"/>
  <c r="CT35" i="13"/>
  <c r="CQ35" i="13"/>
  <c r="Q72" i="13"/>
  <c r="R72" i="13"/>
  <c r="CX3" i="13"/>
  <c r="CZ3" i="13"/>
  <c r="CV3" i="13"/>
  <c r="CT3" i="13"/>
  <c r="CY3" i="13"/>
  <c r="CS3" i="13"/>
  <c r="CW3" i="13"/>
  <c r="CU3" i="13"/>
  <c r="DA3" i="13"/>
  <c r="S19" i="13"/>
  <c r="AQ19" i="13"/>
  <c r="R16" i="13"/>
  <c r="M16" i="13"/>
  <c r="L16" i="13"/>
  <c r="AD16" i="13"/>
  <c r="Z16" i="13"/>
  <c r="U19" i="13"/>
  <c r="N16" i="13"/>
  <c r="AO19" i="13"/>
  <c r="X16" i="13"/>
  <c r="AC19" i="13"/>
  <c r="V19" i="13"/>
  <c r="J16" i="13"/>
  <c r="AX19" i="13"/>
  <c r="AJ19" i="13"/>
  <c r="AW19" i="13"/>
  <c r="T19" i="13"/>
  <c r="AL19" i="13"/>
  <c r="V16" i="13"/>
  <c r="AN19" i="13"/>
  <c r="AZ19" i="13"/>
  <c r="T16" i="13"/>
  <c r="AS19" i="13"/>
  <c r="AR19" i="13"/>
  <c r="AG19" i="13"/>
  <c r="AB16" i="13"/>
  <c r="Y19" i="13"/>
  <c r="H16" i="13"/>
  <c r="U16" i="13"/>
  <c r="AM19" i="13"/>
  <c r="Z19" i="13"/>
  <c r="AB19" i="13"/>
  <c r="I16" i="13"/>
  <c r="K16" i="13"/>
  <c r="AH19" i="13"/>
  <c r="AF19" i="13"/>
  <c r="Q16" i="13"/>
  <c r="X19" i="13"/>
  <c r="AY19" i="13"/>
  <c r="G16" i="13"/>
  <c r="AU19" i="13"/>
  <c r="AE19" i="13"/>
  <c r="AV19" i="13"/>
  <c r="W19" i="13"/>
  <c r="AD19" i="13"/>
  <c r="S16" i="13"/>
  <c r="P16" i="13"/>
  <c r="AC16" i="13"/>
  <c r="AP19" i="13"/>
  <c r="AA19" i="13"/>
  <c r="Y16" i="13"/>
  <c r="AI19" i="13"/>
  <c r="AK19" i="13"/>
  <c r="F16" i="13"/>
  <c r="AT19" i="13"/>
  <c r="AA16" i="13"/>
  <c r="O16" i="13"/>
  <c r="W16" i="13"/>
  <c r="D118" i="13"/>
  <c r="BU69" i="13"/>
  <c r="E114" i="13"/>
  <c r="CR65" i="13"/>
  <c r="I70" i="8"/>
  <c r="L31" i="12"/>
  <c r="E112" i="13"/>
  <c r="CR63" i="13"/>
  <c r="CB19" i="13"/>
  <c r="BM19" i="13"/>
  <c r="BP19" i="13"/>
  <c r="Z38" i="13"/>
  <c r="AR38" i="13"/>
  <c r="AV38" i="13"/>
  <c r="CV25" i="13"/>
  <c r="CR25" i="13"/>
  <c r="CE19" i="13"/>
  <c r="CG19" i="13"/>
  <c r="BE19" i="13"/>
  <c r="BH19" i="13"/>
  <c r="BR19" i="13"/>
  <c r="CV35" i="13"/>
  <c r="AU38" i="13"/>
  <c r="AI72" i="13"/>
  <c r="AA38" i="13"/>
  <c r="AY38" i="13"/>
  <c r="AV72" i="13"/>
  <c r="AY72" i="13"/>
  <c r="AR72" i="13"/>
  <c r="S72" i="13"/>
  <c r="CF72" i="13"/>
  <c r="CT25" i="13"/>
  <c r="BK72" i="13"/>
  <c r="CA72" i="13"/>
  <c r="CJ25" i="13"/>
  <c r="CJ38" i="13"/>
  <c r="CA19" i="13"/>
  <c r="BT19" i="13"/>
  <c r="BQ19" i="13"/>
  <c r="BY19" i="13"/>
  <c r="CD19" i="13"/>
  <c r="BF19" i="13"/>
  <c r="BK19" i="13"/>
  <c r="BD19" i="13"/>
  <c r="CC19" i="13"/>
  <c r="CS35" i="13"/>
  <c r="CU35" i="13"/>
  <c r="CU38" i="13"/>
  <c r="CN35" i="13"/>
  <c r="CN38" i="13"/>
  <c r="CM35" i="13"/>
  <c r="CM38" i="13"/>
  <c r="K72" i="13"/>
  <c r="I72" i="13"/>
  <c r="G77" i="9"/>
  <c r="H86" i="9"/>
  <c r="H84" i="9"/>
  <c r="H77" i="9"/>
  <c r="F84" i="9"/>
  <c r="F82" i="9"/>
  <c r="F77" i="9"/>
  <c r="F85" i="9"/>
  <c r="CT38" i="13"/>
  <c r="CL38" i="13"/>
  <c r="CP38" i="13"/>
  <c r="CR38" i="13"/>
  <c r="F81" i="9"/>
  <c r="CL72" i="13"/>
  <c r="CT72" i="13"/>
  <c r="CX72" i="13"/>
  <c r="CV19" i="13"/>
  <c r="CJ19" i="13"/>
  <c r="BU72" i="13"/>
  <c r="F86" i="9"/>
  <c r="F80" i="9"/>
  <c r="AI25" i="12"/>
  <c r="CH38" i="13"/>
  <c r="CR19" i="13"/>
  <c r="CI19" i="13"/>
  <c r="AK25" i="12"/>
  <c r="CP72" i="13"/>
  <c r="CV72" i="13"/>
  <c r="CO72" i="13"/>
  <c r="CY72" i="13"/>
  <c r="CP19" i="13"/>
  <c r="L73" i="8"/>
  <c r="L76" i="8"/>
  <c r="CZ16" i="13"/>
  <c r="CX16" i="13"/>
  <c r="DA16" i="13"/>
  <c r="CV16" i="13"/>
  <c r="CY16" i="13"/>
  <c r="CW16" i="13"/>
  <c r="CT16" i="13"/>
  <c r="CU16" i="13"/>
  <c r="CS16" i="13"/>
  <c r="CI38" i="13"/>
  <c r="CZ38" i="13"/>
  <c r="CH72" i="13"/>
  <c r="DA38" i="13"/>
  <c r="CQ38" i="13"/>
  <c r="CJ72" i="13"/>
  <c r="CI72" i="13"/>
  <c r="CZ72" i="13"/>
  <c r="CU72" i="13"/>
  <c r="CM72" i="13"/>
  <c r="CX38" i="13"/>
  <c r="CQ19" i="13"/>
  <c r="CM19" i="13"/>
  <c r="CW19" i="13"/>
  <c r="CO19" i="13"/>
  <c r="CL19" i="13"/>
  <c r="CS19" i="13"/>
  <c r="E108" i="13"/>
  <c r="CR59" i="13"/>
  <c r="I74" i="8"/>
  <c r="L31" i="8"/>
  <c r="E118" i="13"/>
  <c r="CR69" i="13"/>
  <c r="CS72" i="13"/>
  <c r="CV38" i="13"/>
  <c r="CS38" i="13"/>
  <c r="CN72" i="13"/>
  <c r="CW72" i="13"/>
  <c r="CQ72" i="13"/>
  <c r="DA72" i="13"/>
  <c r="AE110" i="13"/>
  <c r="AE111" i="13"/>
  <c r="CK72" i="13"/>
  <c r="CY38" i="13"/>
  <c r="CT19" i="13"/>
  <c r="CN19" i="13"/>
  <c r="CU19" i="13"/>
  <c r="CH19" i="13"/>
  <c r="AK64" i="12"/>
  <c r="AJ25" i="12"/>
  <c r="AK24" i="12"/>
  <c r="AK52" i="12"/>
  <c r="AI24" i="12"/>
  <c r="AJ24" i="12"/>
  <c r="AK63" i="12"/>
  <c r="CR72" i="13"/>
  <c r="AK59" i="12"/>
  <c r="AK61" i="12"/>
  <c r="AJ52" i="12"/>
  <c r="AI52" i="12"/>
  <c r="AJ64" i="12"/>
  <c r="AI64" i="12"/>
  <c r="AJ58" i="12"/>
  <c r="AI58" i="12"/>
  <c r="AJ60" i="12"/>
  <c r="AI60" i="12"/>
  <c r="AI59" i="12"/>
  <c r="AJ59" i="12"/>
  <c r="AJ62" i="12"/>
  <c r="AI62" i="12"/>
  <c r="AI63" i="12"/>
  <c r="AJ63" i="12"/>
  <c r="AJ61" i="12"/>
  <c r="AI61" i="12"/>
  <c r="AK58" i="12"/>
  <c r="AK62" i="12"/>
  <c r="AK60" i="12"/>
  <c r="I77" i="9"/>
  <c r="I84" i="9"/>
  <c r="I86" i="9"/>
  <c r="I71" i="12"/>
  <c r="I125" i="7"/>
  <c r="I71" i="7"/>
  <c r="AA6" i="7"/>
  <c r="AA12" i="7"/>
  <c r="AA13" i="7"/>
  <c r="AA14" i="7"/>
  <c r="AA15" i="7"/>
  <c r="AA16" i="7"/>
  <c r="AA17" i="7"/>
  <c r="AA26" i="7"/>
  <c r="AA27" i="7"/>
  <c r="AA28" i="7"/>
  <c r="M29" i="7"/>
  <c r="AA29" i="7"/>
  <c r="Y8" i="7"/>
  <c r="AA8" i="7"/>
  <c r="Y9" i="7"/>
  <c r="AA9" i="7"/>
  <c r="Y10" i="7"/>
  <c r="AA10" i="7"/>
  <c r="Y11" i="7"/>
  <c r="AA11" i="7"/>
  <c r="J119" i="7"/>
  <c r="J124" i="7"/>
  <c r="J70" i="7"/>
  <c r="AA70" i="7"/>
  <c r="J39" i="7"/>
  <c r="Z8" i="7"/>
  <c r="Z39" i="7"/>
  <c r="AA39" i="7"/>
  <c r="J40" i="7"/>
  <c r="Z9" i="7"/>
  <c r="Z40" i="7"/>
  <c r="AA40" i="7"/>
  <c r="J41" i="7"/>
  <c r="Z11" i="7"/>
  <c r="Z41" i="7"/>
  <c r="AA41" i="7"/>
  <c r="J42" i="7"/>
  <c r="AA42" i="7"/>
  <c r="J43" i="7"/>
  <c r="AA43" i="7"/>
  <c r="J44" i="7"/>
  <c r="AA44" i="7"/>
  <c r="J45" i="7"/>
  <c r="AA45" i="7"/>
  <c r="J46" i="7"/>
  <c r="AA46" i="7"/>
  <c r="J47" i="7"/>
  <c r="AA47" i="7"/>
  <c r="J48" i="7"/>
  <c r="AA48" i="7"/>
  <c r="J49" i="7"/>
  <c r="AA49" i="7"/>
  <c r="J50" i="7"/>
  <c r="AA50" i="7"/>
  <c r="J51" i="7"/>
  <c r="AA51" i="7"/>
  <c r="J52" i="7"/>
  <c r="AA52" i="7"/>
  <c r="J58" i="7"/>
  <c r="AA58" i="7"/>
  <c r="J59" i="7"/>
  <c r="AA59" i="7"/>
  <c r="J60" i="7"/>
  <c r="AA60" i="7"/>
  <c r="J61" i="7"/>
  <c r="AA61" i="7"/>
  <c r="J62" i="7"/>
  <c r="AA62" i="7"/>
  <c r="J63" i="7"/>
  <c r="AA63" i="7"/>
  <c r="J64" i="7"/>
  <c r="AA64" i="7"/>
  <c r="J37" i="7"/>
  <c r="J38" i="7"/>
  <c r="AA37" i="7"/>
  <c r="AA38" i="7"/>
  <c r="AA65" i="7"/>
  <c r="AG6" i="7"/>
  <c r="Y7" i="7"/>
  <c r="Z7" i="7"/>
  <c r="AB7" i="7"/>
  <c r="AD7" i="7"/>
  <c r="AF7" i="7"/>
  <c r="AG7" i="7"/>
  <c r="AC6" i="7"/>
  <c r="AC12" i="7"/>
  <c r="AC13" i="7"/>
  <c r="AC14" i="7"/>
  <c r="AC15" i="7"/>
  <c r="AC16" i="7"/>
  <c r="AC17" i="7"/>
  <c r="AC26" i="7"/>
  <c r="AC27" i="7"/>
  <c r="AC28" i="7"/>
  <c r="AC29" i="7"/>
  <c r="AC8" i="7"/>
  <c r="AB8" i="7"/>
  <c r="AE6" i="7"/>
  <c r="AE12" i="7"/>
  <c r="AE13" i="7"/>
  <c r="AE14" i="7"/>
  <c r="AE15" i="7"/>
  <c r="AE16" i="7"/>
  <c r="AE17" i="7"/>
  <c r="AE26" i="7"/>
  <c r="AE27" i="7"/>
  <c r="AE28" i="7"/>
  <c r="AE29" i="7"/>
  <c r="AC9" i="7"/>
  <c r="AC10" i="7"/>
  <c r="AC11" i="7"/>
  <c r="AE8" i="7"/>
  <c r="AD8" i="7"/>
  <c r="AF8" i="7"/>
  <c r="AG8" i="7"/>
  <c r="AB9" i="7"/>
  <c r="AE9" i="7"/>
  <c r="AD9" i="7"/>
  <c r="AF9" i="7"/>
  <c r="AG9" i="7"/>
  <c r="Z10" i="7"/>
  <c r="AB10" i="7"/>
  <c r="AE10" i="7"/>
  <c r="AD10" i="7"/>
  <c r="AF10" i="7"/>
  <c r="AG10" i="7"/>
  <c r="AB11" i="7"/>
  <c r="AE11" i="7"/>
  <c r="AD11" i="7"/>
  <c r="AF11" i="7"/>
  <c r="AG11" i="7"/>
  <c r="AG12" i="7"/>
  <c r="AG13" i="7"/>
  <c r="AG14" i="7"/>
  <c r="AG15" i="7"/>
  <c r="AG16" i="7"/>
  <c r="AG17" i="7"/>
  <c r="AG26" i="7"/>
  <c r="AG27" i="7"/>
  <c r="AG28" i="7"/>
  <c r="AG29" i="7"/>
  <c r="Z37" i="7"/>
  <c r="AC70" i="7"/>
  <c r="AB39" i="7"/>
  <c r="AC39" i="7"/>
  <c r="AB40" i="7"/>
  <c r="AC40" i="7"/>
  <c r="AB41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8" i="7"/>
  <c r="AC59" i="7"/>
  <c r="AC60" i="7"/>
  <c r="AC61" i="7"/>
  <c r="AC62" i="7"/>
  <c r="AC63" i="7"/>
  <c r="AC64" i="7"/>
  <c r="AC37" i="7"/>
  <c r="AB37" i="7"/>
  <c r="AE70" i="7"/>
  <c r="AD39" i="7"/>
  <c r="AE39" i="7"/>
  <c r="AD40" i="7"/>
  <c r="AE40" i="7"/>
  <c r="AD41" i="7"/>
  <c r="AE41" i="7"/>
  <c r="AE42" i="7"/>
  <c r="AE43" i="7"/>
  <c r="AE44" i="7"/>
  <c r="AE45" i="7"/>
  <c r="AE46" i="7"/>
  <c r="AE47" i="7"/>
  <c r="AE48" i="7"/>
  <c r="AE49" i="7"/>
  <c r="AE50" i="7"/>
  <c r="AE51" i="7"/>
  <c r="AE52" i="7"/>
  <c r="AE58" i="7"/>
  <c r="AE59" i="7"/>
  <c r="AE60" i="7"/>
  <c r="AE61" i="7"/>
  <c r="AE62" i="7"/>
  <c r="AE63" i="7"/>
  <c r="AE64" i="7"/>
  <c r="AC38" i="7"/>
  <c r="AE37" i="7"/>
  <c r="AD37" i="7"/>
  <c r="AF37" i="7"/>
  <c r="AG37" i="7"/>
  <c r="Z38" i="7"/>
  <c r="AB38" i="7"/>
  <c r="AE38" i="7"/>
  <c r="AD38" i="7"/>
  <c r="AF38" i="7"/>
  <c r="AG38" i="7"/>
  <c r="AF39" i="7"/>
  <c r="AG39" i="7"/>
  <c r="AF40" i="7"/>
  <c r="AG40" i="7"/>
  <c r="AF41" i="7"/>
  <c r="AG41" i="7"/>
  <c r="AG42" i="7"/>
  <c r="AG43" i="7"/>
  <c r="AG44" i="7"/>
  <c r="AG45" i="7"/>
  <c r="AG46" i="7"/>
  <c r="AG47" i="7"/>
  <c r="AG48" i="7"/>
  <c r="AG49" i="7"/>
  <c r="AG50" i="7"/>
  <c r="AG51" i="7"/>
  <c r="AG52" i="7"/>
  <c r="AG58" i="7"/>
  <c r="AG59" i="7"/>
  <c r="AG60" i="7"/>
  <c r="AG61" i="7"/>
  <c r="AG62" i="7"/>
  <c r="AG63" i="7"/>
  <c r="AG64" i="7"/>
  <c r="AG65" i="7"/>
  <c r="AG70" i="7"/>
  <c r="J125" i="7"/>
  <c r="J128" i="7"/>
  <c r="J126" i="7"/>
  <c r="J127" i="7"/>
  <c r="J130" i="7"/>
  <c r="J129" i="7"/>
  <c r="J75" i="7"/>
  <c r="AA79" i="7"/>
  <c r="AA30" i="7"/>
  <c r="AA32" i="7"/>
  <c r="Y6" i="7"/>
  <c r="Y12" i="7"/>
  <c r="Y13" i="7"/>
  <c r="Y14" i="7"/>
  <c r="Y15" i="7"/>
  <c r="Y16" i="7"/>
  <c r="Y17" i="7"/>
  <c r="Y26" i="7"/>
  <c r="Y27" i="7"/>
  <c r="Y28" i="7"/>
  <c r="Y29" i="7"/>
  <c r="M30" i="7"/>
  <c r="Y30" i="7"/>
  <c r="M31" i="7"/>
  <c r="Y31" i="7"/>
  <c r="Y32" i="7"/>
  <c r="AA31" i="7"/>
  <c r="AA77" i="7"/>
  <c r="AA74" i="7"/>
  <c r="AC65" i="7"/>
  <c r="AC79" i="7"/>
  <c r="AC30" i="7"/>
  <c r="AC32" i="7"/>
  <c r="AC31" i="7"/>
  <c r="AC77" i="7"/>
  <c r="AC74" i="7"/>
  <c r="AE65" i="7"/>
  <c r="AE79" i="7"/>
  <c r="AE30" i="7"/>
  <c r="AE32" i="7"/>
  <c r="AE31" i="7"/>
  <c r="AE77" i="7"/>
  <c r="AE74" i="7"/>
  <c r="AG79" i="7"/>
  <c r="AG30" i="7"/>
  <c r="AG32" i="7"/>
  <c r="AG31" i="7"/>
  <c r="AG77" i="7"/>
  <c r="AI77" i="7"/>
  <c r="AK77" i="7"/>
  <c r="AE6" i="8"/>
  <c r="AE12" i="8"/>
  <c r="AE13" i="8"/>
  <c r="AE14" i="8"/>
  <c r="AE15" i="8"/>
  <c r="AE16" i="8"/>
  <c r="AE17" i="8"/>
  <c r="AE26" i="8"/>
  <c r="AE27" i="8"/>
  <c r="AE28" i="8"/>
  <c r="M29" i="8"/>
  <c r="AE29" i="8"/>
  <c r="Y7" i="8"/>
  <c r="Y8" i="8"/>
  <c r="AA6" i="8"/>
  <c r="AA12" i="8"/>
  <c r="AA13" i="8"/>
  <c r="AA14" i="8"/>
  <c r="AA15" i="8"/>
  <c r="AA16" i="8"/>
  <c r="AA17" i="8"/>
  <c r="AA26" i="8"/>
  <c r="AA27" i="8"/>
  <c r="AA28" i="8"/>
  <c r="AA29" i="8"/>
  <c r="AA8" i="8"/>
  <c r="AC6" i="8"/>
  <c r="AC12" i="8"/>
  <c r="AC13" i="8"/>
  <c r="AC14" i="8"/>
  <c r="AC15" i="8"/>
  <c r="AC16" i="8"/>
  <c r="AC17" i="8"/>
  <c r="AC26" i="8"/>
  <c r="AC27" i="8"/>
  <c r="AC28" i="8"/>
  <c r="AC29" i="8"/>
  <c r="Y9" i="8"/>
  <c r="AA9" i="8"/>
  <c r="Y10" i="8"/>
  <c r="AA10" i="8"/>
  <c r="Y11" i="8"/>
  <c r="AA11" i="8"/>
  <c r="AC8" i="8"/>
  <c r="AC9" i="8"/>
  <c r="AC10" i="8"/>
  <c r="AC11" i="8"/>
  <c r="AE8" i="8"/>
  <c r="AE9" i="8"/>
  <c r="AE10" i="8"/>
  <c r="AE11" i="8"/>
  <c r="J119" i="8"/>
  <c r="J124" i="8"/>
  <c r="J70" i="8"/>
  <c r="AA70" i="8"/>
  <c r="J39" i="8"/>
  <c r="Z8" i="8"/>
  <c r="Z39" i="8"/>
  <c r="AA39" i="8"/>
  <c r="J40" i="8"/>
  <c r="Z9" i="8"/>
  <c r="Z40" i="8"/>
  <c r="AA40" i="8"/>
  <c r="J41" i="8"/>
  <c r="Z11" i="8"/>
  <c r="Z41" i="8"/>
  <c r="AA41" i="8"/>
  <c r="J42" i="8"/>
  <c r="AA42" i="8"/>
  <c r="J43" i="8"/>
  <c r="AA43" i="8"/>
  <c r="J44" i="8"/>
  <c r="AA44" i="8"/>
  <c r="J45" i="8"/>
  <c r="AA45" i="8"/>
  <c r="J46" i="8"/>
  <c r="AA46" i="8"/>
  <c r="J47" i="8"/>
  <c r="AA47" i="8"/>
  <c r="J48" i="8"/>
  <c r="AA48" i="8"/>
  <c r="J49" i="8"/>
  <c r="AA49" i="8"/>
  <c r="J50" i="8"/>
  <c r="AA50" i="8"/>
  <c r="J51" i="8"/>
  <c r="AA51" i="8"/>
  <c r="J52" i="8"/>
  <c r="AA52" i="8"/>
  <c r="J58" i="8"/>
  <c r="AA58" i="8"/>
  <c r="J59" i="8"/>
  <c r="AA59" i="8"/>
  <c r="J60" i="8"/>
  <c r="AA60" i="8"/>
  <c r="J61" i="8"/>
  <c r="AA61" i="8"/>
  <c r="J62" i="8"/>
  <c r="AA62" i="8"/>
  <c r="J63" i="8"/>
  <c r="AA63" i="8"/>
  <c r="J64" i="8"/>
  <c r="AA64" i="8"/>
  <c r="AA37" i="8"/>
  <c r="AA38" i="8"/>
  <c r="AA65" i="8"/>
  <c r="AG6" i="8"/>
  <c r="Z7" i="8"/>
  <c r="AB7" i="8"/>
  <c r="AD7" i="8"/>
  <c r="AF7" i="8"/>
  <c r="AG7" i="8"/>
  <c r="AB8" i="8"/>
  <c r="AD8" i="8"/>
  <c r="AF8" i="8"/>
  <c r="AG8" i="8"/>
  <c r="AB9" i="8"/>
  <c r="AD9" i="8"/>
  <c r="AF9" i="8"/>
  <c r="AG9" i="8"/>
  <c r="Z10" i="8"/>
  <c r="AB10" i="8"/>
  <c r="AD10" i="8"/>
  <c r="AF10" i="8"/>
  <c r="AG10" i="8"/>
  <c r="AB11" i="8"/>
  <c r="AD11" i="8"/>
  <c r="AF11" i="8"/>
  <c r="AG11" i="8"/>
  <c r="AG12" i="8"/>
  <c r="AG13" i="8"/>
  <c r="AG14" i="8"/>
  <c r="AG15" i="8"/>
  <c r="AG16" i="8"/>
  <c r="AG17" i="8"/>
  <c r="AG26" i="8"/>
  <c r="AG27" i="8"/>
  <c r="AG28" i="8"/>
  <c r="AG29" i="8"/>
  <c r="J37" i="8"/>
  <c r="Z37" i="8"/>
  <c r="AC70" i="8"/>
  <c r="AB39" i="8"/>
  <c r="AC39" i="8"/>
  <c r="AB40" i="8"/>
  <c r="AC40" i="8"/>
  <c r="AB41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8" i="8"/>
  <c r="AC59" i="8"/>
  <c r="AC60" i="8"/>
  <c r="AC61" i="8"/>
  <c r="AC62" i="8"/>
  <c r="AC63" i="8"/>
  <c r="AC64" i="8"/>
  <c r="J38" i="8"/>
  <c r="AC37" i="8"/>
  <c r="AB37" i="8"/>
  <c r="AE70" i="8"/>
  <c r="AD39" i="8"/>
  <c r="AE39" i="8"/>
  <c r="AD40" i="8"/>
  <c r="AE40" i="8"/>
  <c r="AD41" i="8"/>
  <c r="AE41" i="8"/>
  <c r="AE42" i="8"/>
  <c r="AE43" i="8"/>
  <c r="AE44" i="8"/>
  <c r="AE45" i="8"/>
  <c r="AE46" i="8"/>
  <c r="AE47" i="8"/>
  <c r="AE48" i="8"/>
  <c r="AE49" i="8"/>
  <c r="AE50" i="8"/>
  <c r="AE51" i="8"/>
  <c r="AE52" i="8"/>
  <c r="AE58" i="8"/>
  <c r="AE59" i="8"/>
  <c r="AE60" i="8"/>
  <c r="AE61" i="8"/>
  <c r="AE62" i="8"/>
  <c r="AE63" i="8"/>
  <c r="AE64" i="8"/>
  <c r="AC38" i="8"/>
  <c r="AE37" i="8"/>
  <c r="AD37" i="8"/>
  <c r="AF37" i="8"/>
  <c r="AG37" i="8"/>
  <c r="Z38" i="8"/>
  <c r="AB38" i="8"/>
  <c r="AE38" i="8"/>
  <c r="AD38" i="8"/>
  <c r="AF38" i="8"/>
  <c r="AG38" i="8"/>
  <c r="AF39" i="8"/>
  <c r="AG39" i="8"/>
  <c r="AF40" i="8"/>
  <c r="AG40" i="8"/>
  <c r="AF41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8" i="8"/>
  <c r="AG59" i="8"/>
  <c r="AG60" i="8"/>
  <c r="AG61" i="8"/>
  <c r="AG62" i="8"/>
  <c r="AG63" i="8"/>
  <c r="AG64" i="8"/>
  <c r="AG65" i="8"/>
  <c r="AG70" i="8"/>
  <c r="J125" i="8"/>
  <c r="J128" i="8"/>
  <c r="J126" i="8"/>
  <c r="J127" i="8"/>
  <c r="J130" i="8"/>
  <c r="J129" i="8"/>
  <c r="J75" i="8"/>
  <c r="AA79" i="8"/>
  <c r="AA30" i="8"/>
  <c r="AA74" i="8"/>
  <c r="AC65" i="8"/>
  <c r="AC79" i="8"/>
  <c r="AC30" i="8"/>
  <c r="AC74" i="8"/>
  <c r="AE65" i="8"/>
  <c r="AE79" i="8"/>
  <c r="AE30" i="8"/>
  <c r="AE32" i="8"/>
  <c r="Y6" i="8"/>
  <c r="Y12" i="8"/>
  <c r="Y13" i="8"/>
  <c r="Y14" i="8"/>
  <c r="Y15" i="8"/>
  <c r="Y16" i="8"/>
  <c r="Y17" i="8"/>
  <c r="Y26" i="8"/>
  <c r="Y27" i="8"/>
  <c r="Y28" i="8"/>
  <c r="Y29" i="8"/>
  <c r="M30" i="8"/>
  <c r="Y30" i="8"/>
  <c r="M31" i="8"/>
  <c r="Y31" i="8"/>
  <c r="Y32" i="8"/>
  <c r="AE31" i="8"/>
  <c r="AE77" i="8"/>
  <c r="AE74" i="8"/>
  <c r="AG79" i="8"/>
  <c r="AG30" i="8"/>
  <c r="AG32" i="8"/>
  <c r="AG31" i="8"/>
  <c r="AG77" i="8"/>
  <c r="AK77" i="8"/>
  <c r="AA32" i="8"/>
  <c r="AA31" i="8"/>
  <c r="AA77" i="8"/>
  <c r="AC32" i="8"/>
  <c r="AC31" i="8"/>
  <c r="AC77" i="8"/>
  <c r="AI77" i="8"/>
  <c r="AA76" i="8"/>
  <c r="AC76" i="8"/>
  <c r="AE76" i="8"/>
  <c r="AG76" i="8"/>
  <c r="AI76" i="8"/>
  <c r="AI70" i="8"/>
  <c r="AG74" i="8"/>
  <c r="AI74" i="8"/>
  <c r="AI75" i="8"/>
  <c r="AJ76" i="8"/>
  <c r="AJ70" i="8"/>
  <c r="AJ74" i="8"/>
  <c r="AJ75" i="8"/>
  <c r="AK76" i="8"/>
  <c r="AK70" i="8"/>
  <c r="AK74" i="8"/>
  <c r="AK75" i="8"/>
  <c r="AA76" i="7"/>
  <c r="AC76" i="7"/>
  <c r="AJ76" i="7"/>
  <c r="AJ70" i="7"/>
  <c r="AJ74" i="7"/>
  <c r="AJ75" i="7"/>
  <c r="AE76" i="7"/>
  <c r="AG76" i="7"/>
  <c r="AK76" i="7"/>
  <c r="AK70" i="7"/>
  <c r="AG74" i="7"/>
  <c r="AK74" i="7"/>
  <c r="AK75" i="7"/>
  <c r="AI76" i="7"/>
  <c r="AI70" i="7"/>
  <c r="AI74" i="7"/>
  <c r="AI75" i="7"/>
  <c r="AK6" i="8"/>
  <c r="AK7" i="8"/>
  <c r="AK8" i="8"/>
  <c r="AK9" i="8"/>
  <c r="AK10" i="8"/>
  <c r="AK11" i="8"/>
  <c r="AK12" i="8"/>
  <c r="AK13" i="8"/>
  <c r="AK14" i="8"/>
  <c r="AK15" i="8"/>
  <c r="AK16" i="8"/>
  <c r="AK17" i="8"/>
  <c r="AK26" i="8"/>
  <c r="AK27" i="8"/>
  <c r="AK28" i="8"/>
  <c r="AK29" i="8"/>
  <c r="AK30" i="8"/>
  <c r="AK31" i="8"/>
  <c r="AK32" i="8"/>
  <c r="AK6" i="7"/>
  <c r="AK7" i="7"/>
  <c r="AK8" i="7"/>
  <c r="AK9" i="7"/>
  <c r="AK10" i="7"/>
  <c r="AK11" i="7"/>
  <c r="AK12" i="7"/>
  <c r="AK13" i="7"/>
  <c r="AK14" i="7"/>
  <c r="AK15" i="7"/>
  <c r="AK16" i="7"/>
  <c r="AK17" i="7"/>
  <c r="AK26" i="7"/>
  <c r="AK27" i="7"/>
  <c r="AK28" i="7"/>
  <c r="AK29" i="7"/>
  <c r="AK30" i="7"/>
  <c r="AK31" i="7"/>
  <c r="AK32" i="7"/>
  <c r="AI31" i="7"/>
  <c r="AE6" i="1"/>
  <c r="AE12" i="1"/>
  <c r="AE13" i="1"/>
  <c r="AE14" i="1"/>
  <c r="AE15" i="1"/>
  <c r="AE16" i="1"/>
  <c r="AE17" i="1"/>
  <c r="AE26" i="1"/>
  <c r="AE27" i="1"/>
  <c r="AE28" i="1"/>
  <c r="M29" i="1"/>
  <c r="AE29" i="1"/>
  <c r="Y7" i="1"/>
  <c r="Y8" i="1"/>
  <c r="AA6" i="1"/>
  <c r="AA12" i="1"/>
  <c r="AA13" i="1"/>
  <c r="AA14" i="1"/>
  <c r="AA15" i="1"/>
  <c r="AA16" i="1"/>
  <c r="AA17" i="1"/>
  <c r="AA26" i="1"/>
  <c r="AA27" i="1"/>
  <c r="AA28" i="1"/>
  <c r="AA29" i="1"/>
  <c r="AA8" i="1"/>
  <c r="AC6" i="1"/>
  <c r="AC12" i="1"/>
  <c r="AC13" i="1"/>
  <c r="AC14" i="1"/>
  <c r="AC15" i="1"/>
  <c r="AC16" i="1"/>
  <c r="AC17" i="1"/>
  <c r="AC26" i="1"/>
  <c r="AC27" i="1"/>
  <c r="AC28" i="1"/>
  <c r="AC29" i="1"/>
  <c r="Y9" i="1"/>
  <c r="AA9" i="1"/>
  <c r="Y10" i="1"/>
  <c r="AA10" i="1"/>
  <c r="Y11" i="1"/>
  <c r="AA11" i="1"/>
  <c r="AC8" i="1"/>
  <c r="AC9" i="1"/>
  <c r="AC10" i="1"/>
  <c r="AC11" i="1"/>
  <c r="AE8" i="1"/>
  <c r="AE9" i="1"/>
  <c r="AE10" i="1"/>
  <c r="AE11" i="1"/>
  <c r="J119" i="1"/>
  <c r="J124" i="1"/>
  <c r="J70" i="1"/>
  <c r="AA70" i="1"/>
  <c r="J39" i="1"/>
  <c r="Z8" i="1"/>
  <c r="Z39" i="1"/>
  <c r="AA39" i="1"/>
  <c r="J40" i="1"/>
  <c r="Z9" i="1"/>
  <c r="Z40" i="1"/>
  <c r="AA40" i="1"/>
  <c r="J41" i="1"/>
  <c r="Z11" i="1"/>
  <c r="Z41" i="1"/>
  <c r="AA41" i="1"/>
  <c r="J42" i="1"/>
  <c r="AA42" i="1"/>
  <c r="J43" i="1"/>
  <c r="AA43" i="1"/>
  <c r="J44" i="1"/>
  <c r="AA44" i="1"/>
  <c r="J45" i="1"/>
  <c r="AA45" i="1"/>
  <c r="J46" i="1"/>
  <c r="AA46" i="1"/>
  <c r="J47" i="1"/>
  <c r="AA47" i="1"/>
  <c r="J48" i="1"/>
  <c r="AA48" i="1"/>
  <c r="J49" i="1"/>
  <c r="AA49" i="1"/>
  <c r="J55" i="1"/>
  <c r="AA55" i="1"/>
  <c r="J56" i="1"/>
  <c r="AA56" i="1"/>
  <c r="J57" i="1"/>
  <c r="AA57" i="1"/>
  <c r="J58" i="1"/>
  <c r="AA58" i="1"/>
  <c r="J59" i="1"/>
  <c r="AA59" i="1"/>
  <c r="J60" i="1"/>
  <c r="AA60" i="1"/>
  <c r="J61" i="1"/>
  <c r="AA61" i="1"/>
  <c r="J62" i="1"/>
  <c r="AA62" i="1"/>
  <c r="J63" i="1"/>
  <c r="AA63" i="1"/>
  <c r="J64" i="1"/>
  <c r="AA64" i="1"/>
  <c r="AA37" i="1"/>
  <c r="AA38" i="1"/>
  <c r="AA65" i="1"/>
  <c r="AG6" i="1"/>
  <c r="Z7" i="1"/>
  <c r="AB7" i="1"/>
  <c r="AD7" i="1"/>
  <c r="AF7" i="1"/>
  <c r="AG7" i="1"/>
  <c r="AB8" i="1"/>
  <c r="AD8" i="1"/>
  <c r="AF8" i="1"/>
  <c r="AG8" i="1"/>
  <c r="AB9" i="1"/>
  <c r="AD9" i="1"/>
  <c r="AF9" i="1"/>
  <c r="AG9" i="1"/>
  <c r="Z10" i="1"/>
  <c r="AB10" i="1"/>
  <c r="AD10" i="1"/>
  <c r="AF10" i="1"/>
  <c r="AG10" i="1"/>
  <c r="AB11" i="1"/>
  <c r="AD11" i="1"/>
  <c r="AF11" i="1"/>
  <c r="AG11" i="1"/>
  <c r="AG12" i="1"/>
  <c r="AG13" i="1"/>
  <c r="AG14" i="1"/>
  <c r="AG15" i="1"/>
  <c r="AG16" i="1"/>
  <c r="AG17" i="1"/>
  <c r="AG26" i="1"/>
  <c r="AG27" i="1"/>
  <c r="AG28" i="1"/>
  <c r="AG29" i="1"/>
  <c r="J37" i="1"/>
  <c r="Z37" i="1"/>
  <c r="AC70" i="1"/>
  <c r="AB39" i="1"/>
  <c r="AC39" i="1"/>
  <c r="AB40" i="1"/>
  <c r="AC40" i="1"/>
  <c r="AB41" i="1"/>
  <c r="AC41" i="1"/>
  <c r="AC42" i="1"/>
  <c r="AC43" i="1"/>
  <c r="AC44" i="1"/>
  <c r="AC45" i="1"/>
  <c r="AC46" i="1"/>
  <c r="AC47" i="1"/>
  <c r="AC48" i="1"/>
  <c r="AC49" i="1"/>
  <c r="AC55" i="1"/>
  <c r="AC56" i="1"/>
  <c r="AC57" i="1"/>
  <c r="AC58" i="1"/>
  <c r="AC59" i="1"/>
  <c r="AC60" i="1"/>
  <c r="AC61" i="1"/>
  <c r="AC62" i="1"/>
  <c r="AC63" i="1"/>
  <c r="AC64" i="1"/>
  <c r="AC37" i="1"/>
  <c r="AB37" i="1"/>
  <c r="AE70" i="1"/>
  <c r="AD39" i="1"/>
  <c r="AE39" i="1"/>
  <c r="AD40" i="1"/>
  <c r="AE40" i="1"/>
  <c r="AD41" i="1"/>
  <c r="AE41" i="1"/>
  <c r="AE42" i="1"/>
  <c r="AE43" i="1"/>
  <c r="AE44" i="1"/>
  <c r="AE45" i="1"/>
  <c r="AE46" i="1"/>
  <c r="AE47" i="1"/>
  <c r="AE48" i="1"/>
  <c r="AE49" i="1"/>
  <c r="AE55" i="1"/>
  <c r="AE56" i="1"/>
  <c r="AE57" i="1"/>
  <c r="AE58" i="1"/>
  <c r="AE59" i="1"/>
  <c r="AE60" i="1"/>
  <c r="AE61" i="1"/>
  <c r="AE62" i="1"/>
  <c r="AE63" i="1"/>
  <c r="AE64" i="1"/>
  <c r="AE37" i="1"/>
  <c r="AD37" i="1"/>
  <c r="AF37" i="1"/>
  <c r="AG37" i="1"/>
  <c r="J38" i="1"/>
  <c r="Z38" i="1"/>
  <c r="AC38" i="1"/>
  <c r="AB38" i="1"/>
  <c r="AE38" i="1"/>
  <c r="AD38" i="1"/>
  <c r="AF38" i="1"/>
  <c r="AG38" i="1"/>
  <c r="AF39" i="1"/>
  <c r="AG39" i="1"/>
  <c r="AF40" i="1"/>
  <c r="AG40" i="1"/>
  <c r="AF41" i="1"/>
  <c r="AG41" i="1"/>
  <c r="AG42" i="1"/>
  <c r="AG43" i="1"/>
  <c r="AG44" i="1"/>
  <c r="AG45" i="1"/>
  <c r="AG46" i="1"/>
  <c r="AG47" i="1"/>
  <c r="AG48" i="1"/>
  <c r="AG49" i="1"/>
  <c r="AG55" i="1"/>
  <c r="AG56" i="1"/>
  <c r="AG57" i="1"/>
  <c r="AG58" i="1"/>
  <c r="AG59" i="1"/>
  <c r="AG60" i="1"/>
  <c r="AG61" i="1"/>
  <c r="AG62" i="1"/>
  <c r="AG63" i="1"/>
  <c r="AG64" i="1"/>
  <c r="AG65" i="1"/>
  <c r="AG70" i="1"/>
  <c r="J125" i="1"/>
  <c r="J128" i="1"/>
  <c r="J126" i="1"/>
  <c r="J127" i="1"/>
  <c r="J130" i="1"/>
  <c r="J129" i="1"/>
  <c r="J75" i="1"/>
  <c r="AA79" i="1"/>
  <c r="AA30" i="1"/>
  <c r="AA74" i="1"/>
  <c r="AC65" i="1"/>
  <c r="AC79" i="1"/>
  <c r="AC30" i="1"/>
  <c r="AC74" i="1"/>
  <c r="AE65" i="1"/>
  <c r="AE79" i="1"/>
  <c r="AE30" i="1"/>
  <c r="AE32" i="1"/>
  <c r="Y6" i="1"/>
  <c r="Y12" i="1"/>
  <c r="Y13" i="1"/>
  <c r="Y14" i="1"/>
  <c r="Y15" i="1"/>
  <c r="Y16" i="1"/>
  <c r="Y17" i="1"/>
  <c r="Y26" i="1"/>
  <c r="Y27" i="1"/>
  <c r="Y28" i="1"/>
  <c r="Y29" i="1"/>
  <c r="M30" i="1"/>
  <c r="Y30" i="1"/>
  <c r="M31" i="1"/>
  <c r="Y31" i="1"/>
  <c r="Y32" i="1"/>
  <c r="AE31" i="1"/>
  <c r="AE77" i="1"/>
  <c r="AE74" i="1"/>
  <c r="AG79" i="1"/>
  <c r="AG30" i="1"/>
  <c r="AG32" i="1"/>
  <c r="AG31" i="1"/>
  <c r="AG77" i="1"/>
  <c r="AK77" i="1"/>
  <c r="AA32" i="1"/>
  <c r="AA31" i="1"/>
  <c r="AA77" i="1"/>
  <c r="AC32" i="1"/>
  <c r="AC31" i="1"/>
  <c r="AC77" i="1"/>
  <c r="AI77" i="1"/>
  <c r="AI31" i="8"/>
  <c r="AK6" i="1"/>
  <c r="AK7" i="1"/>
  <c r="AK8" i="1"/>
  <c r="AK9" i="1"/>
  <c r="AK10" i="1"/>
  <c r="AK11" i="1"/>
  <c r="AK12" i="1"/>
  <c r="AK13" i="1"/>
  <c r="AK14" i="1"/>
  <c r="AK15" i="1"/>
  <c r="AK16" i="1"/>
  <c r="AK17" i="1"/>
  <c r="AK26" i="1"/>
  <c r="AK27" i="1"/>
  <c r="AK28" i="1"/>
  <c r="AK29" i="1"/>
  <c r="AK30" i="1"/>
  <c r="AK31" i="1"/>
  <c r="AK32" i="1"/>
  <c r="AI31" i="1"/>
  <c r="AI30" i="8"/>
  <c r="Z30" i="8"/>
  <c r="AB30" i="8"/>
  <c r="AD30" i="8"/>
  <c r="AF30" i="8"/>
  <c r="AH30" i="8"/>
  <c r="AA76" i="1"/>
  <c r="AC76" i="1"/>
  <c r="AJ76" i="1"/>
  <c r="AJ70" i="1"/>
  <c r="AJ74" i="1"/>
  <c r="AJ75" i="1"/>
  <c r="AE76" i="1"/>
  <c r="AG76" i="1"/>
  <c r="AK76" i="1"/>
  <c r="AK70" i="1"/>
  <c r="AG74" i="1"/>
  <c r="AK74" i="1"/>
  <c r="AK75" i="1"/>
  <c r="AI76" i="1"/>
  <c r="AI70" i="1"/>
  <c r="AI74" i="1"/>
  <c r="AI75" i="1"/>
  <c r="AI30" i="7"/>
  <c r="Z30" i="7"/>
  <c r="AB30" i="7"/>
  <c r="AD30" i="7"/>
  <c r="AF30" i="7"/>
  <c r="AH30" i="7"/>
  <c r="AI30" i="1"/>
  <c r="Z30" i="1"/>
  <c r="AB30" i="1"/>
  <c r="AD30" i="1"/>
  <c r="AF30" i="1"/>
  <c r="AH30" i="1"/>
  <c r="AA75" i="7"/>
  <c r="AC75" i="7"/>
  <c r="AE75" i="7"/>
  <c r="AG78" i="7"/>
  <c r="AA75" i="8"/>
  <c r="AC75" i="8"/>
  <c r="AE75" i="8"/>
  <c r="AG78" i="8"/>
  <c r="AA75" i="1"/>
  <c r="AC75" i="1"/>
  <c r="AE75" i="1"/>
  <c r="AG78" i="1"/>
  <c r="AE6" i="12"/>
  <c r="AE12" i="12"/>
  <c r="AE13" i="12"/>
  <c r="AE14" i="12"/>
  <c r="AE15" i="12"/>
  <c r="AE26" i="12"/>
  <c r="AE27" i="12"/>
  <c r="AE28" i="12"/>
  <c r="M29" i="12"/>
  <c r="AE29" i="12"/>
  <c r="Y7" i="12"/>
  <c r="Y8" i="12"/>
  <c r="AA6" i="12"/>
  <c r="AA12" i="12"/>
  <c r="AA13" i="12"/>
  <c r="AA14" i="12"/>
  <c r="AA15" i="12"/>
  <c r="AA26" i="12"/>
  <c r="AA27" i="12"/>
  <c r="AA28" i="12"/>
  <c r="AA29" i="12"/>
  <c r="AA8" i="12"/>
  <c r="AC6" i="12"/>
  <c r="AC12" i="12"/>
  <c r="AC13" i="12"/>
  <c r="AC14" i="12"/>
  <c r="AC15" i="12"/>
  <c r="AC26" i="12"/>
  <c r="AC27" i="12"/>
  <c r="AC28" i="12"/>
  <c r="AC29" i="12"/>
  <c r="Y9" i="12"/>
  <c r="AA9" i="12"/>
  <c r="Y10" i="12"/>
  <c r="AA10" i="12"/>
  <c r="Y11" i="12"/>
  <c r="AA11" i="12"/>
  <c r="AC8" i="12"/>
  <c r="AC9" i="12"/>
  <c r="AC10" i="12"/>
  <c r="AC11" i="12"/>
  <c r="AE8" i="12"/>
  <c r="AE9" i="12"/>
  <c r="AE10" i="12"/>
  <c r="AE11" i="12"/>
  <c r="J119" i="12"/>
  <c r="J124" i="12"/>
  <c r="J70" i="12"/>
  <c r="AA70" i="12"/>
  <c r="J39" i="12"/>
  <c r="Z8" i="12"/>
  <c r="Z39" i="12"/>
  <c r="AA39" i="12"/>
  <c r="J40" i="12"/>
  <c r="Z9" i="12"/>
  <c r="Z40" i="12"/>
  <c r="AA40" i="12"/>
  <c r="J41" i="12"/>
  <c r="Z11" i="12"/>
  <c r="Z41" i="12"/>
  <c r="AA41" i="12"/>
  <c r="J42" i="12"/>
  <c r="AA42" i="12"/>
  <c r="J43" i="12"/>
  <c r="AA43" i="12"/>
  <c r="J44" i="12"/>
  <c r="AA44" i="12"/>
  <c r="J45" i="12"/>
  <c r="AA45" i="12"/>
  <c r="J46" i="12"/>
  <c r="AA46" i="12"/>
  <c r="J47" i="12"/>
  <c r="AA47" i="12"/>
  <c r="J48" i="12"/>
  <c r="AA48" i="12"/>
  <c r="J49" i="12"/>
  <c r="AA49" i="12"/>
  <c r="J50" i="12"/>
  <c r="AA50" i="12"/>
  <c r="J51" i="12"/>
  <c r="AA51" i="12"/>
  <c r="J37" i="12"/>
  <c r="J38" i="12"/>
  <c r="AA37" i="12"/>
  <c r="AA38" i="12"/>
  <c r="AA65" i="12"/>
  <c r="AG6" i="12"/>
  <c r="Z7" i="12"/>
  <c r="AB7" i="12"/>
  <c r="AD7" i="12"/>
  <c r="AF7" i="12"/>
  <c r="AG7" i="12"/>
  <c r="AB8" i="12"/>
  <c r="AD8" i="12"/>
  <c r="AF8" i="12"/>
  <c r="AG8" i="12"/>
  <c r="AB9" i="12"/>
  <c r="AD9" i="12"/>
  <c r="AF9" i="12"/>
  <c r="AG9" i="12"/>
  <c r="Z10" i="12"/>
  <c r="AB10" i="12"/>
  <c r="AD10" i="12"/>
  <c r="AF10" i="12"/>
  <c r="AG10" i="12"/>
  <c r="AB11" i="12"/>
  <c r="AD11" i="12"/>
  <c r="AF11" i="12"/>
  <c r="AG11" i="12"/>
  <c r="AG12" i="12"/>
  <c r="AG13" i="12"/>
  <c r="AG14" i="12"/>
  <c r="AG15" i="12"/>
  <c r="AG26" i="12"/>
  <c r="AG27" i="12"/>
  <c r="AG28" i="12"/>
  <c r="AG29" i="12"/>
  <c r="Z37" i="12"/>
  <c r="AC70" i="12"/>
  <c r="AB39" i="12"/>
  <c r="AC39" i="12"/>
  <c r="AB40" i="12"/>
  <c r="AC40" i="12"/>
  <c r="AB41" i="12"/>
  <c r="AC41" i="12"/>
  <c r="AC42" i="12"/>
  <c r="AC43" i="12"/>
  <c r="AC44" i="12"/>
  <c r="AC45" i="12"/>
  <c r="AC46" i="12"/>
  <c r="AC47" i="12"/>
  <c r="AC48" i="12"/>
  <c r="AC49" i="12"/>
  <c r="AC50" i="12"/>
  <c r="AC51" i="12"/>
  <c r="AC37" i="12"/>
  <c r="AB37" i="12"/>
  <c r="AE70" i="12"/>
  <c r="AD39" i="12"/>
  <c r="AE39" i="12"/>
  <c r="AD40" i="12"/>
  <c r="AE40" i="12"/>
  <c r="AD41" i="12"/>
  <c r="AE41" i="12"/>
  <c r="AE42" i="12"/>
  <c r="AE43" i="12"/>
  <c r="AE44" i="12"/>
  <c r="AE45" i="12"/>
  <c r="AE46" i="12"/>
  <c r="AE47" i="12"/>
  <c r="AE48" i="12"/>
  <c r="AE49" i="12"/>
  <c r="AE50" i="12"/>
  <c r="AE51" i="12"/>
  <c r="AC38" i="12"/>
  <c r="AE37" i="12"/>
  <c r="AD37" i="12"/>
  <c r="AF37" i="12"/>
  <c r="AG37" i="12"/>
  <c r="Z38" i="12"/>
  <c r="AB38" i="12"/>
  <c r="AE38" i="12"/>
  <c r="AD38" i="12"/>
  <c r="AF38" i="12"/>
  <c r="AG38" i="12"/>
  <c r="AF39" i="12"/>
  <c r="AG39" i="12"/>
  <c r="AF40" i="12"/>
  <c r="AG40" i="12"/>
  <c r="AF41" i="12"/>
  <c r="AG41" i="12"/>
  <c r="AG42" i="12"/>
  <c r="AG43" i="12"/>
  <c r="AG44" i="12"/>
  <c r="AG45" i="12"/>
  <c r="AG46" i="12"/>
  <c r="AG47" i="12"/>
  <c r="AG48" i="12"/>
  <c r="AG49" i="12"/>
  <c r="AG50" i="12"/>
  <c r="AG51" i="12"/>
  <c r="AG65" i="12"/>
  <c r="AG70" i="12"/>
  <c r="J125" i="12"/>
  <c r="J128" i="12"/>
  <c r="J126" i="12"/>
  <c r="J127" i="12"/>
  <c r="J130" i="12"/>
  <c r="J129" i="12"/>
  <c r="J75" i="12"/>
  <c r="AA79" i="12"/>
  <c r="AA30" i="12"/>
  <c r="AA74" i="12"/>
  <c r="AC65" i="12"/>
  <c r="AC79" i="12"/>
  <c r="AC30" i="12"/>
  <c r="AC74" i="12"/>
  <c r="AE65" i="12"/>
  <c r="AE79" i="12"/>
  <c r="AE30" i="12"/>
  <c r="AE32" i="12"/>
  <c r="Y6" i="12"/>
  <c r="Y12" i="12"/>
  <c r="Y13" i="12"/>
  <c r="Y14" i="12"/>
  <c r="Y15" i="12"/>
  <c r="Y26" i="12"/>
  <c r="Y27" i="12"/>
  <c r="Y28" i="12"/>
  <c r="Y29" i="12"/>
  <c r="M30" i="12"/>
  <c r="Y30" i="12"/>
  <c r="M31" i="12"/>
  <c r="Y31" i="12"/>
  <c r="Y32" i="12"/>
  <c r="AE31" i="12"/>
  <c r="AE77" i="12"/>
  <c r="AE74" i="12"/>
  <c r="AG79" i="12"/>
  <c r="AG30" i="12"/>
  <c r="AG32" i="12"/>
  <c r="AG31" i="12"/>
  <c r="AG77" i="12"/>
  <c r="AK77" i="12"/>
  <c r="AA32" i="12"/>
  <c r="AA31" i="12"/>
  <c r="AA77" i="12"/>
  <c r="AC32" i="12"/>
  <c r="AC31" i="12"/>
  <c r="AC77" i="12"/>
  <c r="AI77" i="12"/>
  <c r="AK6" i="12"/>
  <c r="AK7" i="12"/>
  <c r="AK8" i="12"/>
  <c r="AK9" i="12"/>
  <c r="AK10" i="12"/>
  <c r="AK11" i="12"/>
  <c r="AK12" i="12"/>
  <c r="AK13" i="12"/>
  <c r="AK14" i="12"/>
  <c r="AK15" i="12"/>
  <c r="AK26" i="12"/>
  <c r="AK27" i="12"/>
  <c r="AK28" i="12"/>
  <c r="AK29" i="12"/>
  <c r="AK30" i="12"/>
  <c r="AK31" i="12"/>
  <c r="AK32" i="12"/>
  <c r="AJ77" i="7"/>
  <c r="AJ77" i="8"/>
  <c r="AI31" i="12"/>
  <c r="AE78" i="8"/>
  <c r="AA76" i="12"/>
  <c r="AC76" i="12"/>
  <c r="AJ76" i="12"/>
  <c r="AJ70" i="12"/>
  <c r="AJ74" i="12"/>
  <c r="AJ75" i="12"/>
  <c r="AE76" i="12"/>
  <c r="AG76" i="12"/>
  <c r="AK76" i="12"/>
  <c r="AK70" i="12"/>
  <c r="AG74" i="12"/>
  <c r="AK74" i="12"/>
  <c r="AK75" i="12"/>
  <c r="AI76" i="12"/>
  <c r="AI70" i="12"/>
  <c r="AI74" i="12"/>
  <c r="AI75" i="12"/>
  <c r="AE78" i="7"/>
  <c r="AJ77" i="1"/>
  <c r="AJ6" i="8"/>
  <c r="AJ8" i="8"/>
  <c r="AJ9" i="8"/>
  <c r="AJ10" i="8"/>
  <c r="AJ11" i="8"/>
  <c r="AJ12" i="8"/>
  <c r="AJ13" i="8"/>
  <c r="AJ14" i="8"/>
  <c r="AJ15" i="8"/>
  <c r="AJ16" i="8"/>
  <c r="AJ17" i="8"/>
  <c r="AJ26" i="8"/>
  <c r="AJ27" i="8"/>
  <c r="AJ28" i="8"/>
  <c r="AJ29" i="8"/>
  <c r="AJ30" i="8"/>
  <c r="AJ31" i="8"/>
  <c r="AJ32" i="8"/>
  <c r="AE78" i="1"/>
  <c r="AJ6" i="7"/>
  <c r="AJ8" i="7"/>
  <c r="AJ9" i="7"/>
  <c r="AJ10" i="7"/>
  <c r="AJ11" i="7"/>
  <c r="AJ12" i="7"/>
  <c r="AJ13" i="7"/>
  <c r="AJ14" i="7"/>
  <c r="AJ15" i="7"/>
  <c r="AJ16" i="7"/>
  <c r="AJ17" i="7"/>
  <c r="AJ26" i="7"/>
  <c r="AJ27" i="7"/>
  <c r="AJ28" i="7"/>
  <c r="AJ29" i="7"/>
  <c r="AJ30" i="7"/>
  <c r="AJ31" i="7"/>
  <c r="AJ32" i="7"/>
  <c r="AI30" i="12"/>
  <c r="Z30" i="12"/>
  <c r="AB30" i="12"/>
  <c r="AD30" i="12"/>
  <c r="AF30" i="12"/>
  <c r="AH30" i="12"/>
  <c r="AA75" i="12"/>
  <c r="AC75" i="12"/>
  <c r="AE75" i="12"/>
  <c r="AG78" i="12"/>
  <c r="AJ6" i="1"/>
  <c r="AJ8" i="1"/>
  <c r="AJ9" i="1"/>
  <c r="AJ10" i="1"/>
  <c r="AJ11" i="1"/>
  <c r="AJ12" i="1"/>
  <c r="AJ13" i="1"/>
  <c r="AJ14" i="1"/>
  <c r="AJ15" i="1"/>
  <c r="AJ16" i="1"/>
  <c r="AJ17" i="1"/>
  <c r="AJ26" i="1"/>
  <c r="AJ27" i="1"/>
  <c r="AJ28" i="1"/>
  <c r="AJ29" i="1"/>
  <c r="AJ30" i="1"/>
  <c r="AJ31" i="1"/>
  <c r="AJ32" i="1"/>
  <c r="AC78" i="7"/>
  <c r="AC78" i="8"/>
  <c r="AJ77" i="12"/>
  <c r="AE78" i="12"/>
  <c r="AC78" i="1"/>
  <c r="AJ6" i="12"/>
  <c r="AJ8" i="12"/>
  <c r="AJ9" i="12"/>
  <c r="AJ10" i="12"/>
  <c r="AJ11" i="12"/>
  <c r="AJ12" i="12"/>
  <c r="AJ13" i="12"/>
  <c r="AJ14" i="12"/>
  <c r="AJ15" i="12"/>
  <c r="AJ26" i="12"/>
  <c r="AJ27" i="12"/>
  <c r="AJ28" i="12"/>
  <c r="AJ29" i="12"/>
  <c r="AJ30" i="12"/>
  <c r="AJ31" i="12"/>
  <c r="AJ32" i="12"/>
  <c r="AG75" i="8"/>
  <c r="AA78" i="8"/>
  <c r="AC78" i="12"/>
  <c r="AA78" i="7"/>
  <c r="AG75" i="7"/>
  <c r="AH37" i="7"/>
  <c r="AA78" i="1"/>
  <c r="AG75" i="1"/>
  <c r="AI37" i="7"/>
  <c r="AI38" i="7"/>
  <c r="AI39" i="7"/>
  <c r="AI40" i="7"/>
  <c r="AI41" i="7"/>
  <c r="AI42" i="7"/>
  <c r="AI43" i="7"/>
  <c r="AI44" i="7"/>
  <c r="AI45" i="7"/>
  <c r="AI46" i="7"/>
  <c r="AI47" i="7"/>
  <c r="AI48" i="7"/>
  <c r="AI49" i="7"/>
  <c r="AI50" i="7"/>
  <c r="AI51" i="7"/>
  <c r="AI52" i="7"/>
  <c r="AI58" i="7"/>
  <c r="AI59" i="7"/>
  <c r="AI60" i="7"/>
  <c r="AI61" i="7"/>
  <c r="AI62" i="7"/>
  <c r="AI63" i="7"/>
  <c r="AI64" i="7"/>
  <c r="AI65" i="7"/>
  <c r="AK37" i="7"/>
  <c r="AK38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8" i="7"/>
  <c r="AK59" i="7"/>
  <c r="AK60" i="7"/>
  <c r="AK61" i="7"/>
  <c r="AK62" i="7"/>
  <c r="AK63" i="7"/>
  <c r="AK64" i="7"/>
  <c r="AK65" i="7"/>
  <c r="AI37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8" i="8"/>
  <c r="AI59" i="8"/>
  <c r="AI60" i="8"/>
  <c r="AI61" i="8"/>
  <c r="AI62" i="8"/>
  <c r="AI63" i="8"/>
  <c r="AI64" i="8"/>
  <c r="AI65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8" i="8"/>
  <c r="AK59" i="8"/>
  <c r="AK60" i="8"/>
  <c r="AK61" i="8"/>
  <c r="AK62" i="8"/>
  <c r="AK63" i="8"/>
  <c r="AK64" i="8"/>
  <c r="AK65" i="8"/>
  <c r="AK37" i="12"/>
  <c r="AK38" i="12"/>
  <c r="AK39" i="12"/>
  <c r="AK40" i="12"/>
  <c r="AK41" i="12"/>
  <c r="AK42" i="12"/>
  <c r="AK43" i="12"/>
  <c r="AK44" i="12"/>
  <c r="AK45" i="12"/>
  <c r="AK46" i="12"/>
  <c r="AK47" i="12"/>
  <c r="AK48" i="12"/>
  <c r="AK49" i="12"/>
  <c r="AK50" i="12"/>
  <c r="AK51" i="12"/>
  <c r="AK65" i="12"/>
  <c r="AH37" i="8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5" i="1"/>
  <c r="AI56" i="1"/>
  <c r="AI57" i="1"/>
  <c r="AI58" i="1"/>
  <c r="AI59" i="1"/>
  <c r="AI60" i="1"/>
  <c r="AI61" i="1"/>
  <c r="AI62" i="1"/>
  <c r="AI63" i="1"/>
  <c r="AI64" i="1"/>
  <c r="AI65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5" i="1"/>
  <c r="AK56" i="1"/>
  <c r="AK57" i="1"/>
  <c r="AK58" i="1"/>
  <c r="AK59" i="1"/>
  <c r="AK60" i="1"/>
  <c r="AK61" i="1"/>
  <c r="AK62" i="1"/>
  <c r="AK63" i="1"/>
  <c r="AK64" i="1"/>
  <c r="AK65" i="1"/>
  <c r="AH37" i="1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65" i="12"/>
  <c r="AJ37" i="7"/>
  <c r="AJ38" i="7"/>
  <c r="AJ39" i="7"/>
  <c r="AJ40" i="7"/>
  <c r="AJ41" i="7"/>
  <c r="AJ42" i="7"/>
  <c r="AJ43" i="7"/>
  <c r="AJ44" i="7"/>
  <c r="AJ45" i="7"/>
  <c r="AJ46" i="7"/>
  <c r="AJ47" i="7"/>
  <c r="AJ48" i="7"/>
  <c r="AJ49" i="7"/>
  <c r="AJ50" i="7"/>
  <c r="AJ51" i="7"/>
  <c r="AJ52" i="7"/>
  <c r="AJ58" i="7"/>
  <c r="AJ59" i="7"/>
  <c r="AJ60" i="7"/>
  <c r="AJ61" i="7"/>
  <c r="AJ62" i="7"/>
  <c r="AJ63" i="7"/>
  <c r="AJ64" i="7"/>
  <c r="AJ65" i="7"/>
  <c r="AH40" i="8"/>
  <c r="AH39" i="7"/>
  <c r="AG75" i="12"/>
  <c r="AA78" i="12"/>
  <c r="AJ37" i="8"/>
  <c r="AJ38" i="8"/>
  <c r="AJ39" i="8"/>
  <c r="AJ40" i="8"/>
  <c r="AJ41" i="8"/>
  <c r="AJ42" i="8"/>
  <c r="AJ43" i="8"/>
  <c r="AJ44" i="8"/>
  <c r="AJ45" i="8"/>
  <c r="AJ46" i="8"/>
  <c r="AJ47" i="8"/>
  <c r="AJ48" i="8"/>
  <c r="AJ49" i="8"/>
  <c r="AJ50" i="8"/>
  <c r="AJ51" i="8"/>
  <c r="AJ52" i="8"/>
  <c r="AJ58" i="8"/>
  <c r="AJ59" i="8"/>
  <c r="AJ60" i="8"/>
  <c r="AJ61" i="8"/>
  <c r="AJ62" i="8"/>
  <c r="AJ63" i="8"/>
  <c r="AJ64" i="8"/>
  <c r="AJ65" i="8"/>
  <c r="AH39" i="12"/>
  <c r="AJ37" i="12"/>
  <c r="AJ38" i="12"/>
  <c r="AJ39" i="12"/>
  <c r="AJ40" i="12"/>
  <c r="AJ41" i="12"/>
  <c r="AJ42" i="12"/>
  <c r="AJ43" i="12"/>
  <c r="AJ44" i="12"/>
  <c r="AJ45" i="12"/>
  <c r="AJ46" i="12"/>
  <c r="AJ47" i="12"/>
  <c r="AJ48" i="12"/>
  <c r="AJ49" i="12"/>
  <c r="AJ50" i="12"/>
  <c r="AJ51" i="12"/>
  <c r="AJ65" i="12"/>
  <c r="AH39" i="8"/>
  <c r="AH8" i="7"/>
  <c r="AI8" i="12"/>
  <c r="AI8" i="8"/>
  <c r="AH40" i="7"/>
  <c r="AH8" i="12"/>
  <c r="AH40" i="1"/>
  <c r="AH39" i="1"/>
  <c r="AI9" i="8"/>
  <c r="AI8" i="7"/>
  <c r="AH9" i="8"/>
  <c r="AI9" i="7"/>
  <c r="AH8" i="8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5" i="1"/>
  <c r="AJ56" i="1"/>
  <c r="AJ57" i="1"/>
  <c r="AJ58" i="1"/>
  <c r="AJ59" i="1"/>
  <c r="AJ60" i="1"/>
  <c r="AJ61" i="1"/>
  <c r="AJ62" i="1"/>
  <c r="AJ63" i="1"/>
  <c r="AJ64" i="1"/>
  <c r="AJ65" i="1"/>
  <c r="AI9" i="1"/>
  <c r="AI10" i="1"/>
  <c r="AH9" i="7"/>
  <c r="AH10" i="1"/>
  <c r="AI8" i="1"/>
  <c r="AH8" i="1"/>
  <c r="AH9" i="1"/>
  <c r="AI11" i="8"/>
  <c r="M70" i="8"/>
  <c r="J73" i="8"/>
  <c r="M73" i="8"/>
  <c r="J74" i="8"/>
  <c r="M74" i="8"/>
  <c r="M75" i="8"/>
  <c r="M76" i="8"/>
  <c r="M129" i="8"/>
  <c r="AI10" i="12"/>
  <c r="AI11" i="12"/>
  <c r="AI9" i="12"/>
  <c r="AI10" i="8"/>
  <c r="AI11" i="7"/>
  <c r="M124" i="8"/>
  <c r="M130" i="8"/>
  <c r="J76" i="8"/>
  <c r="AH38" i="8"/>
  <c r="AI6" i="8"/>
  <c r="J131" i="8"/>
  <c r="J77" i="8"/>
  <c r="M77" i="8"/>
  <c r="N34" i="8"/>
  <c r="AH41" i="12"/>
  <c r="AI11" i="1"/>
  <c r="M70" i="12"/>
  <c r="J71" i="12"/>
  <c r="M71" i="12"/>
  <c r="J72" i="12"/>
  <c r="M72" i="12"/>
  <c r="J73" i="12"/>
  <c r="M73" i="12"/>
  <c r="J74" i="12"/>
  <c r="M74" i="12"/>
  <c r="M75" i="12"/>
  <c r="M76" i="12"/>
  <c r="AH41" i="7"/>
  <c r="AI10" i="7"/>
  <c r="M70" i="7"/>
  <c r="J71" i="7"/>
  <c r="M71" i="7"/>
  <c r="J72" i="7"/>
  <c r="M72" i="7"/>
  <c r="J73" i="7"/>
  <c r="M73" i="7"/>
  <c r="J74" i="7"/>
  <c r="M74" i="7"/>
  <c r="M75" i="7"/>
  <c r="M76" i="7"/>
  <c r="AH40" i="12"/>
  <c r="AH10" i="8"/>
  <c r="N31" i="8"/>
  <c r="AH41" i="8"/>
  <c r="I72" i="9"/>
  <c r="AI26" i="8"/>
  <c r="AI12" i="8"/>
  <c r="AI15" i="8"/>
  <c r="AI29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J53" i="8"/>
  <c r="M53" i="8"/>
  <c r="J54" i="8"/>
  <c r="M54" i="8"/>
  <c r="J55" i="8"/>
  <c r="M55" i="8"/>
  <c r="J56" i="8"/>
  <c r="M56" i="8"/>
  <c r="J57" i="8"/>
  <c r="M57" i="8"/>
  <c r="M58" i="8"/>
  <c r="M59" i="8"/>
  <c r="M60" i="8"/>
  <c r="M61" i="8"/>
  <c r="M62" i="8"/>
  <c r="M63" i="8"/>
  <c r="M64" i="8"/>
  <c r="M65" i="8"/>
  <c r="J65" i="8"/>
  <c r="AI28" i="8"/>
  <c r="I74" i="9"/>
  <c r="M119" i="8"/>
  <c r="AI16" i="8"/>
  <c r="AI27" i="8"/>
  <c r="AI17" i="8"/>
  <c r="AI14" i="8"/>
  <c r="M128" i="8"/>
  <c r="AI13" i="8"/>
  <c r="M70" i="1"/>
  <c r="J71" i="1"/>
  <c r="M71" i="1"/>
  <c r="J72" i="1"/>
  <c r="M72" i="1"/>
  <c r="J73" i="1"/>
  <c r="M73" i="1"/>
  <c r="J74" i="1"/>
  <c r="M74" i="1"/>
  <c r="M75" i="1"/>
  <c r="M76" i="1"/>
  <c r="M129" i="7"/>
  <c r="AI7" i="12"/>
  <c r="AI7" i="7"/>
  <c r="AH38" i="7"/>
  <c r="AH9" i="12"/>
  <c r="AH7" i="12"/>
  <c r="AH7" i="7"/>
  <c r="AI7" i="8"/>
  <c r="J131" i="12"/>
  <c r="J77" i="12"/>
  <c r="M77" i="12"/>
  <c r="N34" i="12"/>
  <c r="AH41" i="1"/>
  <c r="AH38" i="12"/>
  <c r="AH37" i="12"/>
  <c r="AH10" i="12"/>
  <c r="AH10" i="7"/>
  <c r="AH7" i="8"/>
  <c r="AH11" i="12"/>
  <c r="AH11" i="7"/>
  <c r="J131" i="1"/>
  <c r="J77" i="1"/>
  <c r="M77" i="1"/>
  <c r="N34" i="1"/>
  <c r="I85" i="9"/>
  <c r="I78" i="9"/>
  <c r="I82" i="9"/>
  <c r="I79" i="9"/>
  <c r="AH11" i="8"/>
  <c r="I73" i="9"/>
  <c r="I83" i="9"/>
  <c r="I76" i="9"/>
  <c r="I80" i="9"/>
  <c r="I81" i="9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65" i="12"/>
  <c r="AH38" i="1"/>
  <c r="J131" i="7"/>
  <c r="J77" i="7"/>
  <c r="M77" i="7"/>
  <c r="N34" i="7"/>
  <c r="AI6" i="12"/>
  <c r="N31" i="12"/>
  <c r="AH7" i="1"/>
  <c r="AH11" i="1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J53" i="7"/>
  <c r="M53" i="7"/>
  <c r="J54" i="7"/>
  <c r="M54" i="7"/>
  <c r="J55" i="7"/>
  <c r="M55" i="7"/>
  <c r="J56" i="7"/>
  <c r="M56" i="7"/>
  <c r="J57" i="7"/>
  <c r="M57" i="7"/>
  <c r="M58" i="7"/>
  <c r="M59" i="7"/>
  <c r="M60" i="7"/>
  <c r="M61" i="7"/>
  <c r="M62" i="7"/>
  <c r="M63" i="7"/>
  <c r="M64" i="7"/>
  <c r="M65" i="7"/>
  <c r="M124" i="7"/>
  <c r="AI7" i="1"/>
  <c r="M130" i="7"/>
  <c r="J76" i="7"/>
  <c r="J76" i="12"/>
  <c r="AI6" i="7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J50" i="1"/>
  <c r="M50" i="1"/>
  <c r="J51" i="1"/>
  <c r="M51" i="1"/>
  <c r="J52" i="1"/>
  <c r="M52" i="1"/>
  <c r="J53" i="1"/>
  <c r="M53" i="1"/>
  <c r="J54" i="1"/>
  <c r="M54" i="1"/>
  <c r="M55" i="1"/>
  <c r="M56" i="1"/>
  <c r="M57" i="1"/>
  <c r="M58" i="1"/>
  <c r="M59" i="1"/>
  <c r="M60" i="1"/>
  <c r="M61" i="1"/>
  <c r="M62" i="1"/>
  <c r="M63" i="1"/>
  <c r="M64" i="1"/>
  <c r="M65" i="1"/>
  <c r="F79" i="9"/>
  <c r="F73" i="9"/>
  <c r="AI16" i="7"/>
  <c r="AI6" i="1"/>
  <c r="AI12" i="12"/>
  <c r="F83" i="9"/>
  <c r="F74" i="9"/>
  <c r="H74" i="9"/>
  <c r="H83" i="9"/>
  <c r="M119" i="12"/>
  <c r="AI14" i="12"/>
  <c r="AI14" i="7"/>
  <c r="AI28" i="12"/>
  <c r="AI17" i="7"/>
  <c r="J65" i="7"/>
  <c r="F72" i="9"/>
  <c r="AI26" i="7"/>
  <c r="AI29" i="7"/>
  <c r="AI28" i="7"/>
  <c r="AI27" i="7"/>
  <c r="H76" i="9"/>
  <c r="H79" i="9"/>
  <c r="F76" i="9"/>
  <c r="AI26" i="12"/>
  <c r="M128" i="7"/>
  <c r="J76" i="1"/>
  <c r="AI13" i="12"/>
  <c r="H72" i="9"/>
  <c r="AI15" i="12"/>
  <c r="AI15" i="7"/>
  <c r="AI12" i="7"/>
  <c r="AI13" i="7"/>
  <c r="N31" i="7"/>
  <c r="M119" i="7"/>
  <c r="AI27" i="12"/>
  <c r="J65" i="12"/>
  <c r="H78" i="9"/>
  <c r="H73" i="9"/>
  <c r="F78" i="9"/>
  <c r="G73" i="9"/>
  <c r="AI17" i="1"/>
  <c r="J65" i="1"/>
  <c r="AI27" i="1"/>
  <c r="AI26" i="1"/>
  <c r="N31" i="1"/>
  <c r="L131" i="8"/>
  <c r="L77" i="8"/>
  <c r="AI13" i="1"/>
  <c r="AI12" i="1"/>
  <c r="AI29" i="12"/>
  <c r="H85" i="9"/>
  <c r="M119" i="1"/>
  <c r="H82" i="9"/>
  <c r="AI29" i="1"/>
  <c r="AI14" i="1"/>
  <c r="G79" i="9"/>
  <c r="AI15" i="1"/>
  <c r="G74" i="9"/>
  <c r="H81" i="9"/>
  <c r="H80" i="9"/>
  <c r="G78" i="9"/>
  <c r="AI28" i="1"/>
  <c r="G72" i="9"/>
  <c r="G76" i="9"/>
  <c r="G83" i="9"/>
  <c r="L131" i="12"/>
  <c r="L77" i="12"/>
  <c r="AI16" i="1"/>
  <c r="G80" i="9"/>
  <c r="L131" i="7"/>
  <c r="L77" i="7"/>
  <c r="G85" i="9"/>
  <c r="G81" i="9"/>
  <c r="G82" i="9"/>
  <c r="L131" i="1"/>
  <c r="L77" i="1"/>
  <c r="I77" i="8"/>
  <c r="I87" i="9"/>
  <c r="I77" i="12"/>
  <c r="H87" i="9"/>
  <c r="I77" i="1"/>
  <c r="I77" i="7"/>
  <c r="G87" i="9"/>
  <c r="M125" i="8"/>
  <c r="M125" i="7"/>
  <c r="F88" i="9"/>
  <c r="F98" i="9"/>
  <c r="G88" i="9"/>
  <c r="G98" i="9"/>
  <c r="H88" i="9"/>
  <c r="H98" i="9"/>
  <c r="I88" i="9"/>
  <c r="I98" i="9"/>
  <c r="F99" i="9"/>
  <c r="G99" i="9"/>
  <c r="H99" i="9"/>
  <c r="I99" i="9"/>
  <c r="G100" i="9"/>
  <c r="H100" i="9"/>
  <c r="I100" i="9"/>
  <c r="F101" i="9"/>
  <c r="G101" i="9"/>
  <c r="H101" i="9"/>
  <c r="I101" i="9"/>
  <c r="F100" i="9"/>
  <c r="M124" i="1"/>
  <c r="M125" i="1"/>
  <c r="M128" i="1"/>
  <c r="M129" i="1"/>
  <c r="M130" i="1"/>
  <c r="M127" i="1"/>
  <c r="M126" i="1"/>
  <c r="M124" i="12"/>
  <c r="M125" i="12"/>
  <c r="M128" i="12"/>
  <c r="M129" i="12"/>
  <c r="M130" i="12"/>
  <c r="J72" i="8"/>
  <c r="J71" i="8"/>
  <c r="M127" i="12"/>
  <c r="M126" i="12"/>
  <c r="M127" i="7"/>
  <c r="M126" i="7"/>
  <c r="M127" i="8"/>
  <c r="M126" i="8"/>
  <c r="M131" i="8"/>
  <c r="M131" i="7"/>
  <c r="M131" i="1"/>
  <c r="M131" i="12"/>
</calcChain>
</file>

<file path=xl/comments1.xml><?xml version="1.0" encoding="utf-8"?>
<comments xmlns="http://schemas.openxmlformats.org/spreadsheetml/2006/main">
  <authors>
    <author>Mark Lawrence</author>
  </authors>
  <commentList>
    <comment ref="E30" authorId="0">
      <text>
        <r>
          <rPr>
            <sz val="8"/>
            <color indexed="81"/>
            <rFont val="Tahoma"/>
            <family val="2"/>
          </rPr>
          <t xml:space="preserve">This cell may be used to specify a problem of physical access to food markets. It is locked as it is rarely used.
</t>
        </r>
      </text>
    </comment>
  </commentList>
</comments>
</file>

<file path=xl/sharedStrings.xml><?xml version="1.0" encoding="utf-8"?>
<sst xmlns="http://schemas.openxmlformats.org/spreadsheetml/2006/main" count="849" uniqueCount="189">
  <si>
    <t>Spreadsheet prepared by The Food Economy Group, 2003</t>
  </si>
  <si>
    <t>BASELINE ACCESS</t>
  </si>
  <si>
    <t>PROBLEM SPECIFICATION</t>
  </si>
  <si>
    <t>RESPONSE</t>
  </si>
  <si>
    <t>SUMMARY</t>
  </si>
  <si>
    <t>Sources of Food : Poor HHs</t>
  </si>
  <si>
    <t>Graph Titles</t>
  </si>
  <si>
    <t>Baseline</t>
  </si>
  <si>
    <t>Expand</t>
  </si>
  <si>
    <t>Max.</t>
  </si>
  <si>
    <t>Problem</t>
  </si>
  <si>
    <t>Food Intake</t>
  </si>
  <si>
    <t>Con.prob</t>
  </si>
  <si>
    <t>Max.curr</t>
  </si>
  <si>
    <t>Curr.</t>
  </si>
  <si>
    <t>Initial</t>
  </si>
  <si>
    <t>Access</t>
  </si>
  <si>
    <t>-ability</t>
  </si>
  <si>
    <t>%norm</t>
  </si>
  <si>
    <t>Deficit</t>
  </si>
  <si>
    <t>Initial Deficit</t>
  </si>
  <si>
    <t>baseline:</t>
  </si>
  <si>
    <t>Response</t>
  </si>
  <si>
    <t>for analysis:</t>
  </si>
  <si>
    <t>total</t>
  </si>
  <si>
    <t>adj.fact =</t>
  </si>
  <si>
    <t>Income : Poor HHs</t>
  </si>
  <si>
    <t>% of baseline income</t>
  </si>
  <si>
    <t>Comm.</t>
  </si>
  <si>
    <t>Staple</t>
  </si>
  <si>
    <t>Cash</t>
  </si>
  <si>
    <t>Price</t>
  </si>
  <si>
    <t>total:</t>
  </si>
  <si>
    <t>Expenditure : Poor HHs</t>
  </si>
  <si>
    <t>% of baseline expenditure</t>
  </si>
  <si>
    <t>Expend</t>
  </si>
  <si>
    <t>exp. deficit</t>
  </si>
  <si>
    <t>Cost of staple</t>
  </si>
  <si>
    <t>name of staple</t>
  </si>
  <si>
    <t>kg pppd</t>
  </si>
  <si>
    <t>HH size</t>
  </si>
  <si>
    <t>cost per kg</t>
  </si>
  <si>
    <t>cost of staple</t>
  </si>
  <si>
    <t>Exchange rate ($1 = amount of local currency)</t>
  </si>
  <si>
    <t>%food equivalents</t>
  </si>
  <si>
    <t>,</t>
  </si>
  <si>
    <t>Sources of Food : Middle HHs</t>
  </si>
  <si>
    <t>Income : Middle HHs</t>
  </si>
  <si>
    <t>Expenditure : Middle HHs</t>
  </si>
  <si>
    <t>Sources of Food : Better-off HHs</t>
  </si>
  <si>
    <t>Income : Better-off HHs</t>
  </si>
  <si>
    <t>Expenditure : Better-off HHs</t>
  </si>
  <si>
    <t>Sources of Food : Very Poor HHs</t>
  </si>
  <si>
    <t>Income : Very Poor HHs</t>
  </si>
  <si>
    <t>Expenditure : Very Poor HHs</t>
  </si>
  <si>
    <t>other</t>
  </si>
  <si>
    <t>Purchase - staple</t>
  </si>
  <si>
    <t>food deficit</t>
  </si>
  <si>
    <t>MAX</t>
  </si>
  <si>
    <t>1st avail?</t>
  </si>
  <si>
    <t>VALUES</t>
  </si>
  <si>
    <t xml:space="preserve">(curr acc. </t>
  </si>
  <si>
    <t>× 4)</t>
  </si>
  <si>
    <t>Max.staple</t>
  </si>
  <si>
    <t>Staple Price fluctuation</t>
  </si>
  <si>
    <t>Average</t>
  </si>
  <si>
    <t>cost per kg each season</t>
  </si>
  <si>
    <t>Quarter</t>
  </si>
  <si>
    <t>Total Income Graph</t>
  </si>
  <si>
    <t>Summary</t>
  </si>
  <si>
    <t>Init Def</t>
  </si>
  <si>
    <t>Own crops Consumed</t>
  </si>
  <si>
    <t>Own crops sold</t>
  </si>
  <si>
    <t>Animal products consumed</t>
  </si>
  <si>
    <t>Animal products sold</t>
  </si>
  <si>
    <t>Animals sold</t>
  </si>
  <si>
    <t>Labour - casual</t>
  </si>
  <si>
    <t>Labour - formal emp</t>
  </si>
  <si>
    <t>Self - employment</t>
  </si>
  <si>
    <t>Food transfer - official</t>
  </si>
  <si>
    <t>Food transfer - gifts</t>
  </si>
  <si>
    <t>Cash transfer - official</t>
  </si>
  <si>
    <t>Cash transfer - gifts</t>
  </si>
  <si>
    <t>Other</t>
  </si>
  <si>
    <t>Survival deficit - % min cal</t>
  </si>
  <si>
    <t>Livelihoods Threshold</t>
  </si>
  <si>
    <t>Sur def-CASH</t>
  </si>
  <si>
    <t>Liv def-Cash</t>
  </si>
  <si>
    <t>Baseline: v poor</t>
  </si>
  <si>
    <t>Baseline: poor</t>
  </si>
  <si>
    <t>Baseline: middle</t>
  </si>
  <si>
    <t>Baseline: b-off</t>
  </si>
  <si>
    <t>Current: v poor</t>
  </si>
  <si>
    <t>Current: poor</t>
  </si>
  <si>
    <t>Current: Middle</t>
  </si>
  <si>
    <t>Current: b-off</t>
  </si>
  <si>
    <t>Poor</t>
  </si>
  <si>
    <t>Very Poor</t>
  </si>
  <si>
    <t>Middle</t>
  </si>
  <si>
    <t>Better-off</t>
  </si>
  <si>
    <t>TOTAL</t>
  </si>
  <si>
    <t>Survival Threshold</t>
  </si>
  <si>
    <t>ME Cash</t>
  </si>
  <si>
    <t>Carry over brought in</t>
  </si>
  <si>
    <t>Carry Out</t>
  </si>
  <si>
    <t>Apr-Jun</t>
  </si>
  <si>
    <t>Jul-Sep</t>
  </si>
  <si>
    <t>Oct-Dec</t>
  </si>
  <si>
    <t>Jan-Mar</t>
  </si>
  <si>
    <t>Q1</t>
  </si>
  <si>
    <t>Q2</t>
  </si>
  <si>
    <t>Q3</t>
  </si>
  <si>
    <t>Q4</t>
  </si>
  <si>
    <t>H1</t>
  </si>
  <si>
    <t>H2</t>
  </si>
  <si>
    <t>TOTAL INCOME</t>
  </si>
  <si>
    <t>Joining lines</t>
  </si>
  <si>
    <t>Gini coefficient = (Integral of 6th order polynomial from 0 to 1.00)/((0.5 * (max income - min income)) + min income)</t>
  </si>
  <si>
    <t>Denominator</t>
  </si>
  <si>
    <t>Gini coefficient =</t>
  </si>
  <si>
    <t>Numerator:</t>
  </si>
  <si>
    <t>National GC (02-03):</t>
  </si>
  <si>
    <t>Rural GC (02-03):</t>
  </si>
  <si>
    <t>min.non-staple+ess food contrib</t>
  </si>
  <si>
    <t>Wild foods consumed and sold</t>
  </si>
  <si>
    <t>Small business/petty trading</t>
  </si>
  <si>
    <r>
      <t xml:space="preserve">Labour - </t>
    </r>
    <r>
      <rPr>
        <i/>
        <sz val="10"/>
        <rFont val="Arial"/>
        <family val="2"/>
      </rPr>
      <t>Ipelegeng</t>
    </r>
  </si>
  <si>
    <t>Labour - public works</t>
  </si>
  <si>
    <r>
      <t>Labour - p</t>
    </r>
    <r>
      <rPr>
        <i/>
        <sz val="10"/>
        <rFont val="Arial"/>
        <family val="2"/>
      </rPr>
      <t>ublic works</t>
    </r>
  </si>
  <si>
    <r>
      <t>k</t>
    </r>
    <r>
      <rPr>
        <sz val="10"/>
        <rFont val="Arial"/>
        <family val="2"/>
      </rPr>
      <t>J</t>
    </r>
    <r>
      <rPr>
        <sz val="10"/>
        <rFont val="Arial"/>
        <family val="2"/>
      </rPr>
      <t>/day</t>
    </r>
  </si>
  <si>
    <t>cost of 8800 kJ for season</t>
  </si>
  <si>
    <t>fpl non-staple food</t>
  </si>
  <si>
    <t>lbpl</t>
  </si>
  <si>
    <t>ubpl</t>
  </si>
  <si>
    <t>resilience</t>
  </si>
  <si>
    <t>staple food</t>
  </si>
  <si>
    <t>cost of FPL (100% staple &amp; non-staple)</t>
  </si>
  <si>
    <t>Food Poverty line</t>
  </si>
  <si>
    <t>Lower Bound Poverty line</t>
  </si>
  <si>
    <t>Upper Bound Poverty line</t>
  </si>
  <si>
    <t>Resilience line</t>
  </si>
  <si>
    <t>FPL Deficit</t>
  </si>
  <si>
    <t>LBPL Deficit</t>
  </si>
  <si>
    <t>UBPL Deficit</t>
  </si>
  <si>
    <t>Resilience Deficit</t>
  </si>
  <si>
    <t>Cows' milk - season 1</t>
  </si>
  <si>
    <t>Own meat</t>
  </si>
  <si>
    <t>Green cons - Season 1: no of months</t>
  </si>
  <si>
    <t>Maize: kg produced</t>
  </si>
  <si>
    <t>Beans: kg produced</t>
  </si>
  <si>
    <t>Potatoes: no. local meas</t>
  </si>
  <si>
    <t>Cabbage: no. local meas</t>
  </si>
  <si>
    <t>beetroot: no. local meas</t>
  </si>
  <si>
    <t>Groundnuts (dry): no. local meas</t>
  </si>
  <si>
    <t>Cow peas</t>
  </si>
  <si>
    <t>Other crop: Spinach</t>
  </si>
  <si>
    <t>Other crop: pumpkin</t>
  </si>
  <si>
    <t>Sweet Potatoes: kg produced</t>
  </si>
  <si>
    <t>Amadumbe: kg produced</t>
  </si>
  <si>
    <t>Green Pepper/ Brinjal / Beetroot: kg produced</t>
  </si>
  <si>
    <t>FISHING -- see worksheet Data 3</t>
  </si>
  <si>
    <t>WILD FOODS -- see worksheet Data 3</t>
  </si>
  <si>
    <t/>
  </si>
  <si>
    <t>Food aid</t>
  </si>
  <si>
    <t>Purchase - other</t>
  </si>
  <si>
    <t>Purchase - desirable</t>
  </si>
  <si>
    <t>Purchase - fpl non staple</t>
  </si>
  <si>
    <t>Cattle sales - local: no. sold</t>
  </si>
  <si>
    <t>Goat sales - local: no. sold</t>
  </si>
  <si>
    <t>Sheep sales - local: no. sold</t>
  </si>
  <si>
    <t>Chicken sales: no. sold</t>
  </si>
  <si>
    <t>potatoes: kg produced</t>
  </si>
  <si>
    <t>Other crop: Cabbage</t>
  </si>
  <si>
    <t>Spinach: no produced</t>
  </si>
  <si>
    <t>Other cashcrop: sugar cane (tons)</t>
  </si>
  <si>
    <t>Agricultural cash income -- see Data2</t>
  </si>
  <si>
    <t>Construction cash income -- see Data2</t>
  </si>
  <si>
    <t>Domestic work cash income -- see Data2</t>
  </si>
  <si>
    <t>Formal Employment (conservancies, etc.)</t>
  </si>
  <si>
    <t>Labour migration(formal employment): no. people per HH</t>
  </si>
  <si>
    <t>Small business -- see Data2</t>
  </si>
  <si>
    <t>Social development -- see Data2</t>
  </si>
  <si>
    <t>Public works -- see Data2</t>
  </si>
  <si>
    <t>Gifts/social support: type (Child support, Pension and Foster Care)</t>
  </si>
  <si>
    <t>Other income: e.g. Credit (cotton loans)</t>
  </si>
  <si>
    <t>Remittances: no. times per year</t>
  </si>
  <si>
    <t>mix</t>
  </si>
  <si>
    <t>ZA1XX, 59100</t>
  </si>
  <si>
    <t xml:space="preserve">Open access Livestock husbandry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</si>
</sst>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%"/>
    <numFmt numFmtId="165" formatCode="0.0"/>
    <numFmt numFmtId="166" formatCode="0.00%;[Red]&quot;Adjust!&quot;"/>
    <numFmt numFmtId="167" formatCode="[Red]0%;\(0%\)"/>
    <numFmt numFmtId="168" formatCode="[Red]0%;\(0%\);&quot;-&quot;"/>
    <numFmt numFmtId="169" formatCode="0.000"/>
    <numFmt numFmtId="170" formatCode="[Red]0.0%;\(0.0%\)"/>
    <numFmt numFmtId="171" formatCode="#,##0.000"/>
    <numFmt numFmtId="172" formatCode="0.0%;[Red]&quot;Adjust!&quot;"/>
    <numFmt numFmtId="173" formatCode="0%;[Red]\(0%\);&quot;-&quot;"/>
  </numFmts>
  <fonts count="31" x14ac:knownFonts="1">
    <font>
      <sz val="12"/>
      <name val="Arial"/>
      <family val="2"/>
    </font>
    <font>
      <sz val="8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4" tint="-0.249977111117893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0"/>
      <color theme="6"/>
      <name val="Arial"/>
      <family val="2"/>
    </font>
    <font>
      <sz val="14"/>
      <name val="Helvetica Light"/>
    </font>
    <font>
      <sz val="12"/>
      <name val="Helvetica Light"/>
    </font>
    <font>
      <sz val="18"/>
      <name val="Helvetica Light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13"/>
        <bgColor indexed="24"/>
      </patternFill>
    </fill>
    <fill>
      <patternFill patternType="solid">
        <fgColor indexed="13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0"/>
      </top>
      <bottom style="double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56"/>
      </left>
      <right style="medium">
        <color indexed="56"/>
      </right>
      <top style="medium">
        <color indexed="56"/>
      </top>
      <bottom style="medium">
        <color indexed="56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56"/>
      </right>
      <top style="thin">
        <color indexed="56"/>
      </top>
      <bottom style="medium">
        <color indexed="56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42">
    <xf numFmtId="0" fontId="0" fillId="0" borderId="0">
      <alignment vertical="top"/>
    </xf>
    <xf numFmtId="4" fontId="3" fillId="0" borderId="0" applyFont="0" applyFill="0" applyAlignment="0" applyProtection="0"/>
    <xf numFmtId="0" fontId="3" fillId="0" borderId="0" applyFont="0" applyFill="0" applyAlignment="0" applyProtection="0"/>
    <xf numFmtId="2" fontId="3" fillId="0" borderId="0" applyFont="0" applyFill="0" applyAlignment="0" applyProtection="0"/>
    <xf numFmtId="0" fontId="4" fillId="0" borderId="0" applyNumberFormat="0" applyFont="0" applyFill="0" applyAlignment="0" applyProtection="0"/>
    <xf numFmtId="0" fontId="5" fillId="0" borderId="0" applyNumberFormat="0" applyFont="0" applyFill="0" applyAlignment="0" applyProtection="0"/>
    <xf numFmtId="10" fontId="3" fillId="0" borderId="0" applyFont="0" applyFill="0" applyAlignment="0" applyProtection="0"/>
    <xf numFmtId="0" fontId="3" fillId="0" borderId="1" applyNumberFormat="0" applyFont="0" applyAlignment="0" applyProtection="0"/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</cellStyleXfs>
  <cellXfs count="271">
    <xf numFmtId="0" fontId="0" fillId="0" borderId="0" xfId="0" applyAlignment="1"/>
    <xf numFmtId="0" fontId="7" fillId="0" borderId="0" xfId="0" applyFont="1" applyBorder="1" applyProtection="1">
      <alignment vertical="top"/>
    </xf>
    <xf numFmtId="0" fontId="8" fillId="0" borderId="0" xfId="0" applyFont="1" applyBorder="1" applyAlignment="1" applyProtection="1"/>
    <xf numFmtId="0" fontId="9" fillId="0" borderId="0" xfId="0" applyFont="1" applyBorder="1" applyAlignment="1" applyProtection="1"/>
    <xf numFmtId="0" fontId="0" fillId="0" borderId="0" xfId="0" applyAlignment="1" applyProtection="1"/>
    <xf numFmtId="0" fontId="10" fillId="0" borderId="0" xfId="0" applyFont="1" applyBorder="1" applyAlignment="1" applyProtection="1"/>
    <xf numFmtId="0" fontId="2" fillId="0" borderId="0" xfId="0" applyFont="1" applyBorder="1" applyAlignment="1" applyProtection="1">
      <alignment horizontal="left"/>
    </xf>
    <xf numFmtId="0" fontId="11" fillId="0" borderId="2" xfId="0" applyFont="1" applyFill="1" applyBorder="1" applyAlignment="1" applyProtection="1"/>
    <xf numFmtId="0" fontId="7" fillId="0" borderId="0" xfId="0" applyFont="1" applyFill="1" applyProtection="1">
      <alignment vertical="top"/>
    </xf>
    <xf numFmtId="0" fontId="7" fillId="0" borderId="2" xfId="0" applyFont="1" applyFill="1" applyBorder="1" applyProtection="1">
      <alignment vertical="top"/>
    </xf>
    <xf numFmtId="0" fontId="8" fillId="0" borderId="3" xfId="0" applyFont="1" applyFill="1" applyBorder="1" applyAlignment="1" applyProtection="1"/>
    <xf numFmtId="0" fontId="8" fillId="0" borderId="2" xfId="0" applyFont="1" applyFill="1" applyBorder="1" applyAlignment="1" applyProtection="1"/>
    <xf numFmtId="0" fontId="0" fillId="0" borderId="3" xfId="0" applyFill="1" applyBorder="1" applyAlignment="1" applyProtection="1"/>
    <xf numFmtId="0" fontId="9" fillId="0" borderId="3" xfId="0" applyFont="1" applyFill="1" applyBorder="1" applyAlignment="1" applyProtection="1"/>
    <xf numFmtId="0" fontId="0" fillId="0" borderId="2" xfId="0" applyFill="1" applyBorder="1" applyAlignment="1" applyProtection="1"/>
    <xf numFmtId="9" fontId="6" fillId="0" borderId="0" xfId="0" applyNumberFormat="1" applyFont="1" applyBorder="1" applyProtection="1">
      <alignment vertical="top"/>
    </xf>
    <xf numFmtId="0" fontId="8" fillId="0" borderId="4" xfId="0" applyFont="1" applyFill="1" applyBorder="1" applyAlignment="1" applyProtection="1">
      <alignment horizontal="right"/>
    </xf>
    <xf numFmtId="0" fontId="0" fillId="0" borderId="4" xfId="0" applyFill="1" applyBorder="1" applyAlignment="1" applyProtection="1"/>
    <xf numFmtId="0" fontId="9" fillId="0" borderId="4" xfId="0" applyFont="1" applyFill="1" applyBorder="1" applyAlignment="1" applyProtection="1"/>
    <xf numFmtId="0" fontId="8" fillId="0" borderId="0" xfId="0" applyFont="1" applyBorder="1" applyAlignment="1" applyProtection="1">
      <alignment horizontal="right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right"/>
    </xf>
    <xf numFmtId="9" fontId="8" fillId="0" borderId="0" xfId="0" applyNumberFormat="1" applyFont="1" applyBorder="1" applyAlignment="1" applyProtection="1"/>
    <xf numFmtId="9" fontId="8" fillId="0" borderId="0" xfId="0" applyNumberFormat="1" applyFont="1" applyBorder="1" applyAlignment="1" applyProtection="1">
      <alignment horizontal="right"/>
    </xf>
    <xf numFmtId="9" fontId="8" fillId="0" borderId="4" xfId="0" applyNumberFormat="1" applyFont="1" applyFill="1" applyBorder="1" applyAlignment="1" applyProtection="1"/>
    <xf numFmtId="9" fontId="0" fillId="0" borderId="0" xfId="0" applyNumberFormat="1" applyAlignment="1" applyProtection="1"/>
    <xf numFmtId="9" fontId="8" fillId="2" borderId="0" xfId="0" applyNumberFormat="1" applyFont="1" applyFill="1" applyBorder="1" applyAlignment="1" applyProtection="1">
      <protection locked="0"/>
    </xf>
    <xf numFmtId="1" fontId="8" fillId="0" borderId="5" xfId="0" applyNumberFormat="1" applyFont="1" applyFill="1" applyBorder="1" applyAlignment="1" applyProtection="1"/>
    <xf numFmtId="1" fontId="8" fillId="3" borderId="0" xfId="0" applyNumberFormat="1" applyFont="1" applyFill="1" applyBorder="1" applyAlignment="1" applyProtection="1">
      <protection locked="0"/>
    </xf>
    <xf numFmtId="9" fontId="7" fillId="0" borderId="0" xfId="0" applyNumberFormat="1" applyFont="1" applyBorder="1" applyAlignment="1" applyProtection="1"/>
    <xf numFmtId="9" fontId="8" fillId="0" borderId="2" xfId="0" applyNumberFormat="1" applyFont="1" applyFill="1" applyBorder="1" applyAlignment="1" applyProtection="1">
      <alignment horizontal="right"/>
    </xf>
    <xf numFmtId="0" fontId="8" fillId="0" borderId="4" xfId="0" applyFont="1" applyFill="1" applyBorder="1" applyAlignment="1" applyProtection="1"/>
    <xf numFmtId="0" fontId="8" fillId="0" borderId="0" xfId="0" applyFont="1" applyFill="1" applyBorder="1" applyAlignment="1" applyProtection="1"/>
    <xf numFmtId="9" fontId="9" fillId="0" borderId="4" xfId="0" applyNumberFormat="1" applyFont="1" applyFill="1" applyBorder="1" applyAlignment="1" applyProtection="1"/>
    <xf numFmtId="0" fontId="8" fillId="0" borderId="6" xfId="0" applyFont="1" applyFill="1" applyBorder="1" applyAlignment="1" applyProtection="1"/>
    <xf numFmtId="0" fontId="8" fillId="0" borderId="7" xfId="0" applyFont="1" applyFill="1" applyBorder="1" applyAlignment="1" applyProtection="1"/>
    <xf numFmtId="0" fontId="8" fillId="0" borderId="8" xfId="0" applyFont="1" applyFill="1" applyBorder="1" applyAlignment="1" applyProtection="1"/>
    <xf numFmtId="0" fontId="8" fillId="0" borderId="9" xfId="0" applyFont="1" applyFill="1" applyBorder="1" applyAlignment="1" applyProtection="1">
      <alignment horizontal="right"/>
    </xf>
    <xf numFmtId="3" fontId="8" fillId="0" borderId="4" xfId="0" applyNumberFormat="1" applyFont="1" applyFill="1" applyBorder="1" applyAlignment="1" applyProtection="1"/>
    <xf numFmtId="3" fontId="8" fillId="0" borderId="0" xfId="0" applyNumberFormat="1" applyFont="1" applyBorder="1" applyAlignment="1" applyProtection="1"/>
    <xf numFmtId="9" fontId="8" fillId="0" borderId="9" xfId="0" applyNumberFormat="1" applyFont="1" applyFill="1" applyBorder="1" applyAlignment="1" applyProtection="1"/>
    <xf numFmtId="3" fontId="7" fillId="0" borderId="0" xfId="0" applyNumberFormat="1" applyFont="1" applyBorder="1" applyAlignment="1" applyProtection="1"/>
    <xf numFmtId="3" fontId="8" fillId="0" borderId="10" xfId="0" applyNumberFormat="1" applyFont="1" applyBorder="1" applyAlignment="1" applyProtection="1"/>
    <xf numFmtId="3" fontId="7" fillId="0" borderId="2" xfId="0" applyNumberFormat="1" applyFont="1" applyFill="1" applyBorder="1" applyProtection="1">
      <alignment vertical="top"/>
    </xf>
    <xf numFmtId="3" fontId="8" fillId="0" borderId="3" xfId="0" applyNumberFormat="1" applyFont="1" applyFill="1" applyBorder="1" applyAlignment="1" applyProtection="1"/>
    <xf numFmtId="0" fontId="8" fillId="0" borderId="11" xfId="0" applyFont="1" applyFill="1" applyBorder="1" applyAlignment="1" applyProtection="1"/>
    <xf numFmtId="3" fontId="7" fillId="0" borderId="0" xfId="0" applyNumberFormat="1" applyFont="1" applyBorder="1" applyProtection="1">
      <alignment vertical="top"/>
    </xf>
    <xf numFmtId="2" fontId="8" fillId="0" borderId="0" xfId="0" applyNumberFormat="1" applyFont="1" applyFill="1" applyBorder="1" applyAlignment="1" applyProtection="1"/>
    <xf numFmtId="2" fontId="8" fillId="0" borderId="4" xfId="0" applyNumberFormat="1" applyFont="1" applyFill="1" applyBorder="1" applyAlignment="1" applyProtection="1"/>
    <xf numFmtId="3" fontId="7" fillId="0" borderId="0" xfId="0" applyNumberFormat="1" applyFont="1" applyProtection="1">
      <alignment vertical="top"/>
    </xf>
    <xf numFmtId="3" fontId="8" fillId="0" borderId="4" xfId="0" applyNumberFormat="1" applyFont="1" applyFill="1" applyBorder="1" applyAlignment="1" applyProtection="1">
      <alignment horizontal="right"/>
    </xf>
    <xf numFmtId="3" fontId="8" fillId="0" borderId="10" xfId="0" applyNumberFormat="1" applyFont="1" applyFill="1" applyBorder="1" applyAlignment="1" applyProtection="1"/>
    <xf numFmtId="3" fontId="7" fillId="0" borderId="0" xfId="0" applyNumberFormat="1" applyFont="1" applyFill="1" applyBorder="1" applyProtection="1">
      <alignment vertical="top"/>
    </xf>
    <xf numFmtId="3" fontId="12" fillId="0" borderId="0" xfId="0" applyNumberFormat="1" applyFont="1" applyBorder="1" applyProtection="1">
      <alignment vertical="top"/>
    </xf>
    <xf numFmtId="0" fontId="7" fillId="0" borderId="2" xfId="0" applyFont="1" applyFill="1" applyBorder="1" applyAlignment="1" applyProtection="1"/>
    <xf numFmtId="9" fontId="6" fillId="0" borderId="0" xfId="0" applyNumberFormat="1" applyFont="1" applyBorder="1" applyAlignment="1" applyProtection="1"/>
    <xf numFmtId="0" fontId="7" fillId="0" borderId="0" xfId="0" applyFont="1" applyBorder="1" applyAlignment="1" applyProtection="1"/>
    <xf numFmtId="9" fontId="8" fillId="0" borderId="10" xfId="0" applyNumberFormat="1" applyFont="1" applyBorder="1" applyAlignment="1" applyProtection="1">
      <alignment horizontal="right"/>
    </xf>
    <xf numFmtId="0" fontId="0" fillId="0" borderId="12" xfId="0" applyBorder="1" applyAlignment="1" applyProtection="1"/>
    <xf numFmtId="0" fontId="7" fillId="0" borderId="0" xfId="0" applyFont="1" applyBorder="1" applyAlignment="1" applyProtection="1">
      <alignment horizontal="right"/>
    </xf>
    <xf numFmtId="9" fontId="7" fillId="0" borderId="0" xfId="0" applyNumberFormat="1" applyFont="1" applyFill="1" applyBorder="1" applyAlignment="1" applyProtection="1"/>
    <xf numFmtId="0" fontId="7" fillId="0" borderId="13" xfId="0" applyFont="1" applyFill="1" applyBorder="1" applyAlignment="1" applyProtection="1"/>
    <xf numFmtId="9" fontId="8" fillId="0" borderId="3" xfId="0" applyNumberFormat="1" applyFont="1" applyFill="1" applyBorder="1" applyAlignment="1" applyProtection="1"/>
    <xf numFmtId="9" fontId="8" fillId="0" borderId="14" xfId="0" applyNumberFormat="1" applyFont="1" applyFill="1" applyBorder="1" applyAlignment="1" applyProtection="1">
      <alignment horizontal="right"/>
    </xf>
    <xf numFmtId="0" fontId="7" fillId="0" borderId="0" xfId="0" applyFont="1" applyFill="1" applyBorder="1" applyAlignment="1" applyProtection="1"/>
    <xf numFmtId="9" fontId="7" fillId="0" borderId="0" xfId="0" applyNumberFormat="1" applyFont="1" applyAlignment="1" applyProtection="1"/>
    <xf numFmtId="0" fontId="0" fillId="0" borderId="14" xfId="0" applyFill="1" applyBorder="1" applyAlignment="1" applyProtection="1"/>
    <xf numFmtId="0" fontId="7" fillId="0" borderId="0" xfId="0" applyFont="1" applyAlignment="1" applyProtection="1"/>
    <xf numFmtId="2" fontId="8" fillId="0" borderId="0" xfId="0" applyNumberFormat="1" applyFont="1" applyBorder="1" applyAlignment="1" applyProtection="1"/>
    <xf numFmtId="1" fontId="8" fillId="0" borderId="0" xfId="0" applyNumberFormat="1" applyFont="1" applyBorder="1" applyAlignment="1" applyProtection="1"/>
    <xf numFmtId="0" fontId="13" fillId="0" borderId="0" xfId="0" applyFont="1" applyBorder="1" applyAlignment="1" applyProtection="1"/>
    <xf numFmtId="1" fontId="0" fillId="0" borderId="0" xfId="0" applyNumberFormat="1" applyAlignment="1" applyProtection="1"/>
    <xf numFmtId="2" fontId="0" fillId="0" borderId="0" xfId="0" applyNumberFormat="1" applyAlignment="1" applyProtection="1"/>
    <xf numFmtId="9" fontId="5" fillId="0" borderId="0" xfId="0" applyNumberFormat="1" applyFont="1" applyBorder="1" applyAlignment="1" applyProtection="1"/>
    <xf numFmtId="0" fontId="7" fillId="0" borderId="15" xfId="0" applyNumberFormat="1" applyFont="1" applyBorder="1" applyProtection="1">
      <alignment vertical="top"/>
    </xf>
    <xf numFmtId="9" fontId="8" fillId="0" borderId="0" xfId="0" applyNumberFormat="1" applyFont="1" applyFill="1" applyBorder="1" applyAlignment="1" applyProtection="1"/>
    <xf numFmtId="1" fontId="8" fillId="0" borderId="0" xfId="0" applyNumberFormat="1" applyFont="1" applyFill="1" applyBorder="1" applyAlignment="1" applyProtection="1"/>
    <xf numFmtId="9" fontId="7" fillId="0" borderId="0" xfId="0" applyNumberFormat="1" applyFont="1" applyBorder="1" applyProtection="1">
      <alignment vertical="top"/>
    </xf>
    <xf numFmtId="3" fontId="8" fillId="0" borderId="2" xfId="0" applyNumberFormat="1" applyFont="1" applyFill="1" applyBorder="1" applyAlignment="1" applyProtection="1"/>
    <xf numFmtId="3" fontId="0" fillId="0" borderId="0" xfId="0" applyNumberFormat="1" applyAlignment="1" applyProtection="1"/>
    <xf numFmtId="3" fontId="8" fillId="0" borderId="0" xfId="0" applyNumberFormat="1" applyFont="1" applyBorder="1" applyAlignment="1" applyProtection="1">
      <alignment horizontal="right"/>
    </xf>
    <xf numFmtId="3" fontId="8" fillId="0" borderId="0" xfId="0" applyNumberFormat="1" applyFont="1" applyFill="1" applyBorder="1" applyAlignment="1" applyProtection="1"/>
    <xf numFmtId="3" fontId="12" fillId="0" borderId="0" xfId="0" applyNumberFormat="1" applyFont="1" applyBorder="1" applyAlignment="1" applyProtection="1"/>
    <xf numFmtId="0" fontId="8" fillId="0" borderId="13" xfId="0" applyFont="1" applyFill="1" applyBorder="1" applyAlignment="1" applyProtection="1"/>
    <xf numFmtId="0" fontId="0" fillId="0" borderId="0" xfId="0" applyBorder="1" applyAlignment="1" applyProtection="1"/>
    <xf numFmtId="0" fontId="7" fillId="0" borderId="15" xfId="0" applyNumberFormat="1" applyFont="1" applyBorder="1" applyAlignment="1" applyProtection="1"/>
    <xf numFmtId="0" fontId="7" fillId="0" borderId="0" xfId="0" applyNumberFormat="1" applyFont="1" applyBorder="1" applyProtection="1">
      <alignment vertical="top"/>
    </xf>
    <xf numFmtId="0" fontId="0" fillId="0" borderId="16" xfId="0" applyBorder="1" applyAlignment="1"/>
    <xf numFmtId="0" fontId="0" fillId="0" borderId="17" xfId="0" applyBorder="1" applyAlignment="1"/>
    <xf numFmtId="9" fontId="14" fillId="0" borderId="16" xfId="0" applyNumberFormat="1" applyFont="1" applyBorder="1" applyAlignment="1">
      <alignment horizontal="center"/>
    </xf>
    <xf numFmtId="0" fontId="16" fillId="0" borderId="16" xfId="0" applyFont="1" applyBorder="1" applyAlignment="1"/>
    <xf numFmtId="9" fontId="14" fillId="0" borderId="16" xfId="0" applyNumberFormat="1" applyFont="1" applyBorder="1" applyAlignment="1">
      <alignment horizontal="left"/>
    </xf>
    <xf numFmtId="0" fontId="16" fillId="0" borderId="0" xfId="0" applyFont="1" applyAlignment="1"/>
    <xf numFmtId="9" fontId="7" fillId="0" borderId="18" xfId="0" applyNumberFormat="1" applyFont="1" applyBorder="1" applyAlignment="1" applyProtection="1"/>
    <xf numFmtId="9" fontId="7" fillId="4" borderId="0" xfId="0" applyNumberFormat="1" applyFont="1" applyFill="1" applyBorder="1" applyAlignment="1" applyProtection="1"/>
    <xf numFmtId="0" fontId="17" fillId="0" borderId="0" xfId="0" applyFont="1" applyAlignment="1" applyProtection="1"/>
    <xf numFmtId="9" fontId="7" fillId="0" borderId="4" xfId="0" applyNumberFormat="1" applyFont="1" applyFill="1" applyBorder="1" applyAlignment="1" applyProtection="1"/>
    <xf numFmtId="2" fontId="18" fillId="0" borderId="2" xfId="0" applyNumberFormat="1" applyFont="1" applyFill="1" applyBorder="1" applyAlignment="1" applyProtection="1"/>
    <xf numFmtId="2" fontId="18" fillId="0" borderId="3" xfId="0" applyNumberFormat="1" applyFont="1" applyFill="1" applyBorder="1" applyAlignment="1" applyProtection="1"/>
    <xf numFmtId="0" fontId="7" fillId="4" borderId="0" xfId="0" applyFont="1" applyFill="1" applyBorder="1" applyProtection="1">
      <alignment vertical="top"/>
    </xf>
    <xf numFmtId="3" fontId="8" fillId="5" borderId="10" xfId="0" applyNumberFormat="1" applyFont="1" applyFill="1" applyBorder="1" applyAlignment="1" applyProtection="1"/>
    <xf numFmtId="9" fontId="7" fillId="0" borderId="19" xfId="0" applyNumberFormat="1" applyFont="1" applyFill="1" applyBorder="1" applyAlignment="1" applyProtection="1"/>
    <xf numFmtId="9" fontId="7" fillId="0" borderId="5" xfId="0" applyNumberFormat="1" applyFont="1" applyFill="1" applyBorder="1" applyAlignment="1" applyProtection="1"/>
    <xf numFmtId="9" fontId="7" fillId="0" borderId="0" xfId="0" applyNumberFormat="1" applyFont="1" applyProtection="1">
      <alignment vertical="top"/>
    </xf>
    <xf numFmtId="3" fontId="8" fillId="0" borderId="15" xfId="0" applyNumberFormat="1" applyFont="1" applyBorder="1" applyAlignment="1" applyProtection="1"/>
    <xf numFmtId="2" fontId="7" fillId="0" borderId="15" xfId="0" applyNumberFormat="1" applyFont="1" applyFill="1" applyBorder="1" applyAlignment="1" applyProtection="1">
      <alignment horizontal="right"/>
    </xf>
    <xf numFmtId="9" fontId="7" fillId="0" borderId="5" xfId="0" applyNumberFormat="1" applyFont="1" applyFill="1" applyBorder="1" applyProtection="1">
      <alignment vertical="top"/>
    </xf>
    <xf numFmtId="2" fontId="8" fillId="0" borderId="15" xfId="0" applyNumberFormat="1" applyFont="1" applyBorder="1" applyAlignment="1" applyProtection="1"/>
    <xf numFmtId="9" fontId="0" fillId="0" borderId="0" xfId="0" applyNumberFormat="1" applyAlignment="1"/>
    <xf numFmtId="3" fontId="0" fillId="0" borderId="0" xfId="0" applyNumberFormat="1" applyAlignment="1"/>
    <xf numFmtId="0" fontId="7" fillId="0" borderId="0" xfId="0" applyFont="1" applyAlignment="1"/>
    <xf numFmtId="3" fontId="7" fillId="0" borderId="20" xfId="1" applyNumberFormat="1" applyFont="1" applyBorder="1"/>
    <xf numFmtId="3" fontId="7" fillId="0" borderId="0" xfId="0" applyNumberFormat="1" applyFont="1" applyAlignment="1"/>
    <xf numFmtId="1" fontId="7" fillId="0" borderId="21" xfId="0" applyNumberFormat="1" applyFont="1" applyBorder="1" applyAlignment="1"/>
    <xf numFmtId="0" fontId="7" fillId="0" borderId="22" xfId="0" applyFont="1" applyBorder="1" applyAlignment="1"/>
    <xf numFmtId="9" fontId="7" fillId="0" borderId="0" xfId="0" applyNumberFormat="1" applyFont="1" applyAlignment="1"/>
    <xf numFmtId="10" fontId="7" fillId="6" borderId="12" xfId="0" applyNumberFormat="1" applyFont="1" applyFill="1" applyBorder="1" applyAlignment="1" applyProtection="1">
      <protection locked="0"/>
    </xf>
    <xf numFmtId="9" fontId="7" fillId="0" borderId="0" xfId="0" applyNumberFormat="1" applyFont="1" applyBorder="1" applyAlignment="1"/>
    <xf numFmtId="0" fontId="7" fillId="0" borderId="23" xfId="0" applyFont="1" applyBorder="1" applyAlignment="1"/>
    <xf numFmtId="9" fontId="7" fillId="0" borderId="10" xfId="0" applyNumberFormat="1" applyFont="1" applyBorder="1" applyAlignment="1"/>
    <xf numFmtId="9" fontId="7" fillId="0" borderId="12" xfId="0" applyNumberFormat="1" applyFont="1" applyBorder="1" applyAlignment="1"/>
    <xf numFmtId="164" fontId="7" fillId="0" borderId="10" xfId="0" applyNumberFormat="1" applyFont="1" applyBorder="1" applyAlignment="1"/>
    <xf numFmtId="166" fontId="7" fillId="0" borderId="12" xfId="0" applyNumberFormat="1" applyFont="1" applyFill="1" applyBorder="1" applyAlignment="1" applyProtection="1"/>
    <xf numFmtId="10" fontId="7" fillId="0" borderId="0" xfId="0" applyNumberFormat="1" applyFont="1" applyBorder="1" applyAlignment="1"/>
    <xf numFmtId="0" fontId="7" fillId="7" borderId="23" xfId="0" applyFont="1" applyFill="1" applyBorder="1" applyAlignment="1" applyProtection="1">
      <protection locked="0"/>
    </xf>
    <xf numFmtId="10" fontId="7" fillId="0" borderId="12" xfId="6" applyNumberFormat="1" applyFont="1" applyFill="1" applyBorder="1" applyProtection="1"/>
    <xf numFmtId="0" fontId="7" fillId="0" borderId="0" xfId="0" applyFont="1" applyFill="1" applyBorder="1" applyAlignment="1" applyProtection="1">
      <alignment horizontal="right"/>
    </xf>
    <xf numFmtId="10" fontId="7" fillId="0" borderId="0" xfId="0" applyNumberFormat="1" applyFont="1" applyAlignment="1"/>
    <xf numFmtId="166" fontId="7" fillId="0" borderId="0" xfId="0" applyNumberFormat="1" applyFont="1" applyBorder="1" applyAlignment="1"/>
    <xf numFmtId="0" fontId="23" fillId="0" borderId="0" xfId="0" applyFont="1" applyAlignment="1">
      <alignment horizontal="right"/>
    </xf>
    <xf numFmtId="167" fontId="7" fillId="0" borderId="23" xfId="0" applyNumberFormat="1" applyFont="1" applyBorder="1" applyAlignment="1"/>
    <xf numFmtId="10" fontId="7" fillId="0" borderId="13" xfId="0" applyNumberFormat="1" applyFont="1" applyBorder="1" applyAlignment="1"/>
    <xf numFmtId="164" fontId="7" fillId="0" borderId="20" xfId="0" applyNumberFormat="1" applyFont="1" applyBorder="1" applyAlignment="1"/>
    <xf numFmtId="164" fontId="7" fillId="0" borderId="20" xfId="0" applyNumberFormat="1" applyFont="1" applyBorder="1" applyAlignment="1" applyProtection="1"/>
    <xf numFmtId="10" fontId="7" fillId="0" borderId="24" xfId="0" applyNumberFormat="1" applyFont="1" applyBorder="1" applyAlignment="1"/>
    <xf numFmtId="168" fontId="7" fillId="0" borderId="24" xfId="0" applyNumberFormat="1" applyFont="1" applyBorder="1" applyAlignment="1"/>
    <xf numFmtId="168" fontId="7" fillId="0" borderId="25" xfId="0" applyNumberFormat="1" applyFont="1" applyBorder="1" applyAlignment="1"/>
    <xf numFmtId="10" fontId="7" fillId="0" borderId="26" xfId="0" applyNumberFormat="1" applyFont="1" applyBorder="1" applyAlignment="1"/>
    <xf numFmtId="164" fontId="7" fillId="0" borderId="25" xfId="0" applyNumberFormat="1" applyFont="1" applyBorder="1" applyAlignment="1"/>
    <xf numFmtId="164" fontId="7" fillId="0" borderId="27" xfId="0" applyNumberFormat="1" applyFont="1" applyBorder="1" applyAlignment="1"/>
    <xf numFmtId="9" fontId="7" fillId="0" borderId="24" xfId="0" applyNumberFormat="1" applyFont="1" applyBorder="1" applyAlignment="1"/>
    <xf numFmtId="9" fontId="7" fillId="0" borderId="27" xfId="0" applyNumberFormat="1" applyFont="1" applyBorder="1" applyAlignment="1"/>
    <xf numFmtId="9" fontId="7" fillId="0" borderId="0" xfId="0" applyNumberFormat="1" applyFont="1" applyBorder="1" applyAlignment="1" applyProtection="1">
      <alignment horizontal="right"/>
    </xf>
    <xf numFmtId="0" fontId="7" fillId="0" borderId="28" xfId="0" applyFont="1" applyBorder="1" applyAlignment="1"/>
    <xf numFmtId="0" fontId="7" fillId="0" borderId="18" xfId="0" applyFont="1" applyBorder="1" applyAlignment="1"/>
    <xf numFmtId="0" fontId="7" fillId="0" borderId="12" xfId="0" applyFont="1" applyBorder="1" applyAlignment="1"/>
    <xf numFmtId="0" fontId="7" fillId="0" borderId="10" xfId="0" applyFont="1" applyBorder="1" applyAlignment="1"/>
    <xf numFmtId="3" fontId="7" fillId="0" borderId="10" xfId="0" applyNumberFormat="1" applyFont="1" applyBorder="1" applyAlignment="1"/>
    <xf numFmtId="3" fontId="7" fillId="0" borderId="12" xfId="0" applyNumberFormat="1" applyFont="1" applyBorder="1" applyAlignment="1"/>
    <xf numFmtId="3" fontId="7" fillId="0" borderId="25" xfId="0" applyNumberFormat="1" applyFont="1" applyBorder="1" applyAlignment="1"/>
    <xf numFmtId="166" fontId="7" fillId="0" borderId="24" xfId="0" applyNumberFormat="1" applyFont="1" applyFill="1" applyBorder="1" applyAlignment="1" applyProtection="1"/>
    <xf numFmtId="3" fontId="7" fillId="0" borderId="24" xfId="0" applyNumberFormat="1" applyFont="1" applyBorder="1" applyAlignment="1"/>
    <xf numFmtId="3" fontId="7" fillId="0" borderId="23" xfId="0" applyNumberFormat="1" applyFont="1" applyBorder="1" applyAlignment="1"/>
    <xf numFmtId="3" fontId="7" fillId="0" borderId="27" xfId="0" applyNumberFormat="1" applyFont="1" applyBorder="1" applyAlignment="1"/>
    <xf numFmtId="3" fontId="7" fillId="0" borderId="18" xfId="0" applyNumberFormat="1" applyFont="1" applyBorder="1" applyAlignment="1"/>
    <xf numFmtId="10" fontId="7" fillId="0" borderId="12" xfId="0" applyNumberFormat="1" applyFont="1" applyBorder="1" applyAlignment="1"/>
    <xf numFmtId="10" fontId="7" fillId="0" borderId="12" xfId="0" applyNumberFormat="1" applyFont="1" applyFill="1" applyBorder="1" applyAlignment="1" applyProtection="1"/>
    <xf numFmtId="0" fontId="7" fillId="0" borderId="29" xfId="0" applyFont="1" applyBorder="1" applyAlignment="1"/>
    <xf numFmtId="10" fontId="7" fillId="0" borderId="24" xfId="0" applyNumberFormat="1" applyFont="1" applyFill="1" applyBorder="1" applyAlignment="1" applyProtection="1"/>
    <xf numFmtId="0" fontId="7" fillId="0" borderId="30" xfId="0" applyFont="1" applyBorder="1" applyAlignment="1"/>
    <xf numFmtId="3" fontId="7" fillId="0" borderId="15" xfId="0" applyNumberFormat="1" applyFont="1" applyBorder="1" applyAlignment="1"/>
    <xf numFmtId="0" fontId="7" fillId="0" borderId="0" xfId="0" applyFont="1" applyAlignment="1">
      <alignment horizontal="right"/>
    </xf>
    <xf numFmtId="166" fontId="7" fillId="0" borderId="26" xfId="0" applyNumberFormat="1" applyFont="1" applyFill="1" applyBorder="1" applyAlignment="1" applyProtection="1"/>
    <xf numFmtId="4" fontId="7" fillId="6" borderId="27" xfId="1" applyNumberFormat="1" applyFont="1" applyFill="1" applyBorder="1" applyProtection="1">
      <protection locked="0"/>
    </xf>
    <xf numFmtId="4" fontId="7" fillId="0" borderId="25" xfId="1" applyNumberFormat="1" applyFont="1" applyBorder="1"/>
    <xf numFmtId="3" fontId="7" fillId="0" borderId="0" xfId="1" applyNumberFormat="1" applyFont="1"/>
    <xf numFmtId="0" fontId="23" fillId="0" borderId="22" xfId="0" applyFont="1" applyBorder="1" applyAlignment="1" applyProtection="1"/>
    <xf numFmtId="1" fontId="7" fillId="0" borderId="20" xfId="0" applyNumberFormat="1" applyFont="1" applyBorder="1" applyAlignment="1" applyProtection="1"/>
    <xf numFmtId="0" fontId="24" fillId="0" borderId="31" xfId="0" applyFont="1" applyBorder="1" applyAlignment="1" applyProtection="1"/>
    <xf numFmtId="1" fontId="7" fillId="0" borderId="21" xfId="0" applyNumberFormat="1" applyFont="1" applyBorder="1" applyAlignment="1" applyProtection="1"/>
    <xf numFmtId="0" fontId="17" fillId="0" borderId="0" xfId="0" applyFont="1" applyAlignment="1"/>
    <xf numFmtId="0" fontId="9" fillId="0" borderId="0" xfId="0" applyFont="1" applyBorder="1" applyAlignment="1" applyProtection="1">
      <alignment horizontal="right"/>
    </xf>
    <xf numFmtId="164" fontId="0" fillId="0" borderId="0" xfId="6" applyNumberFormat="1" applyFont="1" applyAlignment="1" applyProtection="1"/>
    <xf numFmtId="164" fontId="8" fillId="0" borderId="0" xfId="0" applyNumberFormat="1" applyFont="1" applyBorder="1" applyAlignment="1" applyProtection="1"/>
    <xf numFmtId="164" fontId="0" fillId="0" borderId="0" xfId="0" applyNumberFormat="1" applyAlignment="1" applyProtection="1"/>
    <xf numFmtId="164" fontId="8" fillId="0" borderId="0" xfId="0" applyNumberFormat="1" applyFont="1" applyBorder="1" applyAlignment="1" applyProtection="1">
      <alignment horizontal="right"/>
    </xf>
    <xf numFmtId="10" fontId="8" fillId="0" borderId="0" xfId="0" applyNumberFormat="1" applyFont="1" applyBorder="1" applyAlignment="1" applyProtection="1"/>
    <xf numFmtId="164" fontId="8" fillId="8" borderId="0" xfId="0" applyNumberFormat="1" applyFont="1" applyFill="1" applyBorder="1" applyAlignment="1" applyProtection="1">
      <alignment horizontal="right"/>
    </xf>
    <xf numFmtId="164" fontId="8" fillId="0" borderId="33" xfId="0" applyNumberFormat="1" applyFont="1" applyBorder="1" applyAlignment="1" applyProtection="1">
      <alignment horizontal="right"/>
    </xf>
    <xf numFmtId="3" fontId="9" fillId="0" borderId="32" xfId="0" applyNumberFormat="1" applyFont="1" applyBorder="1" applyAlignment="1" applyProtection="1"/>
    <xf numFmtId="10" fontId="7" fillId="9" borderId="12" xfId="0" applyNumberFormat="1" applyFont="1" applyFill="1" applyBorder="1" applyAlignment="1" applyProtection="1"/>
    <xf numFmtId="9" fontId="7" fillId="9" borderId="18" xfId="0" applyNumberFormat="1" applyFont="1" applyFill="1" applyBorder="1" applyAlignment="1" applyProtection="1"/>
    <xf numFmtId="170" fontId="7" fillId="0" borderId="0" xfId="0" applyNumberFormat="1" applyFont="1" applyBorder="1" applyAlignment="1"/>
    <xf numFmtId="164" fontId="7" fillId="0" borderId="0" xfId="0" applyNumberFormat="1" applyFont="1" applyAlignment="1"/>
    <xf numFmtId="164" fontId="7" fillId="0" borderId="0" xfId="0" applyNumberFormat="1" applyFont="1" applyBorder="1" applyAlignment="1" applyProtection="1"/>
    <xf numFmtId="171" fontId="8" fillId="0" borderId="0" xfId="0" applyNumberFormat="1" applyFont="1" applyBorder="1" applyAlignment="1" applyProtection="1"/>
    <xf numFmtId="171" fontId="0" fillId="0" borderId="0" xfId="0" applyNumberFormat="1" applyAlignment="1" applyProtection="1"/>
    <xf numFmtId="172" fontId="7" fillId="0" borderId="10" xfId="0" applyNumberFormat="1" applyFont="1" applyBorder="1" applyAlignment="1"/>
    <xf numFmtId="3" fontId="7" fillId="0" borderId="0" xfId="0" applyNumberFormat="1" applyFont="1" applyBorder="1" applyAlignment="1"/>
    <xf numFmtId="0" fontId="7" fillId="0" borderId="15" xfId="0" applyFont="1" applyBorder="1" applyAlignment="1"/>
    <xf numFmtId="1" fontId="7" fillId="0" borderId="10" xfId="0" applyNumberFormat="1" applyFont="1" applyBorder="1" applyAlignment="1"/>
    <xf numFmtId="1" fontId="7" fillId="0" borderId="27" xfId="0" applyNumberFormat="1" applyFont="1" applyBorder="1" applyAlignment="1"/>
    <xf numFmtId="1" fontId="7" fillId="0" borderId="15" xfId="0" applyNumberFormat="1" applyFont="1" applyBorder="1" applyAlignment="1"/>
    <xf numFmtId="4" fontId="7" fillId="0" borderId="27" xfId="1" applyNumberFormat="1" applyFont="1" applyFill="1" applyBorder="1" applyProtection="1"/>
    <xf numFmtId="1" fontId="7" fillId="0" borderId="23" xfId="0" applyNumberFormat="1" applyFont="1" applyFill="1" applyBorder="1" applyAlignment="1" applyProtection="1"/>
    <xf numFmtId="10" fontId="7" fillId="9" borderId="12" xfId="0" applyNumberFormat="1" applyFont="1" applyFill="1" applyBorder="1" applyAlignment="1" applyProtection="1">
      <alignment horizontal="center"/>
    </xf>
    <xf numFmtId="9" fontId="7" fillId="9" borderId="18" xfId="0" applyNumberFormat="1" applyFont="1" applyFill="1" applyBorder="1" applyAlignment="1" applyProtection="1">
      <alignment horizontal="center"/>
    </xf>
    <xf numFmtId="9" fontId="7" fillId="0" borderId="24" xfId="0" applyNumberFormat="1" applyFont="1" applyBorder="1" applyAlignment="1">
      <alignment horizontal="center"/>
    </xf>
    <xf numFmtId="9" fontId="7" fillId="0" borderId="25" xfId="0" applyNumberFormat="1" applyFont="1" applyBorder="1" applyAlignment="1">
      <alignment horizontal="center"/>
    </xf>
    <xf numFmtId="9" fontId="7" fillId="0" borderId="28" xfId="0" applyNumberFormat="1" applyFont="1" applyBorder="1" applyAlignment="1">
      <alignment horizontal="center"/>
    </xf>
    <xf numFmtId="9" fontId="7" fillId="0" borderId="18" xfId="0" applyNumberFormat="1" applyFont="1" applyBorder="1" applyAlignment="1">
      <alignment horizontal="center"/>
    </xf>
    <xf numFmtId="0" fontId="20" fillId="0" borderId="0" xfId="0" applyFont="1" applyAlignment="1"/>
    <xf numFmtId="9" fontId="20" fillId="0" borderId="0" xfId="6" applyNumberFormat="1" applyFont="1" applyAlignment="1"/>
    <xf numFmtId="3" fontId="20" fillId="0" borderId="0" xfId="0" applyNumberFormat="1" applyFont="1" applyAlignment="1"/>
    <xf numFmtId="1" fontId="20" fillId="0" borderId="0" xfId="0" applyNumberFormat="1" applyFont="1" applyAlignment="1"/>
    <xf numFmtId="1" fontId="20" fillId="0" borderId="0" xfId="6" applyNumberFormat="1" applyFont="1" applyAlignment="1"/>
    <xf numFmtId="165" fontId="20" fillId="0" borderId="0" xfId="0" applyNumberFormat="1" applyFont="1" applyAlignment="1"/>
    <xf numFmtId="9" fontId="20" fillId="0" borderId="0" xfId="0" applyNumberFormat="1" applyFont="1" applyAlignment="1"/>
    <xf numFmtId="165" fontId="20" fillId="0" borderId="0" xfId="6" applyNumberFormat="1" applyFont="1" applyAlignment="1"/>
    <xf numFmtId="164" fontId="20" fillId="0" borderId="0" xfId="6" applyNumberFormat="1" applyFont="1" applyAlignment="1"/>
    <xf numFmtId="2" fontId="20" fillId="0" borderId="0" xfId="0" applyNumberFormat="1" applyFont="1" applyAlignment="1"/>
    <xf numFmtId="0" fontId="20" fillId="0" borderId="0" xfId="0" applyFont="1" applyAlignment="1">
      <alignment textRotation="90"/>
    </xf>
    <xf numFmtId="169" fontId="20" fillId="0" borderId="0" xfId="0" applyNumberFormat="1" applyFont="1" applyAlignment="1"/>
    <xf numFmtId="0" fontId="20" fillId="10" borderId="0" xfId="0" applyFont="1" applyFill="1" applyAlignment="1">
      <alignment horizontal="right"/>
    </xf>
    <xf numFmtId="165" fontId="21" fillId="10" borderId="0" xfId="0" applyNumberFormat="1" applyFont="1" applyFill="1" applyAlignment="1"/>
    <xf numFmtId="9" fontId="7" fillId="0" borderId="15" xfId="0" applyNumberFormat="1" applyFont="1" applyBorder="1" applyAlignment="1" applyProtection="1"/>
    <xf numFmtId="3" fontId="7" fillId="0" borderId="15" xfId="1" applyNumberFormat="1" applyFont="1" applyBorder="1" applyAlignment="1" applyProtection="1"/>
    <xf numFmtId="0" fontId="20" fillId="0" borderId="0" xfId="0" applyFont="1" applyAlignment="1">
      <alignment horizontal="right"/>
    </xf>
    <xf numFmtId="10" fontId="8" fillId="0" borderId="0" xfId="6" applyFont="1" applyAlignment="1" applyProtection="1"/>
    <xf numFmtId="10" fontId="7" fillId="0" borderId="0" xfId="0" applyNumberFormat="1" applyFont="1" applyBorder="1" applyProtection="1">
      <alignment vertical="top"/>
    </xf>
    <xf numFmtId="10" fontId="7" fillId="0" borderId="0" xfId="6" applyFont="1" applyAlignment="1" applyProtection="1"/>
    <xf numFmtId="173" fontId="7" fillId="0" borderId="0" xfId="0" applyNumberFormat="1" applyFont="1" applyBorder="1" applyAlignment="1" applyProtection="1"/>
    <xf numFmtId="3" fontId="7" fillId="0" borderId="0" xfId="0" applyNumberFormat="1" applyFont="1" applyFill="1" applyBorder="1" applyAlignment="1" applyProtection="1"/>
    <xf numFmtId="1" fontId="7" fillId="0" borderId="0" xfId="0" applyNumberFormat="1" applyFont="1" applyBorder="1" applyAlignment="1" applyProtection="1">
      <alignment horizontal="left"/>
    </xf>
    <xf numFmtId="164" fontId="8" fillId="0" borderId="0" xfId="0" applyNumberFormat="1" applyFont="1" applyFill="1" applyBorder="1" applyAlignment="1" applyProtection="1">
      <alignment horizontal="right"/>
    </xf>
    <xf numFmtId="164" fontId="7" fillId="0" borderId="0" xfId="0" applyNumberFormat="1" applyFont="1" applyFill="1" applyBorder="1" applyAlignment="1" applyProtection="1"/>
    <xf numFmtId="164" fontId="7" fillId="0" borderId="0" xfId="6" applyNumberFormat="1" applyFont="1" applyFill="1" applyAlignment="1" applyProtection="1"/>
    <xf numFmtId="9" fontId="8" fillId="0" borderId="10" xfId="0" applyNumberFormat="1" applyFont="1" applyFill="1" applyBorder="1" applyAlignment="1" applyProtection="1">
      <alignment horizontal="right"/>
    </xf>
    <xf numFmtId="9" fontId="7" fillId="0" borderId="10" xfId="0" applyNumberFormat="1" applyFont="1" applyFill="1" applyBorder="1" applyAlignment="1" applyProtection="1"/>
    <xf numFmtId="1" fontId="7" fillId="0" borderId="0" xfId="0" applyNumberFormat="1" applyFont="1" applyBorder="1" applyAlignment="1" applyProtection="1">
      <alignment horizontal="left"/>
      <protection locked="0"/>
    </xf>
    <xf numFmtId="1" fontId="7" fillId="0" borderId="15" xfId="0" applyNumberFormat="1" applyFont="1" applyFill="1" applyBorder="1" applyAlignment="1" applyProtection="1">
      <alignment horizontal="right"/>
    </xf>
    <xf numFmtId="9" fontId="27" fillId="0" borderId="4" xfId="0" applyNumberFormat="1" applyFont="1" applyFill="1" applyBorder="1" applyAlignment="1" applyProtection="1"/>
    <xf numFmtId="9" fontId="27" fillId="5" borderId="4" xfId="0" applyNumberFormat="1" applyFont="1" applyFill="1" applyBorder="1" applyAlignment="1" applyProtection="1"/>
    <xf numFmtId="9" fontId="7" fillId="2" borderId="0" xfId="0" applyNumberFormat="1" applyFont="1" applyFill="1" applyBorder="1" applyAlignment="1" applyProtection="1">
      <protection locked="0"/>
    </xf>
    <xf numFmtId="3" fontId="7" fillId="0" borderId="0" xfId="1" applyNumberFormat="1" applyFont="1" applyAlignment="1" applyProtection="1"/>
    <xf numFmtId="3" fontId="7" fillId="0" borderId="4" xfId="0" applyNumberFormat="1" applyFont="1" applyFill="1" applyBorder="1" applyAlignment="1" applyProtection="1"/>
    <xf numFmtId="9" fontId="7" fillId="0" borderId="10" xfId="6" applyNumberFormat="1" applyFont="1" applyBorder="1" applyAlignment="1" applyProtection="1"/>
    <xf numFmtId="9" fontId="7" fillId="0" borderId="10" xfId="0" applyNumberFormat="1" applyFont="1" applyBorder="1" applyAlignment="1" applyProtection="1"/>
    <xf numFmtId="3" fontId="7" fillId="0" borderId="0" xfId="1" applyNumberFormat="1" applyFont="1" applyAlignment="1" applyProtection="1">
      <alignment horizontal="right"/>
    </xf>
    <xf numFmtId="3" fontId="0" fillId="0" borderId="0" xfId="1" applyNumberFormat="1" applyFont="1" applyAlignment="1"/>
    <xf numFmtId="9" fontId="7" fillId="0" borderId="10" xfId="0" applyNumberFormat="1" applyFont="1" applyBorder="1" applyAlignment="1" applyProtection="1">
      <alignment horizontal="right"/>
    </xf>
    <xf numFmtId="9" fontId="8" fillId="0" borderId="33" xfId="0" applyNumberFormat="1" applyFont="1" applyBorder="1" applyAlignment="1" applyProtection="1">
      <alignment horizontal="right"/>
    </xf>
    <xf numFmtId="9" fontId="7" fillId="0" borderId="0" xfId="6" applyNumberFormat="1" applyFont="1" applyAlignment="1" applyProtection="1"/>
    <xf numFmtId="10" fontId="0" fillId="0" borderId="0" xfId="6" applyNumberFormat="1" applyFont="1" applyAlignment="1" applyProtection="1"/>
    <xf numFmtId="9" fontId="0" fillId="0" borderId="0" xfId="0" applyNumberFormat="1" applyFont="1" applyBorder="1" applyAlignment="1" applyProtection="1"/>
    <xf numFmtId="0" fontId="28" fillId="0" borderId="17" xfId="0" applyFont="1" applyBorder="1" applyAlignment="1"/>
    <xf numFmtId="9" fontId="28" fillId="0" borderId="16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left"/>
    </xf>
    <xf numFmtId="0" fontId="29" fillId="0" borderId="16" xfId="0" applyFont="1" applyBorder="1" applyAlignment="1"/>
    <xf numFmtId="0" fontId="29" fillId="0" borderId="17" xfId="0" applyFont="1" applyBorder="1" applyAlignment="1"/>
    <xf numFmtId="0" fontId="28" fillId="0" borderId="16" xfId="0" applyFont="1" applyBorder="1" applyAlignment="1"/>
    <xf numFmtId="0" fontId="29" fillId="0" borderId="0" xfId="0" applyFont="1" applyAlignment="1"/>
    <xf numFmtId="38" fontId="7" fillId="0" borderId="0" xfId="0" applyNumberFormat="1" applyFont="1" applyBorder="1" applyAlignment="1" applyProtection="1"/>
    <xf numFmtId="173" fontId="7" fillId="0" borderId="0" xfId="6" applyNumberFormat="1" applyFont="1" applyAlignment="1" applyProtection="1"/>
    <xf numFmtId="1" fontId="7" fillId="0" borderId="0" xfId="6" applyNumberFormat="1" applyFont="1" applyAlignment="1" applyProtection="1"/>
    <xf numFmtId="3" fontId="7" fillId="0" borderId="0" xfId="0" applyNumberFormat="1" applyFont="1" applyBorder="1" applyAlignment="1" applyProtection="1">
      <alignment horizontal="right"/>
    </xf>
    <xf numFmtId="3" fontId="7" fillId="0" borderId="15" xfId="0" applyNumberFormat="1" applyFont="1" applyBorder="1" applyAlignment="1" applyProtection="1"/>
    <xf numFmtId="10" fontId="7" fillId="9" borderId="12" xfId="0" applyNumberFormat="1" applyFont="1" applyFill="1" applyBorder="1" applyAlignment="1" applyProtection="1">
      <alignment horizontal="center"/>
    </xf>
    <xf numFmtId="10" fontId="7" fillId="9" borderId="10" xfId="0" applyNumberFormat="1" applyFont="1" applyFill="1" applyBorder="1" applyAlignment="1" applyProtection="1">
      <alignment horizontal="center"/>
    </xf>
    <xf numFmtId="9" fontId="7" fillId="0" borderId="12" xfId="0" applyNumberFormat="1" applyFont="1" applyBorder="1" applyAlignment="1">
      <alignment horizontal="center"/>
    </xf>
    <xf numFmtId="9" fontId="7" fillId="0" borderId="10" xfId="0" quotePrefix="1" applyNumberFormat="1" applyFont="1" applyBorder="1" applyAlignment="1">
      <alignment horizontal="center"/>
    </xf>
    <xf numFmtId="10" fontId="7" fillId="6" borderId="12" xfId="0" applyNumberFormat="1" applyFont="1" applyFill="1" applyBorder="1" applyAlignment="1" applyProtection="1">
      <alignment horizontal="center"/>
      <protection locked="0"/>
    </xf>
    <xf numFmtId="10" fontId="7" fillId="6" borderId="10" xfId="0" applyNumberFormat="1" applyFont="1" applyFill="1" applyBorder="1" applyAlignment="1" applyProtection="1">
      <alignment horizontal="center"/>
      <protection locked="0"/>
    </xf>
    <xf numFmtId="9" fontId="7" fillId="0" borderId="10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center"/>
    </xf>
    <xf numFmtId="9" fontId="30" fillId="0" borderId="16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left"/>
    </xf>
    <xf numFmtId="0" fontId="28" fillId="0" borderId="16" xfId="0" applyFont="1" applyBorder="1" applyAlignment="1">
      <alignment horizontal="left"/>
    </xf>
    <xf numFmtId="9" fontId="14" fillId="0" borderId="16" xfId="0" applyNumberFormat="1" applyFont="1" applyBorder="1" applyAlignment="1">
      <alignment horizontal="center"/>
    </xf>
    <xf numFmtId="9" fontId="15" fillId="0" borderId="16" xfId="0" applyNumberFormat="1" applyFont="1" applyBorder="1" applyAlignment="1">
      <alignment horizontal="center"/>
    </xf>
    <xf numFmtId="9" fontId="14" fillId="0" borderId="16" xfId="0" applyNumberFormat="1" applyFont="1" applyBorder="1" applyAlignment="1">
      <alignment horizontal="left"/>
    </xf>
  </cellXfs>
  <cellStyles count="142">
    <cellStyle name="Comma" xfId="1" builtinId="3"/>
    <cellStyle name="Date" xfId="2"/>
    <cellStyle name="Fixed" xf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EADING1" xfId="4"/>
    <cellStyle name="HEADING2" xfId="5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Percent" xfId="6" builtinId="5"/>
    <cellStyle name="Total" xfId="7" builtinId="25" customBuiltin="1"/>
  </cellStyles>
  <dxfs count="412"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  <color rgb="FF00CCFF"/>
      <color rgb="FFF7F4B3"/>
      <color rgb="FF723F95"/>
      <color rgb="FF008080"/>
    </mru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53966787437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9999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Poor!$K$6:$M$6</c:f>
              <c:numCache>
                <c:formatCode>0%</c:formatCode>
                <c:ptCount val="3"/>
                <c:pt idx="0">
                  <c:v>0.0359775466998755</c:v>
                </c:pt>
                <c:pt idx="1">
                  <c:v>0.00719550933997509</c:v>
                </c:pt>
                <c:pt idx="2" formatCode="0.0%">
                  <c:v>0.00719550933997509</c:v>
                </c:pt>
              </c:numCache>
            </c:numRef>
          </c:val>
        </c:ser>
        <c:ser>
          <c:idx val="1"/>
          <c:order val="1"/>
          <c:tx>
            <c:strRef>
              <c:f>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Poor!$K$7:$M$7</c:f>
              <c:numCache>
                <c:formatCode>0%</c:formatCode>
                <c:ptCount val="3"/>
                <c:pt idx="0">
                  <c:v>0.0285966021948941</c:v>
                </c:pt>
                <c:pt idx="1">
                  <c:v>0.00571932043897883</c:v>
                </c:pt>
                <c:pt idx="2" formatCode="0.0%">
                  <c:v>0.00571932043897883</c:v>
                </c:pt>
              </c:numCache>
            </c:numRef>
          </c:val>
        </c:ser>
        <c:ser>
          <c:idx val="2"/>
          <c:order val="2"/>
          <c:tx>
            <c:strRef>
              <c:f>Poor!$A$8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Poor!$K$8:$M$8</c:f>
              <c:numCache>
                <c:formatCode>0%</c:formatCode>
                <c:ptCount val="3"/>
                <c:pt idx="0">
                  <c:v>0.0136111111111111</c:v>
                </c:pt>
                <c:pt idx="1">
                  <c:v>0.00272222222222222</c:v>
                </c:pt>
                <c:pt idx="2" formatCode="0.0%">
                  <c:v>0.00272222222222222</c:v>
                </c:pt>
              </c:numCache>
            </c:numRef>
          </c:val>
        </c:ser>
        <c:ser>
          <c:idx val="3"/>
          <c:order val="3"/>
          <c:tx>
            <c:strRef>
              <c:f>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Poor!$K$9:$M$9</c:f>
              <c:numCache>
                <c:formatCode>0%</c:formatCode>
                <c:ptCount val="3"/>
                <c:pt idx="0">
                  <c:v>0.123220194894147</c:v>
                </c:pt>
                <c:pt idx="1">
                  <c:v>0.0369660584682441</c:v>
                </c:pt>
                <c:pt idx="2" formatCode="0.0%">
                  <c:v>0.0369660584682441</c:v>
                </c:pt>
              </c:numCache>
            </c:numRef>
          </c:val>
        </c:ser>
        <c:ser>
          <c:idx val="4"/>
          <c:order val="4"/>
          <c:tx>
            <c:strRef>
              <c:f>Poor!$A$10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F99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Poor!$K$10:$M$10</c:f>
              <c:numCache>
                <c:formatCode>0%</c:formatCode>
                <c:ptCount val="3"/>
                <c:pt idx="0">
                  <c:v>0.0233829260585305</c:v>
                </c:pt>
                <c:pt idx="1">
                  <c:v>0.0046765852117061</c:v>
                </c:pt>
                <c:pt idx="2" formatCode="0.0%">
                  <c:v>0.004436757990859</c:v>
                </c:pt>
              </c:numCache>
            </c:numRef>
          </c:val>
        </c:ser>
        <c:ser>
          <c:idx val="5"/>
          <c:order val="5"/>
          <c:tx>
            <c:strRef>
              <c:f>Poor!$A$11</c:f>
              <c:strCache>
                <c:ptCount val="1"/>
                <c:pt idx="0">
                  <c:v>Potatoes: no. local meas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Poor!$K$11:$M$11</c:f>
              <c:numCache>
                <c:formatCode>0%</c:formatCode>
                <c:ptCount val="3"/>
                <c:pt idx="0">
                  <c:v>0.0056812901618929</c:v>
                </c:pt>
                <c:pt idx="1">
                  <c:v>0.00113625803237858</c:v>
                </c:pt>
                <c:pt idx="2" formatCode="0.0%">
                  <c:v>0.00158193446748746</c:v>
                </c:pt>
              </c:numCache>
            </c:numRef>
          </c:val>
        </c:ser>
        <c:ser>
          <c:idx val="6"/>
          <c:order val="6"/>
          <c:tx>
            <c:strRef>
              <c:f>Poor!$A$12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Poor!$K$12:$M$12</c:f>
              <c:numCache>
                <c:formatCode>0%</c:formatCode>
                <c:ptCount val="3"/>
                <c:pt idx="0">
                  <c:v>0.00340448318804483</c:v>
                </c:pt>
                <c:pt idx="1">
                  <c:v>0.000680896637608966</c:v>
                </c:pt>
                <c:pt idx="2" formatCode="0.0%">
                  <c:v>0.000712272201268172</c:v>
                </c:pt>
              </c:numCache>
            </c:numRef>
          </c:val>
        </c:ser>
        <c:ser>
          <c:idx val="7"/>
          <c:order val="7"/>
          <c:tx>
            <c:strRef>
              <c:f>Poor!$A$13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Poor!$K$13:$M$13</c:f>
              <c:numCache>
                <c:formatCode>0%</c:formatCode>
                <c:ptCount val="3"/>
                <c:pt idx="0">
                  <c:v>0.00075887297633873</c:v>
                </c:pt>
                <c:pt idx="1">
                  <c:v>0.000151774595267746</c:v>
                </c:pt>
                <c:pt idx="2" formatCode="0.0%">
                  <c:v>0.000158711369546142</c:v>
                </c:pt>
              </c:numCache>
            </c:numRef>
          </c:val>
        </c:ser>
        <c:ser>
          <c:idx val="9"/>
          <c:order val="8"/>
          <c:tx>
            <c:strRef>
              <c:f>Poor!$A$14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Poor!$K$14:$M$14</c:f>
              <c:numCache>
                <c:formatCode>0%</c:formatCode>
                <c:ptCount val="3"/>
                <c:pt idx="0">
                  <c:v>0.00628932440846824</c:v>
                </c:pt>
                <c:pt idx="1">
                  <c:v>0.00125786488169365</c:v>
                </c:pt>
                <c:pt idx="2" formatCode="0.0%">
                  <c:v>0.00125786488169365</c:v>
                </c:pt>
              </c:numCache>
            </c:numRef>
          </c:val>
        </c:ser>
        <c:ser>
          <c:idx val="10"/>
          <c:order val="9"/>
          <c:tx>
            <c:strRef>
              <c:f>Poor!$A$15</c:f>
              <c:strCache>
                <c:ptCount val="1"/>
                <c:pt idx="0">
                  <c:v>Cow peas</c:v>
                </c:pt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Poor!$K$15:$M$15</c:f>
              <c:numCache>
                <c:formatCode>0%</c:formatCode>
                <c:ptCount val="3"/>
                <c:pt idx="0">
                  <c:v>0.00298987313200498</c:v>
                </c:pt>
                <c:pt idx="1">
                  <c:v>0.000597974626400996</c:v>
                </c:pt>
                <c:pt idx="2" formatCode="0.0%">
                  <c:v>0.000597974626400996</c:v>
                </c:pt>
              </c:numCache>
            </c:numRef>
          </c:val>
        </c:ser>
        <c:ser>
          <c:idx val="11"/>
          <c:order val="10"/>
          <c:tx>
            <c:strRef>
              <c:f>Poor!$A$16</c:f>
              <c:strCache>
                <c:ptCount val="1"/>
                <c:pt idx="0">
                  <c:v>Other crop: Spinach</c:v>
                </c:pt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Poor!$K$16:$M$16</c:f>
              <c:numCache>
                <c:formatCode>0%</c:formatCode>
                <c:ptCount val="3"/>
                <c:pt idx="0">
                  <c:v>0.00080923100871731</c:v>
                </c:pt>
                <c:pt idx="1">
                  <c:v>0.000161846201743462</c:v>
                </c:pt>
                <c:pt idx="2" formatCode="0.0%">
                  <c:v>0.000168996415230424</c:v>
                </c:pt>
              </c:numCache>
            </c:numRef>
          </c:val>
        </c:ser>
        <c:ser>
          <c:idx val="12"/>
          <c:order val="11"/>
          <c:tx>
            <c:strRef>
              <c:f>Poor!$A$17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Poor!$K$17:$M$17</c:f>
              <c:numCache>
                <c:formatCode>0%</c:formatCode>
                <c:ptCount val="3"/>
                <c:pt idx="0">
                  <c:v>0.00381269925280199</c:v>
                </c:pt>
                <c:pt idx="1">
                  <c:v>0.000762539850560398</c:v>
                </c:pt>
                <c:pt idx="2" formatCode="0.0%">
                  <c:v>0.000762539850560398</c:v>
                </c:pt>
              </c:numCache>
            </c:numRef>
          </c:val>
        </c:ser>
        <c:ser>
          <c:idx val="13"/>
          <c:order val="12"/>
          <c:tx>
            <c:strRef>
              <c:f>Poor!$A$18</c:f>
              <c:strCache>
                <c:ptCount val="1"/>
                <c:pt idx="0">
                  <c:v>Sweet Potatoes: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Poor!$K$18:$M$18</c:f>
              <c:numCache>
                <c:formatCode>0%</c:formatCode>
                <c:ptCount val="3"/>
                <c:pt idx="0">
                  <c:v>0.007453300124533</c:v>
                </c:pt>
                <c:pt idx="1">
                  <c:v>0.0014906600249066</c:v>
                </c:pt>
                <c:pt idx="2" formatCode="0.0%">
                  <c:v>0.00171775934282085</c:v>
                </c:pt>
              </c:numCache>
            </c:numRef>
          </c:val>
        </c:ser>
        <c:ser>
          <c:idx val="14"/>
          <c:order val="13"/>
          <c:tx>
            <c:strRef>
              <c:f>Poor!$A$19</c:f>
              <c:strCache>
                <c:ptCount val="1"/>
                <c:pt idx="0">
                  <c:v>Amadumbe: kg produced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Poor!$K$19:$M$19</c:f>
              <c:numCache>
                <c:formatCode>0%</c:formatCode>
                <c:ptCount val="3"/>
                <c:pt idx="0">
                  <c:v>0.00351826484018265</c:v>
                </c:pt>
                <c:pt idx="1">
                  <c:v>0.000703652968036529</c:v>
                </c:pt>
                <c:pt idx="2" formatCode="0.0%">
                  <c:v>0.00103224500117069</c:v>
                </c:pt>
              </c:numCache>
            </c:numRef>
          </c:val>
        </c:ser>
        <c:ser>
          <c:idx val="15"/>
          <c:order val="14"/>
          <c:tx>
            <c:strRef>
              <c:f>Poor!$A$20</c:f>
              <c:strCache>
                <c:ptCount val="1"/>
                <c:pt idx="0">
                  <c:v>Green Pepper/ Brinjal / Beetroot: kg produced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Poor!$K$20:$M$20</c:f>
              <c:numCache>
                <c:formatCode>0%</c:formatCode>
                <c:ptCount val="3"/>
                <c:pt idx="0">
                  <c:v>0.000215753424657534</c:v>
                </c:pt>
                <c:pt idx="1">
                  <c:v>4.31506849315068E-5</c:v>
                </c:pt>
                <c:pt idx="2" formatCode="0.0%">
                  <c:v>4.31506849315068E-5</c:v>
                </c:pt>
              </c:numCache>
            </c:numRef>
          </c:val>
        </c:ser>
        <c:ser>
          <c:idx val="16"/>
          <c:order val="15"/>
          <c:tx>
            <c:strRef>
              <c:f>Poor!$A$21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Poor!$K$21:$M$21</c:f>
              <c:numCache>
                <c:formatCode>0%</c:formatCode>
                <c:ptCount val="3"/>
                <c:pt idx="0">
                  <c:v>0.00680417185554172</c:v>
                </c:pt>
                <c:pt idx="1">
                  <c:v>0.00680417185554172</c:v>
                </c:pt>
                <c:pt idx="2" formatCode="0.0%">
                  <c:v>0.00719289801414259</c:v>
                </c:pt>
              </c:numCache>
            </c:numRef>
          </c:val>
        </c:ser>
        <c:ser>
          <c:idx val="8"/>
          <c:order val="16"/>
          <c:tx>
            <c:strRef>
              <c:f>Poor!$A$22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Poor!$K$22:$M$22</c:f>
              <c:numCache>
                <c:formatCode>0%</c:formatCode>
                <c:ptCount val="3"/>
                <c:pt idx="0">
                  <c:v>0.000339975093399751</c:v>
                </c:pt>
                <c:pt idx="1">
                  <c:v>0.000339975093399751</c:v>
                </c:pt>
                <c:pt idx="2" formatCode="0.0%">
                  <c:v>0.000359398061379259</c:v>
                </c:pt>
              </c:numCache>
            </c:numRef>
          </c:val>
        </c:ser>
        <c:ser>
          <c:idx val="17"/>
          <c:order val="17"/>
          <c:tx>
            <c:strRef>
              <c:f>Poor!$A$23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Poor!$A$24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Poor!$A$25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Poor!$A$26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Poor!$K$26:$M$26</c:f>
              <c:numCache>
                <c:formatCode>0%</c:formatCode>
                <c:ptCount val="3"/>
                <c:pt idx="0">
                  <c:v>0.152813229719126</c:v>
                </c:pt>
                <c:pt idx="1">
                  <c:v>0.152813229719126</c:v>
                </c:pt>
                <c:pt idx="2" formatCode="0.0%">
                  <c:v>0.152813229719126</c:v>
                </c:pt>
              </c:numCache>
            </c:numRef>
          </c:val>
        </c:ser>
        <c:ser>
          <c:idx val="21"/>
          <c:order val="21"/>
          <c:tx>
            <c:strRef>
              <c:f>Poor!$A$27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Poor!$K$27:$M$27</c:f>
              <c:numCache>
                <c:formatCode>0%</c:formatCode>
                <c:ptCount val="3"/>
                <c:pt idx="0">
                  <c:v>0.0277088732876712</c:v>
                </c:pt>
                <c:pt idx="1">
                  <c:v>0.0277088732876712</c:v>
                </c:pt>
                <c:pt idx="2" formatCode="0.0%">
                  <c:v>0.0213767793306369</c:v>
                </c:pt>
              </c:numCache>
            </c:numRef>
          </c:val>
        </c:ser>
        <c:ser>
          <c:idx val="22"/>
          <c:order val="22"/>
          <c:tx>
            <c:strRef>
              <c:f>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Poor!$K$28:$M$28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Poor!$K$29:$M$29</c:f>
              <c:numCache>
                <c:formatCode>0%</c:formatCode>
                <c:ptCount val="3"/>
                <c:pt idx="0">
                  <c:v>0.220951352895392</c:v>
                </c:pt>
                <c:pt idx="1">
                  <c:v>0.220951352895392</c:v>
                </c:pt>
                <c:pt idx="2" formatCode="0.0%">
                  <c:v>0.221818902453016</c:v>
                </c:pt>
              </c:numCache>
            </c:numRef>
          </c:val>
        </c:ser>
        <c:ser>
          <c:idx val="24"/>
          <c:order val="24"/>
          <c:tx>
            <c:strRef>
              <c:f>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Poor!$K$30:$M$30</c:f>
              <c:numCache>
                <c:formatCode>0%</c:formatCode>
                <c:ptCount val="3"/>
                <c:pt idx="0">
                  <c:v>0.592746557596513</c:v>
                </c:pt>
                <c:pt idx="1">
                  <c:v>0.498728166019938</c:v>
                </c:pt>
                <c:pt idx="2" formatCode="0.0%">
                  <c:v>0.53136547512031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85444056"/>
        <c:axId val="2085315720"/>
      </c:barChart>
      <c:catAx>
        <c:axId val="2085444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5315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5315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4373954369289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544405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66297947099587"/>
          <c:w val="0.729119638826185"/>
          <c:h val="0.6530667773205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Middle!$K$6:$M$6</c:f>
              <c:numCache>
                <c:formatCode>0%</c:formatCode>
                <c:ptCount val="3"/>
                <c:pt idx="0">
                  <c:v>0.0697224123821384</c:v>
                </c:pt>
                <c:pt idx="1">
                  <c:v>0.0139444824764277</c:v>
                </c:pt>
                <c:pt idx="2" formatCode="0.0%">
                  <c:v>0.0139444824764277</c:v>
                </c:pt>
              </c:numCache>
            </c:numRef>
          </c:val>
        </c:ser>
        <c:ser>
          <c:idx val="1"/>
          <c:order val="1"/>
          <c:tx>
            <c:strRef>
              <c:f>Middle!$A$7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Middle!$K$7:$M$7</c:f>
              <c:numCache>
                <c:formatCode>0%</c:formatCode>
                <c:ptCount val="3"/>
                <c:pt idx="0">
                  <c:v>0.0432462822451521</c:v>
                </c:pt>
                <c:pt idx="1">
                  <c:v>0.00864925644903042</c:v>
                </c:pt>
                <c:pt idx="2" formatCode="0.0%">
                  <c:v>0.00864925644903042</c:v>
                </c:pt>
              </c:numCache>
            </c:numRef>
          </c:val>
        </c:ser>
        <c:ser>
          <c:idx val="2"/>
          <c:order val="2"/>
          <c:tx>
            <c:strRef>
              <c:f>Middle!$A$8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Middle!$K$8:$M$8</c:f>
              <c:numCache>
                <c:formatCode>0%</c:formatCode>
                <c:ptCount val="3"/>
                <c:pt idx="0">
                  <c:v>0.0130555555555556</c:v>
                </c:pt>
                <c:pt idx="1">
                  <c:v>0.00261111111111111</c:v>
                </c:pt>
                <c:pt idx="2" formatCode="0.0%">
                  <c:v>0.00261111111111111</c:v>
                </c:pt>
              </c:numCache>
            </c:numRef>
          </c:val>
        </c:ser>
        <c:ser>
          <c:idx val="3"/>
          <c:order val="3"/>
          <c:tx>
            <c:strRef>
              <c:f>Middle!$A$9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Middle!$K$9:$M$9</c:f>
              <c:numCache>
                <c:formatCode>0%</c:formatCode>
                <c:ptCount val="3"/>
                <c:pt idx="0">
                  <c:v>0.0617368350827255</c:v>
                </c:pt>
                <c:pt idx="1">
                  <c:v>0.0185210505248176</c:v>
                </c:pt>
                <c:pt idx="2" formatCode="0.0%">
                  <c:v>0.046408245498214</c:v>
                </c:pt>
              </c:numCache>
            </c:numRef>
          </c:val>
        </c:ser>
        <c:ser>
          <c:idx val="4"/>
          <c:order val="4"/>
          <c:tx>
            <c:strRef>
              <c:f>Middle!$A$10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66FF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Middle!$K$10:$M$10</c:f>
              <c:numCache>
                <c:formatCode>0%</c:formatCode>
                <c:ptCount val="3"/>
                <c:pt idx="0">
                  <c:v>0.0223045233944138</c:v>
                </c:pt>
                <c:pt idx="1">
                  <c:v>0.00446090467888276</c:v>
                </c:pt>
                <c:pt idx="2" formatCode="0.0%">
                  <c:v>0.00424594311415557</c:v>
                </c:pt>
              </c:numCache>
            </c:numRef>
          </c:val>
        </c:ser>
        <c:ser>
          <c:idx val="5"/>
          <c:order val="5"/>
          <c:tx>
            <c:strRef>
              <c:f>Middle!$A$11</c:f>
              <c:strCache>
                <c:ptCount val="1"/>
                <c:pt idx="0">
                  <c:v>Potatoes: no. local meas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Middle!$K$11:$M$11</c:f>
              <c:numCache>
                <c:formatCode>0%</c:formatCode>
                <c:ptCount val="3"/>
                <c:pt idx="0">
                  <c:v>0.0398287173100872</c:v>
                </c:pt>
                <c:pt idx="1">
                  <c:v>0.00796574346201743</c:v>
                </c:pt>
                <c:pt idx="2" formatCode="0.0%">
                  <c:v>0.01616033000029</c:v>
                </c:pt>
              </c:numCache>
            </c:numRef>
          </c:val>
        </c:ser>
        <c:ser>
          <c:idx val="6"/>
          <c:order val="6"/>
          <c:tx>
            <c:strRef>
              <c:f>Middle!$A$12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Middle!$K$12:$M$12</c:f>
              <c:numCache>
                <c:formatCode>0%</c:formatCode>
                <c:ptCount val="3"/>
                <c:pt idx="0">
                  <c:v>0.00329194538338374</c:v>
                </c:pt>
                <c:pt idx="1">
                  <c:v>0.000658389076676748</c:v>
                </c:pt>
                <c:pt idx="2" formatCode="0.0%">
                  <c:v>0.000690381268069969</c:v>
                </c:pt>
              </c:numCache>
            </c:numRef>
          </c:val>
        </c:ser>
        <c:ser>
          <c:idx val="7"/>
          <c:order val="7"/>
          <c:tx>
            <c:strRef>
              <c:f>Middle!$A$13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Middle!$K$13:$M$13</c:f>
              <c:numCache>
                <c:formatCode>0%</c:formatCode>
                <c:ptCount val="3"/>
                <c:pt idx="0">
                  <c:v>0.000416296032734389</c:v>
                </c:pt>
                <c:pt idx="1">
                  <c:v>8.32592065468778E-5</c:v>
                </c:pt>
                <c:pt idx="2" formatCode="0.0%">
                  <c:v>8.32592065468778E-5</c:v>
                </c:pt>
              </c:numCache>
            </c:numRef>
          </c:val>
        </c:ser>
        <c:ser>
          <c:idx val="9"/>
          <c:order val="8"/>
          <c:tx>
            <c:strRef>
              <c:f>Middle!$A$14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Middle!$K$14:$M$14</c:f>
              <c:numCache>
                <c:formatCode>0%</c:formatCode>
                <c:ptCount val="3"/>
                <c:pt idx="0">
                  <c:v>0.0179694983099093</c:v>
                </c:pt>
                <c:pt idx="1">
                  <c:v>0.00359389966198185</c:v>
                </c:pt>
                <c:pt idx="2" formatCode="0.0%">
                  <c:v>0.00359389966198185</c:v>
                </c:pt>
              </c:numCache>
            </c:numRef>
          </c:val>
        </c:ser>
        <c:ser>
          <c:idx val="10"/>
          <c:order val="9"/>
          <c:tx>
            <c:strRef>
              <c:f>Middle!$A$15</c:f>
              <c:strCache>
                <c:ptCount val="1"/>
                <c:pt idx="0">
                  <c:v>Cow peas</c:v>
                </c:pt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Middle!$K$15:$M$15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1"/>
          <c:order val="10"/>
          <c:tx>
            <c:strRef>
              <c:f>Middle!$A$16</c:f>
              <c:strCache>
                <c:ptCount val="1"/>
                <c:pt idx="0">
                  <c:v>Other crop: Spinach</c:v>
                </c:pt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Middle!$K$16:$M$16</c:f>
              <c:numCache>
                <c:formatCode>0%</c:formatCode>
                <c:ptCount val="3"/>
                <c:pt idx="0">
                  <c:v>0.000776196406333392</c:v>
                </c:pt>
                <c:pt idx="1">
                  <c:v>0.000155239281266678</c:v>
                </c:pt>
                <c:pt idx="2" formatCode="0.0%">
                  <c:v>0.00016694779070758</c:v>
                </c:pt>
              </c:numCache>
            </c:numRef>
          </c:val>
        </c:ser>
        <c:ser>
          <c:idx val="12"/>
          <c:order val="11"/>
          <c:tx>
            <c:strRef>
              <c:f>Middle!$A$17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Middle!$K$17:$M$17</c:f>
              <c:numCache>
                <c:formatCode>0%</c:formatCode>
                <c:ptCount val="3"/>
                <c:pt idx="0">
                  <c:v>0.00371183419320406</c:v>
                </c:pt>
                <c:pt idx="1">
                  <c:v>0.000742366838640811</c:v>
                </c:pt>
                <c:pt idx="2" formatCode="0.0%">
                  <c:v>0.000755048936854804</c:v>
                </c:pt>
              </c:numCache>
            </c:numRef>
          </c:val>
        </c:ser>
        <c:ser>
          <c:idx val="13"/>
          <c:order val="12"/>
          <c:tx>
            <c:strRef>
              <c:f>Middle!$A$18</c:f>
              <c:strCache>
                <c:ptCount val="1"/>
                <c:pt idx="0">
                  <c:v>Sweet Potatoes: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Middle!$K$18:$M$18</c:f>
              <c:numCache>
                <c:formatCode>0%</c:formatCode>
                <c:ptCount val="3"/>
                <c:pt idx="0">
                  <c:v>0.00248443337484433</c:v>
                </c:pt>
                <c:pt idx="1">
                  <c:v>0.000496886674968867</c:v>
                </c:pt>
                <c:pt idx="2" formatCode="0.0%">
                  <c:v>0.000496886674968867</c:v>
                </c:pt>
              </c:numCache>
            </c:numRef>
          </c:val>
        </c:ser>
        <c:ser>
          <c:idx val="14"/>
          <c:order val="13"/>
          <c:tx>
            <c:strRef>
              <c:f>Middle!$A$19</c:f>
              <c:strCache>
                <c:ptCount val="1"/>
                <c:pt idx="0">
                  <c:v>Amadumbe: kg produced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Middle!$K$19:$M$19</c:f>
              <c:numCache>
                <c:formatCode>0%</c:formatCode>
                <c:ptCount val="3"/>
                <c:pt idx="0">
                  <c:v>0.00480756686236138</c:v>
                </c:pt>
                <c:pt idx="1">
                  <c:v>0.000961513372472276</c:v>
                </c:pt>
                <c:pt idx="2" formatCode="0.0%">
                  <c:v>0.0014423428268453</c:v>
                </c:pt>
              </c:numCache>
            </c:numRef>
          </c:val>
        </c:ser>
        <c:ser>
          <c:idx val="15"/>
          <c:order val="14"/>
          <c:tx>
            <c:strRef>
              <c:f>Middle!$A$20</c:f>
              <c:strCache>
                <c:ptCount val="1"/>
                <c:pt idx="0">
                  <c:v>Green Pepper/ Brinjal / Beetroot: kg produced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Middle!$A$21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Middle!$K$21:$M$21</c:f>
              <c:numCache>
                <c:formatCode>0%</c:formatCode>
                <c:ptCount val="3"/>
                <c:pt idx="0">
                  <c:v>0.00501690090731187</c:v>
                </c:pt>
                <c:pt idx="1">
                  <c:v>0.00501690090731187</c:v>
                </c:pt>
                <c:pt idx="2" formatCode="0.0%">
                  <c:v>0.00550970682706324</c:v>
                </c:pt>
              </c:numCache>
            </c:numRef>
          </c:val>
        </c:ser>
        <c:ser>
          <c:idx val="8"/>
          <c:order val="16"/>
          <c:tx>
            <c:strRef>
              <c:f>Middle!$A$22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Middle!$A$23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Middle!$A$24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Middle!$A$25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Middle!$A$26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Middle!$K$26:$M$26</c:f>
              <c:numCache>
                <c:formatCode>0%</c:formatCode>
                <c:ptCount val="3"/>
                <c:pt idx="0">
                  <c:v>0.136001075037917</c:v>
                </c:pt>
                <c:pt idx="1">
                  <c:v>0.136001075037917</c:v>
                </c:pt>
                <c:pt idx="2" formatCode="0.0%">
                  <c:v>0.136001075037917</c:v>
                </c:pt>
              </c:numCache>
            </c:numRef>
          </c:val>
        </c:ser>
        <c:ser>
          <c:idx val="21"/>
          <c:order val="21"/>
          <c:tx>
            <c:strRef>
              <c:f>Middle!$A$27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Middle!$K$27:$M$27</c:f>
              <c:numCache>
                <c:formatCode>0%</c:formatCode>
                <c:ptCount val="3"/>
                <c:pt idx="0">
                  <c:v>0.0511193033268102</c:v>
                </c:pt>
                <c:pt idx="1">
                  <c:v>0.0511193033268102</c:v>
                </c:pt>
                <c:pt idx="2" formatCode="0.0%">
                  <c:v>0.0310336801435398</c:v>
                </c:pt>
              </c:numCache>
            </c:numRef>
          </c:val>
        </c:ser>
        <c:ser>
          <c:idx val="22"/>
          <c:order val="22"/>
          <c:tx>
            <c:strRef>
              <c:f>Middle!$A$28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Middle!$K$28:$M$28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Middle!$A$29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Middle!$K$29:$M$29</c:f>
              <c:numCache>
                <c:formatCode>0%</c:formatCode>
                <c:ptCount val="3"/>
                <c:pt idx="0">
                  <c:v>0.258217382999466</c:v>
                </c:pt>
                <c:pt idx="1">
                  <c:v>0.258217382999466</c:v>
                </c:pt>
                <c:pt idx="2" formatCode="0.0%">
                  <c:v>0.245066588379261</c:v>
                </c:pt>
              </c:numCache>
            </c:numRef>
          </c:val>
        </c:ser>
        <c:ser>
          <c:idx val="24"/>
          <c:order val="24"/>
          <c:tx>
            <c:strRef>
              <c:f>Middle!$A$30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Middle!$K$30:$M$30</c:f>
              <c:numCache>
                <c:formatCode>0%</c:formatCode>
                <c:ptCount val="3"/>
                <c:pt idx="0">
                  <c:v>0.63059345561288</c:v>
                </c:pt>
                <c:pt idx="1">
                  <c:v>0.302104025005508</c:v>
                </c:pt>
                <c:pt idx="2" formatCode="0.0%">
                  <c:v>0.483140814597015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7136584"/>
        <c:axId val="-2087133272"/>
      </c:barChart>
      <c:catAx>
        <c:axId val="-2087136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71332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71332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465806982836893"/>
              <c:y val="0.241086558635033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713658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"/>
          <c:y val="0.770655332963563"/>
          <c:w val="0.993747736609297"/>
          <c:h val="0.216671586771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Arial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6631586123167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Rich!$K$6:$M$6</c:f>
              <c:numCache>
                <c:formatCode>0%</c:formatCode>
                <c:ptCount val="3"/>
                <c:pt idx="0">
                  <c:v>0.0422400373599004</c:v>
                </c:pt>
                <c:pt idx="1">
                  <c:v>0.00844800747198007</c:v>
                </c:pt>
                <c:pt idx="2" formatCode="0.0%">
                  <c:v>0.00844800747198007</c:v>
                </c:pt>
              </c:numCache>
            </c:numRef>
          </c:val>
        </c:ser>
        <c:ser>
          <c:idx val="1"/>
          <c:order val="1"/>
          <c:tx>
            <c:strRef>
              <c:f>Rich!$A$7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Rich!$K$7:$M$7</c:f>
              <c:numCache>
                <c:formatCode>0%</c:formatCode>
                <c:ptCount val="3"/>
                <c:pt idx="0">
                  <c:v>0.0869751650062266</c:v>
                </c:pt>
                <c:pt idx="1">
                  <c:v>0.0173950330012453</c:v>
                </c:pt>
                <c:pt idx="2" formatCode="0.0%">
                  <c:v>0.0173950330012453</c:v>
                </c:pt>
              </c:numCache>
            </c:numRef>
          </c:val>
        </c:ser>
        <c:ser>
          <c:idx val="2"/>
          <c:order val="2"/>
          <c:tx>
            <c:strRef>
              <c:f>Rich!$A$8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Rich!$K$8:$M$8</c:f>
              <c:numCache>
                <c:formatCode>0%</c:formatCode>
                <c:ptCount val="3"/>
                <c:pt idx="0">
                  <c:v>0.0025</c:v>
                </c:pt>
                <c:pt idx="1">
                  <c:v>0.0005</c:v>
                </c:pt>
                <c:pt idx="2" formatCode="0.0%">
                  <c:v>0.0005</c:v>
                </c:pt>
              </c:numCache>
            </c:numRef>
          </c:val>
        </c:ser>
        <c:ser>
          <c:idx val="3"/>
          <c:order val="3"/>
          <c:tx>
            <c:strRef>
              <c:f>Rich!$A$9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Rich!$K$9:$M$9</c:f>
              <c:numCache>
                <c:formatCode>0%</c:formatCode>
                <c:ptCount val="3"/>
                <c:pt idx="0">
                  <c:v>0.04376775373599</c:v>
                </c:pt>
                <c:pt idx="1">
                  <c:v>0.013130326120797</c:v>
                </c:pt>
                <c:pt idx="2" formatCode="0.0%">
                  <c:v>0.0137290170959935</c:v>
                </c:pt>
              </c:numCache>
            </c:numRef>
          </c:val>
        </c:ser>
        <c:ser>
          <c:idx val="4"/>
          <c:order val="4"/>
          <c:tx>
            <c:strRef>
              <c:f>Rich!$A$10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66FF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Rich!$K$10:$M$10</c:f>
              <c:numCache>
                <c:formatCode>0%</c:formatCode>
                <c:ptCount val="3"/>
                <c:pt idx="0">
                  <c:v>0.0360133884806974</c:v>
                </c:pt>
                <c:pt idx="1">
                  <c:v>0.00720267769613948</c:v>
                </c:pt>
                <c:pt idx="2" formatCode="0.0%">
                  <c:v>0.00720267769613948</c:v>
                </c:pt>
              </c:numCache>
            </c:numRef>
          </c:val>
        </c:ser>
        <c:ser>
          <c:idx val="5"/>
          <c:order val="5"/>
          <c:tx>
            <c:strRef>
              <c:f>Rich!$A$11</c:f>
              <c:strCache>
                <c:ptCount val="1"/>
                <c:pt idx="0">
                  <c:v>Potatoes: no. local meas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Rich!$K$11:$M$11</c:f>
              <c:numCache>
                <c:formatCode>0%</c:formatCode>
                <c:ptCount val="3"/>
                <c:pt idx="0">
                  <c:v>0.0217768169364882</c:v>
                </c:pt>
                <c:pt idx="1">
                  <c:v>0.00435536338729763</c:v>
                </c:pt>
                <c:pt idx="2" formatCode="0.0%">
                  <c:v>0.00438196307888984</c:v>
                </c:pt>
              </c:numCache>
            </c:numRef>
          </c:val>
        </c:ser>
        <c:ser>
          <c:idx val="6"/>
          <c:order val="6"/>
          <c:tx>
            <c:strRef>
              <c:f>Rich!$A$12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1FB71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Rich!$K$12:$M$12</c:f>
              <c:numCache>
                <c:formatCode>0%</c:formatCode>
                <c:ptCount val="3"/>
                <c:pt idx="0">
                  <c:v>0.00142789539227895</c:v>
                </c:pt>
                <c:pt idx="1">
                  <c:v>0.000285579078455791</c:v>
                </c:pt>
                <c:pt idx="2" formatCode="0.0%">
                  <c:v>0.000285579078455791</c:v>
                </c:pt>
              </c:numCache>
            </c:numRef>
          </c:val>
        </c:ser>
        <c:ser>
          <c:idx val="7"/>
          <c:order val="7"/>
          <c:tx>
            <c:strRef>
              <c:f>Rich!$A$13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CCCC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Rich!$K$13:$M$13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9"/>
          <c:order val="8"/>
          <c:tx>
            <c:strRef>
              <c:f>Rich!$A$14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96969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Rich!$K$14:$M$14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Rich!$A$15</c:f>
              <c:strCache>
                <c:ptCount val="1"/>
                <c:pt idx="0">
                  <c:v>Cow peas</c:v>
                </c:pt>
              </c:strCache>
            </c:strRef>
          </c:tx>
          <c:spPr>
            <a:solidFill>
              <a:srgbClr val="FCF30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Rich!$K$15:$M$15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1"/>
          <c:order val="10"/>
          <c:tx>
            <c:strRef>
              <c:f>Rich!$A$16</c:f>
              <c:strCache>
                <c:ptCount val="1"/>
                <c:pt idx="0">
                  <c:v>Other crop: Spinach</c:v>
                </c:pt>
              </c:strCache>
            </c:strRef>
          </c:tx>
          <c:spPr>
            <a:solidFill>
              <a:srgbClr val="00ABE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Rich!$K$16:$M$16</c:f>
              <c:numCache>
                <c:formatCode>0%</c:formatCode>
                <c:ptCount val="3"/>
                <c:pt idx="0">
                  <c:v>0.00100423412204234</c:v>
                </c:pt>
                <c:pt idx="1">
                  <c:v>0.000200846824408468</c:v>
                </c:pt>
                <c:pt idx="2" formatCode="0.0%">
                  <c:v>0.000200846824408468</c:v>
                </c:pt>
              </c:numCache>
            </c:numRef>
          </c:val>
        </c:ser>
        <c:ser>
          <c:idx val="12"/>
          <c:order val="11"/>
          <c:tx>
            <c:strRef>
              <c:f>Rich!$A$17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Rich!$K$17:$M$17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3"/>
          <c:order val="12"/>
          <c:tx>
            <c:strRef>
              <c:f>Rich!$A$18</c:f>
              <c:strCache>
                <c:ptCount val="1"/>
                <c:pt idx="0">
                  <c:v>Sweet Potatoes: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Rich!$K$18:$M$18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4"/>
          <c:order val="13"/>
          <c:tx>
            <c:strRef>
              <c:f>Rich!$A$19</c:f>
              <c:strCache>
                <c:ptCount val="1"/>
                <c:pt idx="0">
                  <c:v>Amadumbe: kg produced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Rich!$K$19:$M$19</c:f>
              <c:numCache>
                <c:formatCode>0%</c:formatCode>
                <c:ptCount val="3"/>
                <c:pt idx="0">
                  <c:v>0.0011013698630137</c:v>
                </c:pt>
                <c:pt idx="1">
                  <c:v>0.00022027397260274</c:v>
                </c:pt>
                <c:pt idx="2" formatCode="0.0%">
                  <c:v>0.000224733333019708</c:v>
                </c:pt>
              </c:numCache>
            </c:numRef>
          </c:val>
        </c:ser>
        <c:ser>
          <c:idx val="15"/>
          <c:order val="14"/>
          <c:tx>
            <c:strRef>
              <c:f>Rich!$A$20</c:f>
              <c:strCache>
                <c:ptCount val="1"/>
                <c:pt idx="0">
                  <c:v>Green Pepper/ Brinjal / Beetroot: kg produced</c:v>
                </c:pt>
              </c:strCache>
            </c:strRef>
          </c:tx>
          <c:spPr>
            <a:solidFill>
              <a:srgbClr val="0000D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Rich!$A$21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Rich!$A$22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Rich!$A$23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Rich!$A$24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Rich!$A$25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val>
            <c:numRef>
              <c:f>Rich!$K$25:$M$25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Rich!$A$26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Rich!$K$26:$M$26</c:f>
              <c:numCache>
                <c:formatCode>0%</c:formatCode>
                <c:ptCount val="3"/>
                <c:pt idx="0">
                  <c:v>0.0238095238095238</c:v>
                </c:pt>
                <c:pt idx="1">
                  <c:v>0.0238095238095238</c:v>
                </c:pt>
                <c:pt idx="2" formatCode="0.0%">
                  <c:v>0.0238095238095238</c:v>
                </c:pt>
              </c:numCache>
            </c:numRef>
          </c:val>
        </c:ser>
        <c:ser>
          <c:idx val="21"/>
          <c:order val="21"/>
          <c:tx>
            <c:strRef>
              <c:f>Rich!$A$27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chemeClr val="tx1"/>
              </a:solidFill>
            </a:ln>
          </c:spPr>
          <c:invertIfNegative val="0"/>
          <c:val>
            <c:numRef>
              <c:f>Rich!$K$27:$M$27</c:f>
              <c:numCache>
                <c:formatCode>0%</c:formatCode>
                <c:ptCount val="3"/>
                <c:pt idx="0">
                  <c:v>0.0461727655666251</c:v>
                </c:pt>
                <c:pt idx="1">
                  <c:v>0.0461727655666251</c:v>
                </c:pt>
                <c:pt idx="2" formatCode="0.0%">
                  <c:v>0.0459650434380042</c:v>
                </c:pt>
              </c:numCache>
            </c:numRef>
          </c:val>
        </c:ser>
        <c:ser>
          <c:idx val="22"/>
          <c:order val="22"/>
          <c:tx>
            <c:strRef>
              <c:f>Rich!$A$28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Rich!$K$28:$M$28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Rich!$A$29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Rich!$K$29:$M$29</c:f>
              <c:numCache>
                <c:formatCode>0%</c:formatCode>
                <c:ptCount val="3"/>
                <c:pt idx="0">
                  <c:v>0.438367618838107</c:v>
                </c:pt>
                <c:pt idx="1">
                  <c:v>0.438367618838107</c:v>
                </c:pt>
                <c:pt idx="2" formatCode="0.0%">
                  <c:v>0.437406834637739</c:v>
                </c:pt>
              </c:numCache>
            </c:numRef>
          </c:val>
        </c:ser>
        <c:ser>
          <c:idx val="24"/>
          <c:order val="24"/>
          <c:tx>
            <c:strRef>
              <c:f>Rich!$A$30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Rich!$K$30:$M$30</c:f>
              <c:numCache>
                <c:formatCode>0%</c:formatCode>
                <c:ptCount val="3"/>
                <c:pt idx="0">
                  <c:v>0.681608954420921</c:v>
                </c:pt>
                <c:pt idx="1">
                  <c:v>0.404428144871995</c:v>
                </c:pt>
                <c:pt idx="2" formatCode="0.0%">
                  <c:v>0.440450740534601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7005320"/>
        <c:axId val="-2087001976"/>
      </c:barChart>
      <c:catAx>
        <c:axId val="-20870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7001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70019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44321629973637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700532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9999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V.Poor!$K$6:$M$6</c:f>
              <c:numCache>
                <c:formatCode>0%</c:formatCode>
                <c:ptCount val="3"/>
                <c:pt idx="0">
                  <c:v>0.0125134744707347</c:v>
                </c:pt>
                <c:pt idx="1">
                  <c:v>0.00250269489414695</c:v>
                </c:pt>
                <c:pt idx="2" formatCode="0.0%">
                  <c:v>0.00250269489414695</c:v>
                </c:pt>
              </c:numCache>
            </c:numRef>
          </c:val>
        </c:ser>
        <c:ser>
          <c:idx val="1"/>
          <c:order val="1"/>
          <c:tx>
            <c:strRef>
              <c:f>V.Poor!$A$7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V.Poor!$K$7:$M$7</c:f>
              <c:numCache>
                <c:formatCode>0%</c:formatCode>
                <c:ptCount val="3"/>
                <c:pt idx="0">
                  <c:v>0.0101301494951966</c:v>
                </c:pt>
                <c:pt idx="1">
                  <c:v>0.00202602989903932</c:v>
                </c:pt>
                <c:pt idx="2" formatCode="0.0%">
                  <c:v>0.00202602989903932</c:v>
                </c:pt>
              </c:numCache>
            </c:numRef>
          </c:val>
        </c:ser>
        <c:ser>
          <c:idx val="2"/>
          <c:order val="2"/>
          <c:tx>
            <c:strRef>
              <c:f>V.Poor!$A$8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V.Poor!$K$8:$M$8</c:f>
              <c:numCache>
                <c:formatCode>0%</c:formatCode>
                <c:ptCount val="3"/>
                <c:pt idx="0">
                  <c:v>0.0127777777777778</c:v>
                </c:pt>
                <c:pt idx="1">
                  <c:v>0.00255555555555556</c:v>
                </c:pt>
                <c:pt idx="2" formatCode="0.0%">
                  <c:v>0.00255555555555556</c:v>
                </c:pt>
              </c:numCache>
            </c:numRef>
          </c:val>
        </c:ser>
        <c:ser>
          <c:idx val="3"/>
          <c:order val="3"/>
          <c:tx>
            <c:strRef>
              <c:f>V.Poor!$A$9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V.Poor!$K$9:$M$9</c:f>
              <c:numCache>
                <c:formatCode>0%</c:formatCode>
                <c:ptCount val="3"/>
                <c:pt idx="0">
                  <c:v>0.0606665546166163</c:v>
                </c:pt>
                <c:pt idx="1">
                  <c:v>0.0181999663849849</c:v>
                </c:pt>
                <c:pt idx="2" formatCode="0.0%">
                  <c:v>0.0181999663849849</c:v>
                </c:pt>
              </c:numCache>
            </c:numRef>
          </c:val>
        </c:ser>
        <c:ser>
          <c:idx val="4"/>
          <c:order val="4"/>
          <c:tx>
            <c:strRef>
              <c:f>V.Poor!$A$10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F99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V.Poor!$K$10:$M$10</c:f>
              <c:numCache>
                <c:formatCode>0%</c:formatCode>
                <c:ptCount val="3"/>
                <c:pt idx="0">
                  <c:v>0.0170966276018502</c:v>
                </c:pt>
                <c:pt idx="1">
                  <c:v>0.00341932552037004</c:v>
                </c:pt>
                <c:pt idx="2" formatCode="0.0%">
                  <c:v>0.00341932552037004</c:v>
                </c:pt>
              </c:numCache>
            </c:numRef>
          </c:val>
        </c:ser>
        <c:ser>
          <c:idx val="5"/>
          <c:order val="5"/>
          <c:tx>
            <c:strRef>
              <c:f>V.Poor!$A$11</c:f>
              <c:strCache>
                <c:ptCount val="1"/>
                <c:pt idx="0">
                  <c:v>Potatoes: no. local meas</c:v>
                </c:pt>
              </c:strCache>
            </c:strRef>
          </c:tx>
          <c:spPr>
            <a:solidFill>
              <a:srgbClr val="F2088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V.Poor!$K$11:$M$11</c:f>
              <c:numCache>
                <c:formatCode>0%</c:formatCode>
                <c:ptCount val="3"/>
                <c:pt idx="0">
                  <c:v>0.0104087391033624</c:v>
                </c:pt>
                <c:pt idx="1">
                  <c:v>0.00208174782067248</c:v>
                </c:pt>
                <c:pt idx="2" formatCode="0.0%">
                  <c:v>0.00208174782067248</c:v>
                </c:pt>
              </c:numCache>
            </c:numRef>
          </c:val>
        </c:ser>
        <c:ser>
          <c:idx val="6"/>
          <c:order val="6"/>
          <c:tx>
            <c:strRef>
              <c:f>V.Poor!$A$12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V.Poor!$K$12:$M$12</c:f>
              <c:numCache>
                <c:formatCode>0%</c:formatCode>
                <c:ptCount val="3"/>
                <c:pt idx="0">
                  <c:v>0.00122201899128269</c:v>
                </c:pt>
                <c:pt idx="1">
                  <c:v>0.000244403798256538</c:v>
                </c:pt>
                <c:pt idx="2" formatCode="0.0%">
                  <c:v>0.000244403798256538</c:v>
                </c:pt>
              </c:numCache>
            </c:numRef>
          </c:val>
        </c:ser>
        <c:ser>
          <c:idx val="7"/>
          <c:order val="7"/>
          <c:tx>
            <c:strRef>
              <c:f>V.Poor!$A$13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V.Poor!$K$13:$M$13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9"/>
          <c:order val="8"/>
          <c:tx>
            <c:strRef>
              <c:f>V.Poor!$A$14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V.Poor!$K$14:$M$14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V.Poor!$A$15</c:f>
              <c:strCache>
                <c:ptCount val="1"/>
                <c:pt idx="0">
                  <c:v>Cow peas</c:v>
                </c:pt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V.Poor!$K$15:$M$15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1"/>
          <c:order val="10"/>
          <c:tx>
            <c:strRef>
              <c:f>V.Poor!$A$16</c:f>
              <c:strCache>
                <c:ptCount val="1"/>
                <c:pt idx="0">
                  <c:v>Other crop: Spinach</c:v>
                </c:pt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V.Poor!$K$16:$M$16</c:f>
              <c:numCache>
                <c:formatCode>0%</c:formatCode>
                <c:ptCount val="3"/>
                <c:pt idx="0">
                  <c:v>0.000600171232876712</c:v>
                </c:pt>
                <c:pt idx="1">
                  <c:v>0.000120034246575342</c:v>
                </c:pt>
                <c:pt idx="2" formatCode="0.0%">
                  <c:v>0.000134092659666136</c:v>
                </c:pt>
              </c:numCache>
            </c:numRef>
          </c:val>
        </c:ser>
        <c:ser>
          <c:idx val="12"/>
          <c:order val="11"/>
          <c:tx>
            <c:strRef>
              <c:f>V.Poor!$A$17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V.Poor!$K$17:$M$17</c:f>
              <c:numCache>
                <c:formatCode>0%</c:formatCode>
                <c:ptCount val="3"/>
                <c:pt idx="0">
                  <c:v>0.00338906600249066</c:v>
                </c:pt>
                <c:pt idx="1">
                  <c:v>0.000677813200498132</c:v>
                </c:pt>
                <c:pt idx="2" formatCode="0.0%">
                  <c:v>0.000677813200498132</c:v>
                </c:pt>
              </c:numCache>
            </c:numRef>
          </c:val>
        </c:ser>
        <c:ser>
          <c:idx val="13"/>
          <c:order val="12"/>
          <c:tx>
            <c:strRef>
              <c:f>V.Poor!$A$18</c:f>
              <c:strCache>
                <c:ptCount val="1"/>
                <c:pt idx="0">
                  <c:v>Sweet Potatoes: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V.Poor!$K$18:$M$18</c:f>
              <c:numCache>
                <c:formatCode>0%</c:formatCode>
                <c:ptCount val="3"/>
                <c:pt idx="0">
                  <c:v>0.00124221668742217</c:v>
                </c:pt>
                <c:pt idx="1">
                  <c:v>0.000248443337484433</c:v>
                </c:pt>
                <c:pt idx="2" formatCode="0.0%">
                  <c:v>0.000248443337484433</c:v>
                </c:pt>
              </c:numCache>
            </c:numRef>
          </c:val>
        </c:ser>
        <c:ser>
          <c:idx val="14"/>
          <c:order val="13"/>
          <c:tx>
            <c:strRef>
              <c:f>V.Poor!$A$19</c:f>
              <c:strCache>
                <c:ptCount val="1"/>
                <c:pt idx="0">
                  <c:v>Amadumbe: kg produced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V.Poor!$K$19:$M$19</c:f>
              <c:numCache>
                <c:formatCode>0%</c:formatCode>
                <c:ptCount val="3"/>
                <c:pt idx="0">
                  <c:v>0.001912100456621</c:v>
                </c:pt>
                <c:pt idx="1">
                  <c:v>0.000382420091324201</c:v>
                </c:pt>
                <c:pt idx="2" formatCode="0.0%">
                  <c:v>0.000382420091324201</c:v>
                </c:pt>
              </c:numCache>
            </c:numRef>
          </c:val>
        </c:ser>
        <c:ser>
          <c:idx val="15"/>
          <c:order val="14"/>
          <c:tx>
            <c:strRef>
              <c:f>V.Poor!$A$20</c:f>
              <c:strCache>
                <c:ptCount val="1"/>
                <c:pt idx="0">
                  <c:v>Green Pepper/ Brinjal / Beetroot: kg produced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V.Poor!$A$21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V.Poor!$K$21:$M$21</c:f>
              <c:numCache>
                <c:formatCode>0%</c:formatCode>
                <c:ptCount val="3"/>
                <c:pt idx="0">
                  <c:v>0.00329234122042341</c:v>
                </c:pt>
                <c:pt idx="1">
                  <c:v>0.00329234122042341</c:v>
                </c:pt>
                <c:pt idx="2" formatCode="0.0%">
                  <c:v>0.00403198161064798</c:v>
                </c:pt>
              </c:numCache>
            </c:numRef>
          </c:val>
        </c:ser>
        <c:ser>
          <c:idx val="8"/>
          <c:order val="16"/>
          <c:tx>
            <c:strRef>
              <c:f>V.Poor!$A$22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V.Poor!$K$22:$M$22</c:f>
              <c:numCache>
                <c:formatCode>0%</c:formatCode>
                <c:ptCount val="3"/>
                <c:pt idx="0">
                  <c:v>0.00114632627646326</c:v>
                </c:pt>
                <c:pt idx="1">
                  <c:v>0.00114632627646326</c:v>
                </c:pt>
                <c:pt idx="2" formatCode="0.0%">
                  <c:v>0.00140385402273341</c:v>
                </c:pt>
              </c:numCache>
            </c:numRef>
          </c:val>
        </c:ser>
        <c:ser>
          <c:idx val="17"/>
          <c:order val="17"/>
          <c:tx>
            <c:strRef>
              <c:f>V.Poor!$A$23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V.Poor!$A$24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V.Poor!$A$25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V.Poor!$A$26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V.Poor!$K$26:$M$26</c:f>
              <c:numCache>
                <c:formatCode>0%</c:formatCode>
                <c:ptCount val="3"/>
                <c:pt idx="0">
                  <c:v>0.14986781539551</c:v>
                </c:pt>
                <c:pt idx="1">
                  <c:v>0.14986781539551</c:v>
                </c:pt>
                <c:pt idx="2" formatCode="0.0%">
                  <c:v>0.14986781539551</c:v>
                </c:pt>
              </c:numCache>
            </c:numRef>
          </c:val>
        </c:ser>
        <c:ser>
          <c:idx val="21"/>
          <c:order val="21"/>
          <c:tx>
            <c:strRef>
              <c:f>V.Poor!$A$27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V.Poor!$K$27:$M$27</c:f>
              <c:numCache>
                <c:formatCode>0%</c:formatCode>
                <c:ptCount val="3"/>
                <c:pt idx="0">
                  <c:v>0.0321942648994841</c:v>
                </c:pt>
                <c:pt idx="1">
                  <c:v>0.0321942648994841</c:v>
                </c:pt>
                <c:pt idx="2" formatCode="0.0%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V.Poor!$A$28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V.Poor!$K$28:$M$28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V.Poor!$A$29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V.Poor!$K$29:$M$29</c:f>
              <c:numCache>
                <c:formatCode>0%</c:formatCode>
                <c:ptCount val="3"/>
                <c:pt idx="0">
                  <c:v>0.20210494927504</c:v>
                </c:pt>
                <c:pt idx="1">
                  <c:v>0.20210494927504</c:v>
                </c:pt>
                <c:pt idx="2" formatCode="0.0%">
                  <c:v>0.224747699084516</c:v>
                </c:pt>
              </c:numCache>
            </c:numRef>
          </c:val>
        </c:ser>
        <c:ser>
          <c:idx val="24"/>
          <c:order val="24"/>
          <c:tx>
            <c:strRef>
              <c:f>V.Poor!$A$30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V.Poor!$K$30:$M$30</c:f>
              <c:numCache>
                <c:formatCode>0%</c:formatCode>
                <c:ptCount val="3"/>
                <c:pt idx="0">
                  <c:v>0.619478901930261</c:v>
                </c:pt>
                <c:pt idx="1">
                  <c:v>0.448400210933961</c:v>
                </c:pt>
                <c:pt idx="2" formatCode="0.0%">
                  <c:v>0.587476156724594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6873192"/>
        <c:axId val="-2086869864"/>
      </c:barChart>
      <c:catAx>
        <c:axId val="-2086873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686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686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206977446403"/>
              <c:y val="0.24319877515310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687319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'Poor'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(Poor!$AA$6,Poor!$AC$6,Poor!$AE$6,Poor!$AG$6)</c:f>
              <c:numCache>
                <c:formatCode>0.0%</c:formatCode>
                <c:ptCount val="4"/>
                <c:pt idx="0">
                  <c:v>0.00489294635118306</c:v>
                </c:pt>
                <c:pt idx="1">
                  <c:v>0.00489294635118306</c:v>
                </c:pt>
                <c:pt idx="2">
                  <c:v>0.00949807232876712</c:v>
                </c:pt>
                <c:pt idx="3">
                  <c:v>0.00949807232876712</c:v>
                </c:pt>
              </c:numCache>
            </c:numRef>
          </c:val>
        </c:ser>
        <c:ser>
          <c:idx val="12"/>
          <c:order val="1"/>
          <c:tx>
            <c:strRef>
              <c:f>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(Poor!$AA$7,Poor!$AC$7,Poor!$AE$7,Poor!$AG$7)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0.0228772817559153</c:v>
                </c:pt>
              </c:numCache>
            </c:numRef>
          </c:val>
        </c:ser>
        <c:ser>
          <c:idx val="2"/>
          <c:order val="2"/>
          <c:tx>
            <c:strRef>
              <c:f>Poor!$A$8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(Poor!$AA$8,Poor!$AC$8,Poor!$AE$8,Poor!$AG$8)</c:f>
              <c:numCache>
                <c:formatCode>0.0%</c:formatCode>
                <c:ptCount val="4"/>
                <c:pt idx="0">
                  <c:v>0.0108888888888889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(Poor!$AA$9,Poor!$AC$9,Poor!$AE$9,Poor!$AG$9)</c:f>
              <c:numCache>
                <c:formatCode>0.0%</c:formatCode>
                <c:ptCount val="4"/>
                <c:pt idx="0">
                  <c:v>0.147864233872976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Poor!$A$10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(Poor!$AA$10,Poor!$AC$10,Poor!$AE$10,Poor!$AG$10)</c:f>
              <c:numCache>
                <c:formatCode>0.0%</c:formatCode>
                <c:ptCount val="4"/>
                <c:pt idx="0">
                  <c:v>0.017747031963436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Poor!$A$11</c:f>
              <c:strCache>
                <c:ptCount val="1"/>
                <c:pt idx="0">
                  <c:v>Potatoes: no. local meas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(Poor!$AA$11,Poor!$AC$11,Poor!$AE$11,Poor!$AG$11)</c:f>
              <c:numCache>
                <c:formatCode>0.0%</c:formatCode>
                <c:ptCount val="4"/>
                <c:pt idx="0">
                  <c:v>0.00632773786994982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Poor!$A$12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(Poor!$AA$12,Poor!$AC$12,Poor!$AE$12,Poor!$AG$12)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0.0019088894993987</c:v>
                </c:pt>
                <c:pt idx="3">
                  <c:v>0.000940199305673987</c:v>
                </c:pt>
              </c:numCache>
            </c:numRef>
          </c:val>
        </c:ser>
        <c:ser>
          <c:idx val="7"/>
          <c:order val="7"/>
          <c:tx>
            <c:strRef>
              <c:f>Poor!$A$13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(Poor!$AA$13,Poor!$AC$13,Poor!$AE$13,Poor!$AG$13)</c:f>
              <c:numCache>
                <c:formatCode>0.0%</c:formatCode>
                <c:ptCount val="4"/>
                <c:pt idx="0">
                  <c:v>0.000634845478184567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Poor!$A$14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(Poor!$AA$14,Poor!$AC$14,Poor!$AE$14,Poor!$AG$14)</c:f>
              <c:numCache>
                <c:formatCode>0.0%</c:formatCode>
                <c:ptCount val="4"/>
                <c:pt idx="0">
                  <c:v>0.0</c:v>
                </c:pt>
                <c:pt idx="1">
                  <c:v>0.00503145952677459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Poor!$A$15</c:f>
              <c:strCache>
                <c:ptCount val="1"/>
                <c:pt idx="0">
                  <c:v>Cow peas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(Poor!$AA$15,Poor!$AC$15,Poor!$AE$15,Poor!$AG$15)</c:f>
              <c:numCache>
                <c:formatCode>0.0%</c:formatCode>
                <c:ptCount val="4"/>
                <c:pt idx="0">
                  <c:v>0.000597974626400996</c:v>
                </c:pt>
                <c:pt idx="1">
                  <c:v>0.000597974626400996</c:v>
                </c:pt>
                <c:pt idx="2">
                  <c:v>0.000597974626400996</c:v>
                </c:pt>
                <c:pt idx="3">
                  <c:v>0.000597974626400996</c:v>
                </c:pt>
              </c:numCache>
            </c:numRef>
          </c:val>
        </c:ser>
        <c:ser>
          <c:idx val="1"/>
          <c:order val="10"/>
          <c:tx>
            <c:strRef>
              <c:f>Poor!$A$16</c:f>
              <c:strCache>
                <c:ptCount val="1"/>
                <c:pt idx="0">
                  <c:v>Other crop: Spinach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(Poor!$AA$16,Poor!$AC$16,Poor!$AE$16,Poor!$AG$16)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0.000675985660921695</c:v>
                </c:pt>
              </c:numCache>
            </c:numRef>
          </c:val>
        </c:ser>
        <c:ser>
          <c:idx val="9"/>
          <c:order val="11"/>
          <c:tx>
            <c:strRef>
              <c:f>Poor!$A$17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(Poor!$AA$17,Poor!$AC$17,Poor!$AE$17,Poor!$AG$17)</c:f>
              <c:numCache>
                <c:formatCode>0.0%</c:formatCode>
                <c:ptCount val="4"/>
                <c:pt idx="0">
                  <c:v>0.000897051880199253</c:v>
                </c:pt>
                <c:pt idx="1">
                  <c:v>0.000538353134495641</c:v>
                </c:pt>
                <c:pt idx="2">
                  <c:v>0.000717702507347447</c:v>
                </c:pt>
                <c:pt idx="3">
                  <c:v>0.000897051880199253</c:v>
                </c:pt>
              </c:numCache>
            </c:numRef>
          </c:val>
        </c:ser>
        <c:ser>
          <c:idx val="10"/>
          <c:order val="12"/>
          <c:tx>
            <c:strRef>
              <c:f>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(Poor!$AA$28,Poor!$AC$28,Poor!$AE$28,Poor!$AG$28)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(Poor!$AA$29,Poor!$AC$29,Poor!$AE$29,Poor!$AG$29)</c:f>
              <c:numCache>
                <c:formatCode>0.0%</c:formatCode>
                <c:ptCount val="4"/>
                <c:pt idx="0">
                  <c:v>0.221818902453016</c:v>
                </c:pt>
                <c:pt idx="1">
                  <c:v>0.221818902453016</c:v>
                </c:pt>
                <c:pt idx="2">
                  <c:v>0.221818902453016</c:v>
                </c:pt>
                <c:pt idx="3">
                  <c:v>0.221818902453016</c:v>
                </c:pt>
              </c:numCache>
            </c:numRef>
          </c:val>
        </c:ser>
        <c:ser>
          <c:idx val="13"/>
          <c:order val="14"/>
          <c:tx>
            <c:strRef>
              <c:f>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(Poor!$AA$30,Poor!$AC$30,Poor!$AE$30,Poor!$AG$30)</c:f>
              <c:numCache>
                <c:formatCode>0.0%;[Red]"Adjust!"</c:formatCode>
                <c:ptCount val="4"/>
                <c:pt idx="0">
                  <c:v>0.26404885383304</c:v>
                </c:pt>
                <c:pt idx="1">
                  <c:v>0.447705331324935</c:v>
                </c:pt>
                <c:pt idx="2">
                  <c:v>0.44361017590211</c:v>
                </c:pt>
                <c:pt idx="3">
                  <c:v>0.970097539421155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6779640"/>
        <c:axId val="-2086776264"/>
      </c:barChart>
      <c:catAx>
        <c:axId val="-2086779640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6776264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0867762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8497482897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677964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2950819672131"/>
          <c:y val="0.0984251968503937"/>
          <c:w val="0.321311475409836"/>
          <c:h val="0.732282534565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'Very Poor'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(V.Poor!$AA$6,V.Poor!$AC$6,V.Poor!$AE$6,V.Poor!$AG$6)</c:f>
              <c:numCache>
                <c:formatCode>0.0%</c:formatCode>
                <c:ptCount val="4"/>
                <c:pt idx="0">
                  <c:v>0.00170183252801992</c:v>
                </c:pt>
                <c:pt idx="1">
                  <c:v>0.00170183252801992</c:v>
                </c:pt>
                <c:pt idx="2">
                  <c:v>0.00330355726027397</c:v>
                </c:pt>
                <c:pt idx="3">
                  <c:v>0.00330355726027397</c:v>
                </c:pt>
              </c:numCache>
            </c:numRef>
          </c:val>
        </c:ser>
        <c:ser>
          <c:idx val="12"/>
          <c:order val="1"/>
          <c:tx>
            <c:strRef>
              <c:f>V.Poor!$A$7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(V.Poor!$AA$7,V.Poor!$AC$7,V.Poor!$AE$7,V.Poor!$AG$7)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0.00810411959615727</c:v>
                </c:pt>
              </c:numCache>
            </c:numRef>
          </c:val>
        </c:ser>
        <c:ser>
          <c:idx val="2"/>
          <c:order val="2"/>
          <c:tx>
            <c:strRef>
              <c:f>V.Poor!$A$8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(V.Poor!$AA$8,V.Poor!$AC$8,V.Poor!$AE$8,V.Poor!$AG$8)</c:f>
              <c:numCache>
                <c:formatCode>0.0%</c:formatCode>
                <c:ptCount val="4"/>
                <c:pt idx="0">
                  <c:v>0.0102222222222222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V.Poor!$A$9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(V.Poor!$AA$9,V.Poor!$AC$9,V.Poor!$AE$9,V.Poor!$AG$9)</c:f>
              <c:numCache>
                <c:formatCode>0.0%</c:formatCode>
                <c:ptCount val="4"/>
                <c:pt idx="0">
                  <c:v>0.0727998655399395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V.Poor!$A$10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(V.Poor!$AA$10,V.Poor!$AC$10,V.Poor!$AE$10,V.Poor!$AG$10)</c:f>
              <c:numCache>
                <c:formatCode>0.0%</c:formatCode>
                <c:ptCount val="4"/>
                <c:pt idx="0">
                  <c:v>0.0136773020814802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V.Poor!$A$11</c:f>
              <c:strCache>
                <c:ptCount val="1"/>
                <c:pt idx="0">
                  <c:v>Potatoes: no. local meas</c:v>
                </c:pt>
              </c:strCache>
            </c:strRef>
          </c:tx>
          <c:spPr>
            <a:solidFill>
              <a:srgbClr val="F2DCD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(V.Poor!$AA$11,V.Poor!$AC$11,V.Poor!$AE$11,V.Poor!$AG$11)</c:f>
              <c:numCache>
                <c:formatCode>0.0%</c:formatCode>
                <c:ptCount val="4"/>
                <c:pt idx="0">
                  <c:v>0.00832699128268991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V.Poor!$A$12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(V.Poor!$AA$12,V.Poor!$AC$12,V.Poor!$AE$12,V.Poor!$AG$12)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0.000655002179327522</c:v>
                </c:pt>
                <c:pt idx="3">
                  <c:v>0.00032261301369863</c:v>
                </c:pt>
              </c:numCache>
            </c:numRef>
          </c:val>
        </c:ser>
        <c:ser>
          <c:idx val="7"/>
          <c:order val="7"/>
          <c:tx>
            <c:strRef>
              <c:f>V.Poor!$A$13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(V.Poor!$AA$13,V.Poor!$AC$13,V.Poor!$AE$13,V.Poor!$AG$13)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V.Poor!$A$14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(V.Poor!$AA$14,V.Poor!$AC$14,V.Poor!$AE$14,V.Poor!$AG$14)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V.Poor!$A$15</c:f>
              <c:strCache>
                <c:ptCount val="1"/>
                <c:pt idx="0">
                  <c:v>Cow peas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(V.Poor!$AA$15,V.Poor!$AC$15,V.Poor!$AE$15,V.Poor!$AG$15)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0"/>
          <c:tx>
            <c:strRef>
              <c:f>V.Poor!$A$24</c:f>
              <c:strCache>
                <c:ptCount val="1"/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(V.Poor!$AA$24,V.Poor!$AC$24,V.Poor!$AE$24,V.Poor!$AG$24)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11"/>
          <c:tx>
            <c:strRef>
              <c:f>V.Poor!$A$25</c:f>
              <c:strCache>
                <c:ptCount val="1"/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(V.Poor!$AA$25,V.Poor!$AC$25,V.Poor!$AE$25,V.Poor!$AG$25)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V.Poor!$A$28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(V.Poor!$AA$28,V.Poor!$AC$28,V.Poor!$AE$28,V.Poor!$AG$28)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V.Poor!$A$29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(V.Poor!$AA$29,V.Poor!$AC$29,V.Poor!$AE$29,V.Poor!$AG$29)</c:f>
              <c:numCache>
                <c:formatCode>0.0%</c:formatCode>
                <c:ptCount val="4"/>
                <c:pt idx="0">
                  <c:v>0.224747699084516</c:v>
                </c:pt>
                <c:pt idx="1">
                  <c:v>0.224747699084516</c:v>
                </c:pt>
                <c:pt idx="2">
                  <c:v>0.224747699084516</c:v>
                </c:pt>
                <c:pt idx="3">
                  <c:v>0.224747699084516</c:v>
                </c:pt>
              </c:numCache>
            </c:numRef>
          </c:val>
        </c:ser>
        <c:ser>
          <c:idx val="13"/>
          <c:order val="14"/>
          <c:tx>
            <c:strRef>
              <c:f>V.Poor!$A$30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(V.Poor!$AA$30,V.Poor!$AC$30,V.Poor!$AE$30,V.Poor!$AG$30)</c:f>
              <c:numCache>
                <c:formatCode>0.0%;[Red]"Adjust!"</c:formatCode>
                <c:ptCount val="4"/>
                <c:pt idx="0">
                  <c:v>-0.819769724677971</c:v>
                </c:pt>
                <c:pt idx="1">
                  <c:v>-1.072232780885182</c:v>
                </c:pt>
                <c:pt idx="2">
                  <c:v>-1.072232780885182</c:v>
                </c:pt>
                <c:pt idx="3">
                  <c:v>-1.072232780885182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7321464"/>
        <c:axId val="-2087324856"/>
      </c:barChart>
      <c:catAx>
        <c:axId val="-2087321464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7324856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0873248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908805517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732146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1835211775"/>
          <c:y val="0.0984251968503937"/>
          <c:w val="0.320261695229273"/>
          <c:h val="0.732282534565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'Middle'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(Middle!$AA$6,Middle!$AC$6,Middle!$AE$6,Middle!$AG$6)</c:f>
              <c:numCache>
                <c:formatCode>0.0%</c:formatCode>
                <c:ptCount val="4"/>
                <c:pt idx="0">
                  <c:v>0.00948224808397082</c:v>
                </c:pt>
                <c:pt idx="1">
                  <c:v>0.00948224808397082</c:v>
                </c:pt>
                <c:pt idx="2">
                  <c:v>0.0184067168688845</c:v>
                </c:pt>
                <c:pt idx="3">
                  <c:v>0.0184067168688845</c:v>
                </c:pt>
              </c:numCache>
            </c:numRef>
          </c:val>
        </c:ser>
        <c:ser>
          <c:idx val="12"/>
          <c:order val="1"/>
          <c:tx>
            <c:strRef>
              <c:f>Middle!$A$7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(Middle!$AA$7,Middle!$AC$7,Middle!$AE$7,Middle!$AG$7)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0.0345970257961217</c:v>
                </c:pt>
              </c:numCache>
            </c:numRef>
          </c:val>
        </c:ser>
        <c:ser>
          <c:idx val="2"/>
          <c:order val="2"/>
          <c:tx>
            <c:strRef>
              <c:f>Middle!$A$8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rgbClr val="66FF33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(Middle!$AA$8,Middle!$AC$8,Middle!$AE$8,Middle!$AG$8)</c:f>
              <c:numCache>
                <c:formatCode>0.0%</c:formatCode>
                <c:ptCount val="4"/>
                <c:pt idx="0">
                  <c:v>0.0104444444444444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Middle!$A$9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(Middle!$AA$9,Middle!$AC$9,Middle!$AE$9,Middle!$AG$9)</c:f>
              <c:numCache>
                <c:formatCode>0.0%</c:formatCode>
                <c:ptCount val="4"/>
                <c:pt idx="0">
                  <c:v>0.185632981992856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Middle!$A$10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(Middle!$AA$10,Middle!$AC$10,Middle!$AE$10,Middle!$AG$10)</c:f>
              <c:numCache>
                <c:formatCode>0.0%</c:formatCode>
                <c:ptCount val="4"/>
                <c:pt idx="0">
                  <c:v>0.0169837724566223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Middle!$A$11</c:f>
              <c:strCache>
                <c:ptCount val="1"/>
                <c:pt idx="0">
                  <c:v>Potatoes: no. local meas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(Middle!$AA$11,Middle!$AC$11,Middle!$AE$11,Middle!$AG$11)</c:f>
              <c:numCache>
                <c:formatCode>0.0%</c:formatCode>
                <c:ptCount val="4"/>
                <c:pt idx="0">
                  <c:v>0.0646413200011601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Middle!$A$12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(Middle!$AA$12,Middle!$AC$12,Middle!$AE$12,Middle!$AG$12)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0.00185022179842752</c:v>
                </c:pt>
                <c:pt idx="3">
                  <c:v>0.000911303273852359</c:v>
                </c:pt>
              </c:numCache>
            </c:numRef>
          </c:val>
        </c:ser>
        <c:ser>
          <c:idx val="7"/>
          <c:order val="7"/>
          <c:tx>
            <c:strRef>
              <c:f>Middle!$A$13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(Middle!$AA$13,Middle!$AC$13,Middle!$AE$13,Middle!$AG$13)</c:f>
              <c:numCache>
                <c:formatCode>0.0%</c:formatCode>
                <c:ptCount val="4"/>
                <c:pt idx="0">
                  <c:v>0.000333036826187511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Middle!$A$14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(Middle!$AA$14,Middle!$AC$14,Middle!$AE$14,Middle!$AG$14)</c:f>
              <c:numCache>
                <c:formatCode>0.0%</c:formatCode>
                <c:ptCount val="4"/>
                <c:pt idx="0">
                  <c:v>0.0</c:v>
                </c:pt>
                <c:pt idx="1">
                  <c:v>0.0143755986479274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Middle!$A$15</c:f>
              <c:strCache>
                <c:ptCount val="1"/>
                <c:pt idx="0">
                  <c:v>Cow peas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(Middle!$AA$15,Middle!$AC$15,Middle!$AE$15,Middle!$AG$15)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0"/>
          <c:tx>
            <c:strRef>
              <c:f>Middle!$A$16</c:f>
              <c:strCache>
                <c:ptCount val="1"/>
                <c:pt idx="0">
                  <c:v>Other crop: Spinach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(Middle!$AA$16,Middle!$AC$16,Middle!$AE$16,Middle!$AG$16)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0.00066779116283032</c:v>
                </c:pt>
              </c:numCache>
            </c:numRef>
          </c:val>
        </c:ser>
        <c:ser>
          <c:idx val="9"/>
          <c:order val="11"/>
          <c:tx>
            <c:strRef>
              <c:f>Middle!$A$17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(Middle!$AA$17,Middle!$AC$17,Middle!$AE$17,Middle!$AG$17)</c:f>
              <c:numCache>
                <c:formatCode>0.0%</c:formatCode>
                <c:ptCount val="4"/>
                <c:pt idx="0">
                  <c:v>0.000888239569315992</c:v>
                </c:pt>
                <c:pt idx="1">
                  <c:v>0.000533064549419492</c:v>
                </c:pt>
                <c:pt idx="2">
                  <c:v>0.000710652059367742</c:v>
                </c:pt>
                <c:pt idx="3">
                  <c:v>0.000888239569315992</c:v>
                </c:pt>
              </c:numCache>
            </c:numRef>
          </c:val>
        </c:ser>
        <c:ser>
          <c:idx val="10"/>
          <c:order val="12"/>
          <c:tx>
            <c:strRef>
              <c:f>Middle!$A$28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(Middle!$AA$28,Middle!$AC$28,Middle!$AE$28,Middle!$AG$28)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Middle!$A$29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(Middle!$AA$29,Middle!$AC$29,Middle!$AE$29,Middle!$AG$29)</c:f>
              <c:numCache>
                <c:formatCode>0.0%</c:formatCode>
                <c:ptCount val="4"/>
                <c:pt idx="0">
                  <c:v>0.245066588379261</c:v>
                </c:pt>
                <c:pt idx="1">
                  <c:v>0.245066588379261</c:v>
                </c:pt>
                <c:pt idx="2">
                  <c:v>0.245066588379261</c:v>
                </c:pt>
                <c:pt idx="3">
                  <c:v>0.245066588379261</c:v>
                </c:pt>
              </c:numCache>
            </c:numRef>
          </c:val>
        </c:ser>
        <c:ser>
          <c:idx val="13"/>
          <c:order val="14"/>
          <c:tx>
            <c:strRef>
              <c:f>Middle!$A$30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(Middle!$AA$30,Middle!$AC$30,Middle!$AE$30,Middle!$AG$30)</c:f>
              <c:numCache>
                <c:formatCode>0.0%;[Red]"Adjust!"</c:formatCode>
                <c:ptCount val="4"/>
                <c:pt idx="0">
                  <c:v>0.299492613064725</c:v>
                </c:pt>
                <c:pt idx="1">
                  <c:v>0.563507745157965</c:v>
                </c:pt>
                <c:pt idx="2">
                  <c:v>0.566931065712603</c:v>
                </c:pt>
                <c:pt idx="3">
                  <c:v>0.532427579768278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7431832"/>
        <c:axId val="-2087435224"/>
      </c:barChart>
      <c:catAx>
        <c:axId val="-2087431832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7435224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0874352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790302528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743183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999481972648"/>
          <c:y val="0.102362204724409"/>
          <c:w val="0.319078688354745"/>
          <c:h val="0.7322825345650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'Better-off'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(Rich!$AA$6,Rich!$AC$6,Rich!$AE$6,Rich!$AG$6)</c:f>
              <c:numCache>
                <c:formatCode>0.0%</c:formatCode>
                <c:ptCount val="4"/>
                <c:pt idx="0">
                  <c:v>0.00574464508094645</c:v>
                </c:pt>
                <c:pt idx="1">
                  <c:v>0.00574464508094645</c:v>
                </c:pt>
                <c:pt idx="2">
                  <c:v>0.0111513698630137</c:v>
                </c:pt>
                <c:pt idx="3">
                  <c:v>0.0111513698630137</c:v>
                </c:pt>
              </c:numCache>
            </c:numRef>
          </c:val>
        </c:ser>
        <c:ser>
          <c:idx val="12"/>
          <c:order val="1"/>
          <c:tx>
            <c:strRef>
              <c:f>Rich!$A$7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(Rich!$AA$7,Rich!$AC$7,Rich!$AE$7,Rich!$AG$7)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0.0695801320049813</c:v>
                </c:pt>
              </c:numCache>
            </c:numRef>
          </c:val>
        </c:ser>
        <c:ser>
          <c:idx val="2"/>
          <c:order val="2"/>
          <c:tx>
            <c:strRef>
              <c:f>Rich!$A$8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(Rich!$AA$8,Rich!$AC$8,Rich!$AE$8,Rich!$AG$8)</c:f>
              <c:numCache>
                <c:formatCode>0.0%</c:formatCode>
                <c:ptCount val="4"/>
                <c:pt idx="0">
                  <c:v>0.002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Rich!$A$9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(Rich!$AA$9,Rich!$AC$9,Rich!$AE$9,Rich!$AG$9)</c:f>
              <c:numCache>
                <c:formatCode>0.0%</c:formatCode>
                <c:ptCount val="4"/>
                <c:pt idx="0">
                  <c:v>0.0549160683839741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Rich!$A$10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(Rich!$AA$10,Rich!$AC$10,Rich!$AE$10,Rich!$AG$10)</c:f>
              <c:numCache>
                <c:formatCode>0.0%</c:formatCode>
                <c:ptCount val="4"/>
                <c:pt idx="0">
                  <c:v>0.0288107107845579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Rich!$A$11</c:f>
              <c:strCache>
                <c:ptCount val="1"/>
                <c:pt idx="0">
                  <c:v>Potatoes: no. local meas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(Rich!$AA$11,Rich!$AC$11,Rich!$AE$11,Rich!$AG$11)</c:f>
              <c:numCache>
                <c:formatCode>0.0%</c:formatCode>
                <c:ptCount val="4"/>
                <c:pt idx="0">
                  <c:v>0.0175278523155593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Rich!$A$12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(Rich!$AA$12,Rich!$AC$12,Rich!$AE$12,Rich!$AG$12)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0.000765351930261519</c:v>
                </c:pt>
                <c:pt idx="3">
                  <c:v>0.000376964383561644</c:v>
                </c:pt>
              </c:numCache>
            </c:numRef>
          </c:val>
        </c:ser>
        <c:ser>
          <c:idx val="7"/>
          <c:order val="7"/>
          <c:tx>
            <c:strRef>
              <c:f>Rich!$A$13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(Rich!$AA$13,Rich!$AC$13,Rich!$AE$13,Rich!$AG$13)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Rich!$A$14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(Rich!$AA$14,Rich!$AC$14,Rich!$AE$14,Rich!$AG$14)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Rich!$A$15</c:f>
              <c:strCache>
                <c:ptCount val="1"/>
                <c:pt idx="0">
                  <c:v>Cow peas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(Rich!$AA$15,Rich!$AC$15,Rich!$AE$15,Rich!$AG$15)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0"/>
          <c:tx>
            <c:strRef>
              <c:f>Rich!$A$16</c:f>
              <c:strCache>
                <c:ptCount val="1"/>
                <c:pt idx="0">
                  <c:v>Other crop: Spinach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(Rich!$AA$16,Rich!$AC$16,Rich!$AE$16,Rich!$AG$16)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0.000803387297633873</c:v>
                </c:pt>
              </c:numCache>
            </c:numRef>
          </c:val>
        </c:ser>
        <c:ser>
          <c:idx val="9"/>
          <c:order val="11"/>
          <c:tx>
            <c:strRef>
              <c:f>Rich!$A$17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(Rich!$AA$17,Rich!$AC$17,Rich!$AE$17,Rich!$AG$17)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Rich!$A$28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(Rich!$AA$28,Rich!$AC$28,Rich!$AE$28,Rich!$AG$28)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Rich!$A$29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(Rich!$AA$29,Rich!$AC$29,Rich!$AE$29,Rich!$AG$29)</c:f>
              <c:numCache>
                <c:formatCode>0.0%</c:formatCode>
                <c:ptCount val="4"/>
                <c:pt idx="0">
                  <c:v>0.437406834637739</c:v>
                </c:pt>
                <c:pt idx="1">
                  <c:v>0.437406834637739</c:v>
                </c:pt>
                <c:pt idx="2">
                  <c:v>0.437406834637739</c:v>
                </c:pt>
                <c:pt idx="3">
                  <c:v>0.437406834637739</c:v>
                </c:pt>
              </c:numCache>
            </c:numRef>
          </c:val>
        </c:ser>
        <c:ser>
          <c:idx val="13"/>
          <c:order val="14"/>
          <c:tx>
            <c:strRef>
              <c:f>Rich!$A$30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(Rich!$AA$30,Rich!$AC$30,Rich!$AE$30,Rich!$AG$30)</c:f>
              <c:numCache>
                <c:formatCode>0.0%;[Red]"Adjust!"</c:formatCode>
                <c:ptCount val="4"/>
                <c:pt idx="0">
                  <c:v>0.383819321549695</c:v>
                </c:pt>
                <c:pt idx="1">
                  <c:v>0.487073953033786</c:v>
                </c:pt>
                <c:pt idx="2">
                  <c:v>0.480901876321457</c:v>
                </c:pt>
                <c:pt idx="3">
                  <c:v>0.410906744565542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7538392"/>
        <c:axId val="-2087541784"/>
      </c:barChart>
      <c:catAx>
        <c:axId val="-2087538392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7541784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0875417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790302528"/>
              <c:y val="0.331106067623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753839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999481972648"/>
          <c:y val="0.101960784313725"/>
          <c:w val="0.319078688354745"/>
          <c:h val="0.72941145592095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11018363939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Poor!$K$37:$M$37</c:f>
              <c:numCache>
                <c:formatCode>0%</c:formatCode>
                <c:ptCount val="3"/>
                <c:pt idx="0">
                  <c:v>0.14252827111403</c:v>
                </c:pt>
                <c:pt idx="1">
                  <c:v>0.0840916799572776</c:v>
                </c:pt>
                <c:pt idx="2">
                  <c:v>0.0840916799572776</c:v>
                </c:pt>
              </c:numCache>
            </c:numRef>
          </c:val>
        </c:ser>
        <c:ser>
          <c:idx val="1"/>
          <c:order val="1"/>
          <c:tx>
            <c:strRef>
              <c:f>Poor!$A$38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Poor!$K$38:$M$38</c:f>
              <c:numCache>
                <c:formatCode>0%</c:formatCode>
                <c:ptCount val="3"/>
                <c:pt idx="0">
                  <c:v>0.0324747959500321</c:v>
                </c:pt>
                <c:pt idx="1">
                  <c:v>0.0191601296105189</c:v>
                </c:pt>
                <c:pt idx="2">
                  <c:v>0.01672762080402</c:v>
                </c:pt>
              </c:numCache>
            </c:numRef>
          </c:val>
        </c:ser>
        <c:ser>
          <c:idx val="2"/>
          <c:order val="2"/>
          <c:tx>
            <c:strRef>
              <c:f>Poor!$A$39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Poor!$K$39:$M$39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Poor!$A$40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Poor!$K$40:$M$40</c:f>
              <c:numCache>
                <c:formatCode>0%</c:formatCode>
                <c:ptCount val="3"/>
                <c:pt idx="0">
                  <c:v>0.00179693870923511</c:v>
                </c:pt>
                <c:pt idx="1">
                  <c:v>0.00212038767689743</c:v>
                </c:pt>
                <c:pt idx="2">
                  <c:v>0.00212038767689743</c:v>
                </c:pt>
              </c:numCache>
            </c:numRef>
          </c:val>
        </c:ser>
        <c:ser>
          <c:idx val="4"/>
          <c:order val="4"/>
          <c:tx>
            <c:strRef>
              <c:f>Poor!$A$41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Poor!$A$42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Poor!$K$42:$M$42</c:f>
              <c:numCache>
                <c:formatCode>0%</c:formatCode>
                <c:ptCount val="3"/>
                <c:pt idx="0">
                  <c:v>0.0129899183800128</c:v>
                </c:pt>
                <c:pt idx="1">
                  <c:v>0.00363717714640359</c:v>
                </c:pt>
                <c:pt idx="2">
                  <c:v>0.00383111818751836</c:v>
                </c:pt>
              </c:numCache>
            </c:numRef>
          </c:val>
        </c:ser>
        <c:ser>
          <c:idx val="6"/>
          <c:order val="6"/>
          <c:tx>
            <c:strRef>
              <c:f>Poor!$A$43</c:f>
              <c:strCache>
                <c:ptCount val="1"/>
                <c:pt idx="0">
                  <c:v>potatoes: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Poor!$K$43:$M$43</c:f>
              <c:numCache>
                <c:formatCode>0%</c:formatCode>
                <c:ptCount val="3"/>
                <c:pt idx="0">
                  <c:v>0.0033196458082255</c:v>
                </c:pt>
                <c:pt idx="1">
                  <c:v>0.000929500826303141</c:v>
                </c:pt>
                <c:pt idx="2">
                  <c:v>0.000717089209844115</c:v>
                </c:pt>
              </c:numCache>
            </c:numRef>
          </c:val>
        </c:ser>
        <c:ser>
          <c:idx val="7"/>
          <c:order val="7"/>
          <c:tx>
            <c:strRef>
              <c:f>Poor!$A$44</c:f>
              <c:strCache>
                <c:ptCount val="1"/>
                <c:pt idx="0">
                  <c:v>Amadumbe: kg produced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Poor!$K$44:$M$44</c:f>
              <c:numCache>
                <c:formatCode>0%</c:formatCode>
                <c:ptCount val="3"/>
                <c:pt idx="0">
                  <c:v>0.00474853683002692</c:v>
                </c:pt>
                <c:pt idx="1">
                  <c:v>0.00132959031240754</c:v>
                </c:pt>
                <c:pt idx="2">
                  <c:v>0.00102574934799441</c:v>
                </c:pt>
              </c:numCache>
            </c:numRef>
          </c:val>
        </c:ser>
        <c:ser>
          <c:idx val="8"/>
          <c:order val="8"/>
          <c:tx>
            <c:strRef>
              <c:f>Poor!$A$45</c:f>
              <c:strCache>
                <c:ptCount val="1"/>
                <c:pt idx="0">
                  <c:v>Sweet Potatoes: kg produced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Poor!$K$45:$M$45</c:f>
              <c:numCache>
                <c:formatCode>0%</c:formatCode>
                <c:ptCount val="3"/>
                <c:pt idx="0">
                  <c:v>0.00404130794044844</c:v>
                </c:pt>
                <c:pt idx="1">
                  <c:v>0.00113156622332556</c:v>
                </c:pt>
                <c:pt idx="2">
                  <c:v>0.000872978168505879</c:v>
                </c:pt>
              </c:numCache>
            </c:numRef>
          </c:val>
        </c:ser>
        <c:ser>
          <c:idx val="9"/>
          <c:order val="9"/>
          <c:tx>
            <c:strRef>
              <c:f>Poor!$A$46</c:f>
              <c:strCache>
                <c:ptCount val="1"/>
                <c:pt idx="0">
                  <c:v>Other crop: Cabbage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Poor!$K$46:$M$46</c:f>
              <c:numCache>
                <c:formatCode>0%</c:formatCode>
                <c:ptCount val="3"/>
                <c:pt idx="0">
                  <c:v>0.000974243878500963</c:v>
                </c:pt>
                <c:pt idx="1">
                  <c:v>0.00027278828598027</c:v>
                </c:pt>
                <c:pt idx="2">
                  <c:v>0.000210450094193382</c:v>
                </c:pt>
              </c:numCache>
            </c:numRef>
          </c:val>
        </c:ser>
        <c:ser>
          <c:idx val="10"/>
          <c:order val="10"/>
          <c:tx>
            <c:strRef>
              <c:f>Poor!$A$47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Poor!$K$47:$M$47</c:f>
              <c:numCache>
                <c:formatCode>0%</c:formatCode>
                <c:ptCount val="3"/>
                <c:pt idx="0">
                  <c:v>0.000216498639666881</c:v>
                </c:pt>
                <c:pt idx="1">
                  <c:v>6.06196191067266E-5</c:v>
                </c:pt>
                <c:pt idx="2">
                  <c:v>4.67666875985293E-5</c:v>
                </c:pt>
              </c:numCache>
            </c:numRef>
          </c:val>
        </c:ser>
        <c:ser>
          <c:idx val="11"/>
          <c:order val="11"/>
          <c:tx>
            <c:strRef>
              <c:f>Poor!$A$48</c:f>
              <c:strCache>
                <c:ptCount val="1"/>
                <c:pt idx="0">
                  <c:v>Spinach: no produced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Poor!$K$48:$M$48</c:f>
              <c:numCache>
                <c:formatCode>0%</c:formatCode>
                <c:ptCount val="3"/>
                <c:pt idx="0">
                  <c:v>0.00056289646313389</c:v>
                </c:pt>
                <c:pt idx="1">
                  <c:v>0.000157611009677489</c:v>
                </c:pt>
                <c:pt idx="2">
                  <c:v>0.000143758078169292</c:v>
                </c:pt>
              </c:numCache>
            </c:numRef>
          </c:val>
        </c:ser>
        <c:ser>
          <c:idx val="12"/>
          <c:order val="12"/>
          <c:tx>
            <c:strRef>
              <c:f>Poor!$A$49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Poor!$A$50</c:f>
              <c:strCache>
                <c:ptCount val="1"/>
                <c:pt idx="0">
                  <c:v>Other cashcrop: sugar cane (tons)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Poor!$K$50:$M$50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Poor!$A$51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Poor!$K$51:$M$51</c:f>
              <c:numCache>
                <c:formatCode>0%</c:formatCode>
                <c:ptCount val="3"/>
                <c:pt idx="0">
                  <c:v>0.0277118258773607</c:v>
                </c:pt>
                <c:pt idx="1">
                  <c:v>0.0153800633619352</c:v>
                </c:pt>
                <c:pt idx="2">
                  <c:v>0.0153800633619352</c:v>
                </c:pt>
              </c:numCache>
            </c:numRef>
          </c:val>
        </c:ser>
        <c:ser>
          <c:idx val="15"/>
          <c:order val="15"/>
          <c:tx>
            <c:strRef>
              <c:f>Poor!$A$52</c:f>
              <c:strCache>
                <c:ptCount val="1"/>
                <c:pt idx="0">
                  <c:v>Construction cash income -- see Data2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Poor!$A$53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Poor!$K$53:$M$53</c:f>
              <c:numCache>
                <c:formatCode>0%</c:formatCode>
                <c:ptCount val="3"/>
                <c:pt idx="0">
                  <c:v>0.0158765669089046</c:v>
                </c:pt>
                <c:pt idx="1">
                  <c:v>0.00881149463444204</c:v>
                </c:pt>
                <c:pt idx="2">
                  <c:v>0.00881149463444205</c:v>
                </c:pt>
              </c:numCache>
            </c:numRef>
          </c:val>
        </c:ser>
        <c:ser>
          <c:idx val="17"/>
          <c:order val="17"/>
          <c:tx>
            <c:strRef>
              <c:f>Poor!$A$54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Poor!$A$55</c:f>
              <c:strCache>
                <c:ptCount val="1"/>
                <c:pt idx="0">
                  <c:v>Labour migration(formal employment): no. people per HH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Poor!$A$56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Poor!$K$56:$M$56</c:f>
              <c:numCache>
                <c:formatCode>0%</c:formatCode>
                <c:ptCount val="3"/>
                <c:pt idx="0">
                  <c:v>0.0202065397022422</c:v>
                </c:pt>
                <c:pt idx="1">
                  <c:v>0.0190749734789166</c:v>
                </c:pt>
                <c:pt idx="2">
                  <c:v>0.0190749734789166</c:v>
                </c:pt>
              </c:numCache>
            </c:numRef>
          </c:val>
        </c:ser>
        <c:ser>
          <c:idx val="20"/>
          <c:order val="20"/>
          <c:tx>
            <c:strRef>
              <c:f>Poor!$A$57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Poor!$K$57:$M$57</c:f>
              <c:numCache>
                <c:formatCode>0%</c:formatCode>
                <c:ptCount val="3"/>
                <c:pt idx="0">
                  <c:v>0.550209642849411</c:v>
                </c:pt>
                <c:pt idx="1">
                  <c:v>0.649247378562304</c:v>
                </c:pt>
                <c:pt idx="2">
                  <c:v>0.649247378562304</c:v>
                </c:pt>
              </c:numCache>
            </c:numRef>
          </c:val>
        </c:ser>
        <c:ser>
          <c:idx val="21"/>
          <c:order val="21"/>
          <c:tx>
            <c:strRef>
              <c:f>Poor!$A$58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Poor!$K$58:$M$58</c:f>
              <c:numCache>
                <c:formatCode>0%</c:formatCode>
                <c:ptCount val="3"/>
                <c:pt idx="0">
                  <c:v>0.159602797162424</c:v>
                </c:pt>
                <c:pt idx="1">
                  <c:v>0.188331300651661</c:v>
                </c:pt>
                <c:pt idx="2">
                  <c:v>0.188331300651661</c:v>
                </c:pt>
              </c:numCache>
            </c:numRef>
          </c:val>
        </c:ser>
        <c:ser>
          <c:idx val="22"/>
          <c:order val="22"/>
          <c:tx>
            <c:strRef>
              <c:f>Poor!$A$59</c:f>
              <c:strCache>
                <c:ptCount val="1"/>
                <c:pt idx="0">
                  <c:v>Gifts/social support: type (Child support, Pension and Foster Care)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Poor!$A$60</c:f>
              <c:strCache>
                <c:ptCount val="1"/>
                <c:pt idx="0">
                  <c:v>Other income: e.g. Credit (cotton loans)</c:v>
                </c:pt>
              </c:strCache>
            </c:strRef>
          </c:tx>
          <c:invertIfNegative val="0"/>
          <c:val>
            <c:numRef>
              <c:f>Poor!$K$60:$M$60</c:f>
              <c:numCache>
                <c:formatCode>0%</c:formatCode>
                <c:ptCount val="3"/>
                <c:pt idx="0">
                  <c:v>0.0166054456624497</c:v>
                </c:pt>
                <c:pt idx="1">
                  <c:v>0.0166054456624497</c:v>
                </c:pt>
                <c:pt idx="2">
                  <c:v>0.0166054456624497</c:v>
                </c:pt>
              </c:numCache>
            </c:numRef>
          </c:val>
        </c:ser>
        <c:ser>
          <c:idx val="24"/>
          <c:order val="24"/>
          <c:tx>
            <c:strRef>
              <c:f>Poor!$A$61</c:f>
              <c:strCache>
                <c:ptCount val="1"/>
                <c:pt idx="0">
                  <c:v>Remittances: no. times per year</c:v>
                </c:pt>
              </c:strCache>
            </c:strRef>
          </c:tx>
          <c:invertIfNegative val="0"/>
          <c:val>
            <c:numRef>
              <c:f>Poor!$K$61:$M$61</c:f>
              <c:numCache>
                <c:formatCode>0%</c:formatCode>
                <c:ptCount val="3"/>
                <c:pt idx="0">
                  <c:v>0.00613412812389495</c:v>
                </c:pt>
                <c:pt idx="1">
                  <c:v>0.0068088822175234</c:v>
                </c:pt>
                <c:pt idx="2">
                  <c:v>0.0068088822175234</c:v>
                </c:pt>
              </c:numCache>
            </c:numRef>
          </c:val>
        </c:ser>
        <c:ser>
          <c:idx val="25"/>
          <c:order val="25"/>
          <c:tx>
            <c:strRef>
              <c:f>Poor!$A$62</c:f>
              <c:strCache>
                <c:ptCount val="1"/>
              </c:strCache>
            </c:strRef>
          </c:tx>
          <c:invertIfNegative val="0"/>
          <c:val>
            <c:numRef>
              <c:f>Poor!$K$62:$M$62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Poor!$A$63</c:f>
              <c:strCache>
                <c:ptCount val="1"/>
              </c:strCache>
            </c:strRef>
          </c:tx>
          <c:invertIfNegative val="0"/>
          <c:val>
            <c:numRef>
              <c:f>Poor!$K$63:$M$63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Poor!$A$64</c:f>
              <c:strCache>
                <c:ptCount val="1"/>
              </c:strCache>
            </c:strRef>
          </c:tx>
          <c:invertIfNegative val="0"/>
          <c:val>
            <c:numRef>
              <c:f>Poor!$K$64:$M$64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6254808"/>
        <c:axId val="-2086251784"/>
      </c:barChart>
      <c:catAx>
        <c:axId val="-2086254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62517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62517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8547586061764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625480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66297947099587"/>
          <c:w val="0.729119638826185"/>
          <c:h val="0.5840648806094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Middle!$K$37:$M$37</c:f>
              <c:numCache>
                <c:formatCode>0%</c:formatCode>
                <c:ptCount val="3"/>
                <c:pt idx="0">
                  <c:v>0.122937383892471</c:v>
                </c:pt>
                <c:pt idx="1">
                  <c:v>0.0725330564965577</c:v>
                </c:pt>
                <c:pt idx="2">
                  <c:v>0.0693664517845116</c:v>
                </c:pt>
              </c:numCache>
            </c:numRef>
          </c:val>
        </c:ser>
        <c:ser>
          <c:idx val="1"/>
          <c:order val="1"/>
          <c:tx>
            <c:strRef>
              <c:f>Middle!$A$38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Middle!$K$38:$M$38</c:f>
              <c:numCache>
                <c:formatCode>0%</c:formatCode>
                <c:ptCount val="3"/>
                <c:pt idx="0">
                  <c:v>0.0256119549775981</c:v>
                </c:pt>
                <c:pt idx="1">
                  <c:v>0.0151110534367829</c:v>
                </c:pt>
                <c:pt idx="2">
                  <c:v>0.0192276395624428</c:v>
                </c:pt>
              </c:numCache>
            </c:numRef>
          </c:val>
        </c:ser>
        <c:ser>
          <c:idx val="2"/>
          <c:order val="2"/>
          <c:tx>
            <c:strRef>
              <c:f>Middle!$A$39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Middle!$K$39:$M$39</c:f>
              <c:numCache>
                <c:formatCode>0%</c:formatCode>
                <c:ptCount val="3"/>
                <c:pt idx="0">
                  <c:v>0.00546388372855426</c:v>
                </c:pt>
                <c:pt idx="1">
                  <c:v>0.00322369139984701</c:v>
                </c:pt>
                <c:pt idx="2">
                  <c:v>0.00322369139984701</c:v>
                </c:pt>
              </c:numCache>
            </c:numRef>
          </c:val>
        </c:ser>
        <c:ser>
          <c:idx val="3"/>
          <c:order val="3"/>
          <c:tx>
            <c:strRef>
              <c:f>Middle!$A$40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Middle!$K$40:$M$40</c:f>
              <c:numCache>
                <c:formatCode>0%</c:formatCode>
                <c:ptCount val="3"/>
                <c:pt idx="0">
                  <c:v>0.00478089826248497</c:v>
                </c:pt>
                <c:pt idx="1">
                  <c:v>0.00564145994973227</c:v>
                </c:pt>
                <c:pt idx="2">
                  <c:v>0.00564145994973227</c:v>
                </c:pt>
              </c:numCache>
            </c:numRef>
          </c:val>
        </c:ser>
        <c:ser>
          <c:idx val="4"/>
          <c:order val="4"/>
          <c:tx>
            <c:strRef>
              <c:f>Middle!$A$41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Middle!$K$41:$M$41</c:f>
              <c:numCache>
                <c:formatCode>0%</c:formatCode>
                <c:ptCount val="3"/>
                <c:pt idx="0">
                  <c:v>0.00939105015845263</c:v>
                </c:pt>
                <c:pt idx="1">
                  <c:v>0.0039442410665501</c:v>
                </c:pt>
                <c:pt idx="2">
                  <c:v>0.00239448325196822</c:v>
                </c:pt>
              </c:numCache>
            </c:numRef>
          </c:val>
        </c:ser>
        <c:ser>
          <c:idx val="5"/>
          <c:order val="5"/>
          <c:tx>
            <c:strRef>
              <c:f>Middle!$A$42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Middle!$K$42:$M$42</c:f>
              <c:numCache>
                <c:formatCode>0%</c:formatCode>
                <c:ptCount val="3"/>
                <c:pt idx="0">
                  <c:v>0.0595904819145449</c:v>
                </c:pt>
                <c:pt idx="1">
                  <c:v>0.0166853349360726</c:v>
                </c:pt>
                <c:pt idx="2">
                  <c:v>0.0167830166407492</c:v>
                </c:pt>
              </c:numCache>
            </c:numRef>
          </c:val>
        </c:ser>
        <c:ser>
          <c:idx val="6"/>
          <c:order val="6"/>
          <c:tx>
            <c:strRef>
              <c:f>Middle!$A$43</c:f>
              <c:strCache>
                <c:ptCount val="1"/>
                <c:pt idx="0">
                  <c:v>potatoes: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Middle!$K$43:$M$43</c:f>
              <c:numCache>
                <c:formatCode>0%</c:formatCode>
                <c:ptCount val="3"/>
                <c:pt idx="0">
                  <c:v>0.00853731832586603</c:v>
                </c:pt>
                <c:pt idx="1">
                  <c:v>0.00239044913124249</c:v>
                </c:pt>
                <c:pt idx="2">
                  <c:v>0.00145120197088983</c:v>
                </c:pt>
              </c:numCache>
            </c:numRef>
          </c:val>
        </c:ser>
        <c:ser>
          <c:idx val="7"/>
          <c:order val="7"/>
          <c:tx>
            <c:strRef>
              <c:f>Middle!$A$44</c:f>
              <c:strCache>
                <c:ptCount val="1"/>
                <c:pt idx="0">
                  <c:v>Amadumbe: kg produced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Middle!$K$44:$M$44</c:f>
              <c:numCache>
                <c:formatCode>0%</c:formatCode>
                <c:ptCount val="3"/>
                <c:pt idx="0">
                  <c:v>0.000956179652496995</c:v>
                </c:pt>
                <c:pt idx="1">
                  <c:v>0.000267730302699158</c:v>
                </c:pt>
                <c:pt idx="2">
                  <c:v>0.000162534620739661</c:v>
                </c:pt>
              </c:numCache>
            </c:numRef>
          </c:val>
        </c:ser>
        <c:ser>
          <c:idx val="8"/>
          <c:order val="8"/>
          <c:tx>
            <c:strRef>
              <c:f>Middle!$A$45</c:f>
              <c:strCache>
                <c:ptCount val="1"/>
                <c:pt idx="0">
                  <c:v>Sweet Potatoes: kg produced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Middle!$A$46</c:f>
              <c:strCache>
                <c:ptCount val="1"/>
                <c:pt idx="0">
                  <c:v>Other crop: Cabbage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Middle!$K$46:$M$46</c:f>
              <c:numCache>
                <c:formatCode>0%</c:formatCode>
                <c:ptCount val="3"/>
                <c:pt idx="0">
                  <c:v>0.000290268823079445</c:v>
                </c:pt>
                <c:pt idx="1">
                  <c:v>8.12752704622445E-5</c:v>
                </c:pt>
                <c:pt idx="2">
                  <c:v>4.93408670102542E-5</c:v>
                </c:pt>
              </c:numCache>
            </c:numRef>
          </c:val>
        </c:ser>
        <c:ser>
          <c:idx val="10"/>
          <c:order val="10"/>
          <c:tx>
            <c:strRef>
              <c:f>Middle!$A$47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Middle!$K$47:$M$47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Middle!$A$48</c:f>
              <c:strCache>
                <c:ptCount val="1"/>
                <c:pt idx="0">
                  <c:v>Spinach: no produced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Middle!$K$48:$M$48</c:f>
              <c:numCache>
                <c:formatCode>0%</c:formatCode>
                <c:ptCount val="3"/>
                <c:pt idx="0">
                  <c:v>8.53731832586603E-5</c:v>
                </c:pt>
                <c:pt idx="1">
                  <c:v>2.39044913124249E-5</c:v>
                </c:pt>
                <c:pt idx="2">
                  <c:v>1.45120197088983E-5</c:v>
                </c:pt>
              </c:numCache>
            </c:numRef>
          </c:val>
        </c:ser>
        <c:ser>
          <c:idx val="12"/>
          <c:order val="12"/>
          <c:tx>
            <c:strRef>
              <c:f>Middle!$A$49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Middle!$K$49:$M$49</c:f>
              <c:numCache>
                <c:formatCode>0%</c:formatCode>
                <c:ptCount val="3"/>
                <c:pt idx="0">
                  <c:v>0.000273194186427713</c:v>
                </c:pt>
                <c:pt idx="1">
                  <c:v>7.64943721997596E-5</c:v>
                </c:pt>
                <c:pt idx="2">
                  <c:v>4.64384630684746E-5</c:v>
                </c:pt>
              </c:numCache>
            </c:numRef>
          </c:val>
        </c:ser>
        <c:ser>
          <c:idx val="13"/>
          <c:order val="13"/>
          <c:tx>
            <c:strRef>
              <c:f>Middle!$A$50</c:f>
              <c:strCache>
                <c:ptCount val="1"/>
                <c:pt idx="0">
                  <c:v>Other cashcrop: sugar cane (tons)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Middle!$K$50:$M$50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Middle!$A$51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Middle!$A$52</c:f>
              <c:strCache>
                <c:ptCount val="1"/>
                <c:pt idx="0">
                  <c:v>Construction cash income -- see Data2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Middle!$K$52:$M$52</c:f>
              <c:numCache>
                <c:formatCode>0%</c:formatCode>
                <c:ptCount val="3"/>
                <c:pt idx="0">
                  <c:v>0.368812151677412</c:v>
                </c:pt>
                <c:pt idx="1">
                  <c:v>0.204690744180964</c:v>
                </c:pt>
                <c:pt idx="2">
                  <c:v>0.204690744180964</c:v>
                </c:pt>
              </c:numCache>
            </c:numRef>
          </c:val>
        </c:ser>
        <c:ser>
          <c:idx val="16"/>
          <c:order val="16"/>
          <c:tx>
            <c:strRef>
              <c:f>Middle!$A$53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Middle!$K$53:$M$53</c:f>
              <c:numCache>
                <c:formatCode>0%</c:formatCode>
                <c:ptCount val="3"/>
                <c:pt idx="0">
                  <c:v>0.0655666047426511</c:v>
                </c:pt>
                <c:pt idx="1">
                  <c:v>0.0363894656321713</c:v>
                </c:pt>
                <c:pt idx="2">
                  <c:v>0.0363894656321713</c:v>
                </c:pt>
              </c:numCache>
            </c:numRef>
          </c:val>
        </c:ser>
        <c:ser>
          <c:idx val="17"/>
          <c:order val="17"/>
          <c:tx>
            <c:strRef>
              <c:f>Middle!$A$54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Middle!$K$54:$M$54</c:f>
              <c:numCache>
                <c:formatCode>0%</c:formatCode>
                <c:ptCount val="3"/>
                <c:pt idx="0">
                  <c:v>0.150803190908097</c:v>
                </c:pt>
                <c:pt idx="1">
                  <c:v>0.071179106108622</c:v>
                </c:pt>
                <c:pt idx="2">
                  <c:v>0.071179106108622</c:v>
                </c:pt>
              </c:numCache>
            </c:numRef>
          </c:val>
        </c:ser>
        <c:ser>
          <c:idx val="18"/>
          <c:order val="18"/>
          <c:tx>
            <c:strRef>
              <c:f>Middle!$A$55</c:f>
              <c:strCache>
                <c:ptCount val="1"/>
                <c:pt idx="0">
                  <c:v>Labour migration(formal employment): no. people per HH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Middle!$K$55:$M$55</c:f>
              <c:numCache>
                <c:formatCode>0%</c:formatCode>
                <c:ptCount val="3"/>
                <c:pt idx="0">
                  <c:v>0.0547071358321495</c:v>
                </c:pt>
                <c:pt idx="1">
                  <c:v>0.0258217681127746</c:v>
                </c:pt>
                <c:pt idx="2">
                  <c:v>0.0258217681127746</c:v>
                </c:pt>
              </c:numCache>
            </c:numRef>
          </c:val>
        </c:ser>
        <c:ser>
          <c:idx val="19"/>
          <c:order val="19"/>
          <c:tx>
            <c:strRef>
              <c:f>Middle!$A$56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Middle!$A$57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Middle!$K$57:$M$57</c:f>
              <c:numCache>
                <c:formatCode>0%</c:formatCode>
                <c:ptCount val="3"/>
                <c:pt idx="0">
                  <c:v>0.0680663315484646</c:v>
                </c:pt>
                <c:pt idx="1">
                  <c:v>0.0803182712271883</c:v>
                </c:pt>
                <c:pt idx="2">
                  <c:v>0.0803182712271883</c:v>
                </c:pt>
              </c:numCache>
            </c:numRef>
          </c:val>
        </c:ser>
        <c:ser>
          <c:idx val="21"/>
          <c:order val="21"/>
          <c:tx>
            <c:strRef>
              <c:f>Middle!$A$58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Middle!$K$58:$M$58</c:f>
              <c:numCache>
                <c:formatCode>0%</c:formatCode>
                <c:ptCount val="3"/>
                <c:pt idx="0">
                  <c:v>0.00853731832586603</c:v>
                </c:pt>
                <c:pt idx="1">
                  <c:v>0.0100740356245219</c:v>
                </c:pt>
                <c:pt idx="2">
                  <c:v>0.0100740356245219</c:v>
                </c:pt>
              </c:numCache>
            </c:numRef>
          </c:val>
        </c:ser>
        <c:ser>
          <c:idx val="22"/>
          <c:order val="22"/>
          <c:tx>
            <c:strRef>
              <c:f>Middle!$A$59</c:f>
              <c:strCache>
                <c:ptCount val="1"/>
                <c:pt idx="0">
                  <c:v>Gifts/social support: type (Child support, Pension and Foster Care)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Middle!$K$59:$M$59</c:f>
              <c:numCache>
                <c:formatCode>0%</c:formatCode>
                <c:ptCount val="3"/>
                <c:pt idx="0">
                  <c:v>0.0455892798601246</c:v>
                </c:pt>
                <c:pt idx="1">
                  <c:v>0.0506041006447383</c:v>
                </c:pt>
                <c:pt idx="2">
                  <c:v>0.0506041006447383</c:v>
                </c:pt>
              </c:numCache>
            </c:numRef>
          </c:val>
        </c:ser>
        <c:ser>
          <c:idx val="23"/>
          <c:order val="23"/>
          <c:tx>
            <c:strRef>
              <c:f>Middle!$A$60</c:f>
              <c:strCache>
                <c:ptCount val="1"/>
                <c:pt idx="0">
                  <c:v>Other income: e.g. Credit (cotton loans)</c:v>
                </c:pt>
              </c:strCache>
            </c:strRef>
          </c:tx>
          <c:invertIfNegative val="0"/>
          <c:val>
            <c:numRef>
              <c:f>Middle!$K$60:$M$60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Middle!$A$61</c:f>
              <c:strCache>
                <c:ptCount val="1"/>
                <c:pt idx="0">
                  <c:v>Remittances: no. times per year</c:v>
                </c:pt>
              </c:strCache>
            </c:strRef>
          </c:tx>
          <c:invertIfNegative val="0"/>
          <c:val>
            <c:numRef>
              <c:f>Middle!$K$61:$M$61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Middle!$A$62</c:f>
              <c:strCache>
                <c:ptCount val="1"/>
              </c:strCache>
            </c:strRef>
          </c:tx>
          <c:invertIfNegative val="0"/>
          <c:val>
            <c:numRef>
              <c:f>Middle!$K$62:$M$62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Middle!$A$63</c:f>
              <c:strCache>
                <c:ptCount val="1"/>
              </c:strCache>
            </c:strRef>
          </c:tx>
          <c:invertIfNegative val="0"/>
          <c:val>
            <c:numRef>
              <c:f>Middle!$K$63:$M$63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Middle!$A$64</c:f>
              <c:strCache>
                <c:ptCount val="1"/>
              </c:strCache>
            </c:strRef>
          </c:tx>
          <c:invertIfNegative val="0"/>
          <c:val>
            <c:numRef>
              <c:f>Middle!$K$64:$M$64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6108536"/>
        <c:axId val="-2086105512"/>
      </c:barChart>
      <c:catAx>
        <c:axId val="-2086108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6105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6105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2864786560434"/>
              <c:y val="0.28484235964406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610853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118694362017804"/>
          <c:y val="0.733739837398374"/>
          <c:w val="0.98813056379822"/>
          <c:h val="0.26422764227642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9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6631586123167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Rich!$K$37:$M$37</c:f>
              <c:numCache>
                <c:formatCode>0%</c:formatCode>
                <c:ptCount val="3"/>
                <c:pt idx="0">
                  <c:v>0.0750642745101679</c:v>
                </c:pt>
                <c:pt idx="1">
                  <c:v>0.0442879219609991</c:v>
                </c:pt>
                <c:pt idx="2">
                  <c:v>0.0443002398954966</c:v>
                </c:pt>
              </c:numCache>
            </c:numRef>
          </c:val>
        </c:ser>
        <c:ser>
          <c:idx val="1"/>
          <c:order val="1"/>
          <c:tx>
            <c:strRef>
              <c:f>Rich!$A$38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Rich!$K$38:$M$38</c:f>
              <c:numCache>
                <c:formatCode>0%</c:formatCode>
                <c:ptCount val="3"/>
                <c:pt idx="0">
                  <c:v>0.0227397183987526</c:v>
                </c:pt>
                <c:pt idx="1">
                  <c:v>0.013416433855264</c:v>
                </c:pt>
                <c:pt idx="2">
                  <c:v>0.0134355266537352</c:v>
                </c:pt>
              </c:numCache>
            </c:numRef>
          </c:val>
        </c:ser>
        <c:ser>
          <c:idx val="2"/>
          <c:order val="2"/>
          <c:tx>
            <c:strRef>
              <c:f>Rich!$A$39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Rich!$K$39:$M$39</c:f>
              <c:numCache>
                <c:formatCode>0%</c:formatCode>
                <c:ptCount val="3"/>
                <c:pt idx="0">
                  <c:v>0.00556891062826593</c:v>
                </c:pt>
                <c:pt idx="1">
                  <c:v>0.0032856572706769</c:v>
                </c:pt>
                <c:pt idx="2">
                  <c:v>0.0032856572706769</c:v>
                </c:pt>
              </c:numCache>
            </c:numRef>
          </c:val>
        </c:ser>
        <c:ser>
          <c:idx val="3"/>
          <c:order val="3"/>
          <c:tx>
            <c:strRef>
              <c:f>Rich!$A$40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Rich!$K$40:$M$40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Rich!$A$41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Rich!$K$41:$M$41</c:f>
              <c:numCache>
                <c:formatCode>0%</c:formatCode>
                <c:ptCount val="3"/>
                <c:pt idx="0">
                  <c:v>0.0083533659423989</c:v>
                </c:pt>
                <c:pt idx="1">
                  <c:v>0.00350841369580754</c:v>
                </c:pt>
                <c:pt idx="2">
                  <c:v>0.00349263003736662</c:v>
                </c:pt>
              </c:numCache>
            </c:numRef>
          </c:val>
        </c:ser>
        <c:ser>
          <c:idx val="5"/>
          <c:order val="5"/>
          <c:tx>
            <c:strRef>
              <c:f>Rich!$A$42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Rich!$K$42:$M$42</c:f>
              <c:numCache>
                <c:formatCode>0%</c:formatCode>
                <c:ptCount val="3"/>
                <c:pt idx="0">
                  <c:v>0.0168459546505044</c:v>
                </c:pt>
                <c:pt idx="1">
                  <c:v>0.00471686730214125</c:v>
                </c:pt>
                <c:pt idx="2">
                  <c:v>0.00471686730214124</c:v>
                </c:pt>
              </c:numCache>
            </c:numRef>
          </c:val>
        </c:ser>
        <c:ser>
          <c:idx val="6"/>
          <c:order val="6"/>
          <c:tx>
            <c:strRef>
              <c:f>Rich!$A$43</c:f>
              <c:strCache>
                <c:ptCount val="1"/>
                <c:pt idx="0">
                  <c:v>potatoes: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Rich!$K$43:$M$43</c:f>
              <c:numCache>
                <c:formatCode>0%</c:formatCode>
                <c:ptCount val="3"/>
                <c:pt idx="0">
                  <c:v>0.00100240391308787</c:v>
                </c:pt>
                <c:pt idx="1">
                  <c:v>0.000280673095664603</c:v>
                </c:pt>
                <c:pt idx="2">
                  <c:v>0.00027941040298933</c:v>
                </c:pt>
              </c:numCache>
            </c:numRef>
          </c:val>
        </c:ser>
        <c:ser>
          <c:idx val="7"/>
          <c:order val="7"/>
          <c:tx>
            <c:strRef>
              <c:f>Rich!$A$44</c:f>
              <c:strCache>
                <c:ptCount val="1"/>
                <c:pt idx="0">
                  <c:v>Amadumbe: kg produced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Rich!$K$44:$M$44</c:f>
              <c:numCache>
                <c:formatCode>0%</c:formatCode>
                <c:ptCount val="3"/>
                <c:pt idx="0">
                  <c:v>0.00037590146740795</c:v>
                </c:pt>
                <c:pt idx="1">
                  <c:v>0.000105252410874226</c:v>
                </c:pt>
                <c:pt idx="2">
                  <c:v>0.000104778901120999</c:v>
                </c:pt>
              </c:numCache>
            </c:numRef>
          </c:val>
        </c:ser>
        <c:ser>
          <c:idx val="8"/>
          <c:order val="8"/>
          <c:tx>
            <c:strRef>
              <c:f>Rich!$A$45</c:f>
              <c:strCache>
                <c:ptCount val="1"/>
                <c:pt idx="0">
                  <c:v>Sweet Potatoes: kg produced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Rich!$A$46</c:f>
              <c:strCache>
                <c:ptCount val="1"/>
                <c:pt idx="0">
                  <c:v>Other crop: Cabbage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Rich!$K$46:$M$46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Rich!$A$47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Rich!$K$47:$M$47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Rich!$A$48</c:f>
              <c:strCache>
                <c:ptCount val="1"/>
                <c:pt idx="0">
                  <c:v>Spinach: no produced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Rich!$K$48:$M$48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Rich!$A$49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Rich!$A$50</c:f>
              <c:strCache>
                <c:ptCount val="1"/>
                <c:pt idx="0">
                  <c:v>Other cashcrop: sugar cane (tons)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Rich!$K$50:$M$50</c:f>
              <c:numCache>
                <c:formatCode>0%</c:formatCode>
                <c:ptCount val="3"/>
                <c:pt idx="0">
                  <c:v>0.0464075885688828</c:v>
                </c:pt>
                <c:pt idx="1">
                  <c:v>0.0129941247992872</c:v>
                </c:pt>
                <c:pt idx="2">
                  <c:v>0.0129941247992872</c:v>
                </c:pt>
              </c:numCache>
            </c:numRef>
          </c:val>
        </c:ser>
        <c:ser>
          <c:idx val="14"/>
          <c:order val="14"/>
          <c:tx>
            <c:strRef>
              <c:f>Rich!$A$51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Rich!$A$52</c:f>
              <c:strCache>
                <c:ptCount val="1"/>
                <c:pt idx="0">
                  <c:v>Construction cash income -- see Data2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Rich!$A$53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Rich!$K$53:$M$53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Rich!$A$54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Rich!$K$54:$M$54</c:f>
              <c:numCache>
                <c:formatCode>0%</c:formatCode>
                <c:ptCount val="3"/>
                <c:pt idx="0">
                  <c:v>0.334134637695956</c:v>
                </c:pt>
                <c:pt idx="1">
                  <c:v>0.157711548992491</c:v>
                </c:pt>
                <c:pt idx="2">
                  <c:v>0.157711548992491</c:v>
                </c:pt>
              </c:numCache>
            </c:numRef>
          </c:val>
        </c:ser>
        <c:ser>
          <c:idx val="18"/>
          <c:order val="18"/>
          <c:tx>
            <c:strRef>
              <c:f>Rich!$A$55</c:f>
              <c:strCache>
                <c:ptCount val="1"/>
                <c:pt idx="0">
                  <c:v>Labour migration(formal employment): no. people per HH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Rich!$K$55:$M$55</c:f>
              <c:numCache>
                <c:formatCode>0%</c:formatCode>
                <c:ptCount val="3"/>
                <c:pt idx="0">
                  <c:v>0.175420684790377</c:v>
                </c:pt>
                <c:pt idx="1">
                  <c:v>0.0827985632210579</c:v>
                </c:pt>
                <c:pt idx="2">
                  <c:v>0.0827985632210579</c:v>
                </c:pt>
              </c:numCache>
            </c:numRef>
          </c:val>
        </c:ser>
        <c:ser>
          <c:idx val="19"/>
          <c:order val="19"/>
          <c:tx>
            <c:strRef>
              <c:f>Rich!$A$56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Rich!$K$56:$M$56</c:f>
              <c:numCache>
                <c:formatCode>0%</c:formatCode>
                <c:ptCount val="3"/>
                <c:pt idx="0">
                  <c:v>0.201176896446107</c:v>
                </c:pt>
                <c:pt idx="1">
                  <c:v>0.189910990245125</c:v>
                </c:pt>
                <c:pt idx="2">
                  <c:v>0.189910990245125</c:v>
                </c:pt>
              </c:numCache>
            </c:numRef>
          </c:val>
        </c:ser>
        <c:ser>
          <c:idx val="20"/>
          <c:order val="20"/>
          <c:tx>
            <c:strRef>
              <c:f>Rich!$A$57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Rich!$K$57:$M$57</c:f>
              <c:numCache>
                <c:formatCode>0%</c:formatCode>
                <c:ptCount val="3"/>
                <c:pt idx="0">
                  <c:v>0.0371724784436751</c:v>
                </c:pt>
                <c:pt idx="1">
                  <c:v>0.0438635245635366</c:v>
                </c:pt>
                <c:pt idx="2">
                  <c:v>0.0438635245635366</c:v>
                </c:pt>
              </c:numCache>
            </c:numRef>
          </c:val>
        </c:ser>
        <c:ser>
          <c:idx val="21"/>
          <c:order val="21"/>
          <c:tx>
            <c:strRef>
              <c:f>Rich!$A$58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Rich!$A$59</c:f>
              <c:strCache>
                <c:ptCount val="1"/>
                <c:pt idx="0">
                  <c:v>Gifts/social support: type (Child support, Pension and Foster Care)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Rich!$K$59:$M$59</c:f>
              <c:numCache>
                <c:formatCode>0%</c:formatCode>
                <c:ptCount val="3"/>
                <c:pt idx="0">
                  <c:v>0.0548537696884194</c:v>
                </c:pt>
                <c:pt idx="1">
                  <c:v>0.0608876843541456</c:v>
                </c:pt>
                <c:pt idx="2">
                  <c:v>0.0608876843541456</c:v>
                </c:pt>
              </c:numCache>
            </c:numRef>
          </c:val>
        </c:ser>
        <c:ser>
          <c:idx val="23"/>
          <c:order val="23"/>
          <c:tx>
            <c:strRef>
              <c:f>Rich!$A$60</c:f>
              <c:strCache>
                <c:ptCount val="1"/>
                <c:pt idx="0">
                  <c:v>Other income: e.g. Credit (cotton loans)</c:v>
                </c:pt>
              </c:strCache>
            </c:strRef>
          </c:tx>
          <c:invertIfNegative val="0"/>
          <c:val>
            <c:numRef>
              <c:f>Rich!$K$60:$M$60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Rich!$A$61</c:f>
              <c:strCache>
                <c:ptCount val="1"/>
                <c:pt idx="0">
                  <c:v>Remittances: no. times per year</c:v>
                </c:pt>
              </c:strCache>
            </c:strRef>
          </c:tx>
          <c:invertIfNegative val="0"/>
          <c:val>
            <c:numRef>
              <c:f>Rich!$K$61:$M$61</c:f>
              <c:numCache>
                <c:formatCode>0%</c:formatCode>
                <c:ptCount val="3"/>
                <c:pt idx="0">
                  <c:v>0.0208834148559972</c:v>
                </c:pt>
                <c:pt idx="1">
                  <c:v>0.0231805904901569</c:v>
                </c:pt>
                <c:pt idx="2">
                  <c:v>0.0231805904901569</c:v>
                </c:pt>
              </c:numCache>
            </c:numRef>
          </c:val>
        </c:ser>
        <c:ser>
          <c:idx val="25"/>
          <c:order val="25"/>
          <c:tx>
            <c:strRef>
              <c:f>Rich!$A$62</c:f>
              <c:strCache>
                <c:ptCount val="1"/>
              </c:strCache>
            </c:strRef>
          </c:tx>
          <c:invertIfNegative val="0"/>
          <c:val>
            <c:numRef>
              <c:f>Rich!$K$62:$M$62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Rich!$A$63</c:f>
              <c:strCache>
                <c:ptCount val="1"/>
              </c:strCache>
            </c:strRef>
          </c:tx>
          <c:invertIfNegative val="0"/>
          <c:val>
            <c:numRef>
              <c:f>Rich!$K$63:$M$63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Rich!$A$64</c:f>
              <c:strCache>
                <c:ptCount val="1"/>
              </c:strCache>
            </c:strRef>
          </c:tx>
          <c:invertIfNegative val="0"/>
          <c:val>
            <c:numRef>
              <c:f>Rich!$K$64:$M$64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5965128"/>
        <c:axId val="-2085962072"/>
      </c:barChart>
      <c:catAx>
        <c:axId val="-2085965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5962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5962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8587286345304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596512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V.Poor!$K$37:$M$37</c:f>
              <c:numCache>
                <c:formatCode>0%</c:formatCode>
                <c:ptCount val="3"/>
                <c:pt idx="0">
                  <c:v>0.0639304436772791</c:v>
                </c:pt>
                <c:pt idx="1">
                  <c:v>0.0377189617695947</c:v>
                </c:pt>
                <c:pt idx="2">
                  <c:v>0.0188594808847973</c:v>
                </c:pt>
              </c:numCache>
            </c:numRef>
          </c:val>
        </c:ser>
        <c:ser>
          <c:idx val="1"/>
          <c:order val="1"/>
          <c:tx>
            <c:strRef>
              <c:f>V.Poor!$A$38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V.Poor!$K$38:$M$38</c:f>
              <c:numCache>
                <c:formatCode>0%</c:formatCode>
                <c:ptCount val="3"/>
                <c:pt idx="0">
                  <c:v>0.0151834803733538</c:v>
                </c:pt>
                <c:pt idx="1">
                  <c:v>0.00895825342027873</c:v>
                </c:pt>
                <c:pt idx="2">
                  <c:v>0.00895825342027873</c:v>
                </c:pt>
              </c:numCache>
            </c:numRef>
          </c:val>
        </c:ser>
        <c:ser>
          <c:idx val="2"/>
          <c:order val="2"/>
          <c:tx>
            <c:strRef>
              <c:f>V.Poor!$A$39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V.Poor!$K$39:$M$39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V.Poor!$A$40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V.Poor!$K$40:$M$40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V.Poor!$A$41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V.Poor!$A$42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V.Poor!$K$42:$M$42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6"/>
          <c:tx>
            <c:strRef>
              <c:f>V.Poor!$A$43</c:f>
              <c:strCache>
                <c:ptCount val="1"/>
                <c:pt idx="0">
                  <c:v>potatoes: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V.Poor!$K$43:$M$43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7"/>
          <c:order val="7"/>
          <c:tx>
            <c:strRef>
              <c:f>V.Poor!$A$44</c:f>
              <c:strCache>
                <c:ptCount val="1"/>
                <c:pt idx="0">
                  <c:v>Amadumbe: kg produced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V.Poor!$K$44:$M$44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8"/>
          <c:order val="8"/>
          <c:tx>
            <c:strRef>
              <c:f>V.Poor!$A$45</c:f>
              <c:strCache>
                <c:ptCount val="1"/>
                <c:pt idx="0">
                  <c:v>Sweet Potatoes: kg produced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V.Poor!$A$46</c:f>
              <c:strCache>
                <c:ptCount val="1"/>
                <c:pt idx="0">
                  <c:v>Other crop: Cabbage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V.Poor!$K$46:$M$46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V.Poor!$A$47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V.Poor!$K$47:$M$47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V.Poor!$A$48</c:f>
              <c:strCache>
                <c:ptCount val="1"/>
                <c:pt idx="0">
                  <c:v>Spinach: no produced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V.Poor!$K$48:$M$48</c:f>
              <c:numCache>
                <c:formatCode>0%</c:formatCode>
                <c:ptCount val="3"/>
                <c:pt idx="0">
                  <c:v>0.000671269658611431</c:v>
                </c:pt>
                <c:pt idx="1">
                  <c:v>0.000187955504411201</c:v>
                </c:pt>
                <c:pt idx="2">
                  <c:v>0.000143204193837105</c:v>
                </c:pt>
              </c:numCache>
            </c:numRef>
          </c:val>
        </c:ser>
        <c:ser>
          <c:idx val="12"/>
          <c:order val="12"/>
          <c:tx>
            <c:strRef>
              <c:f>V.Poor!$A$49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V.Poor!$A$50</c:f>
              <c:strCache>
                <c:ptCount val="1"/>
                <c:pt idx="0">
                  <c:v>Other cashcrop: sugar cane (tons)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V.Poor!$K$50:$M$50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V.Poor!$A$51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V.Poor!$K$51:$M$51</c:f>
              <c:numCache>
                <c:formatCode>0%</c:formatCode>
                <c:ptCount val="3"/>
                <c:pt idx="0">
                  <c:v>0.0328176277543366</c:v>
                </c:pt>
                <c:pt idx="1">
                  <c:v>0.0182137834036568</c:v>
                </c:pt>
                <c:pt idx="2">
                  <c:v>0.0182137834036568</c:v>
                </c:pt>
              </c:numCache>
            </c:numRef>
          </c:val>
        </c:ser>
        <c:ser>
          <c:idx val="15"/>
          <c:order val="15"/>
          <c:tx>
            <c:strRef>
              <c:f>V.Poor!$A$52</c:f>
              <c:strCache>
                <c:ptCount val="1"/>
                <c:pt idx="0">
                  <c:v>Construction cash income -- see Data2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V.Poor!$K$52:$M$52</c:f>
              <c:numCache>
                <c:formatCode>0%</c:formatCode>
                <c:ptCount val="3"/>
                <c:pt idx="0">
                  <c:v>0.0100157695094404</c:v>
                </c:pt>
                <c:pt idx="1">
                  <c:v>0.00555875207773942</c:v>
                </c:pt>
                <c:pt idx="2">
                  <c:v>0.00555875207773942</c:v>
                </c:pt>
              </c:numCache>
            </c:numRef>
          </c:val>
        </c:ser>
        <c:ser>
          <c:idx val="16"/>
          <c:order val="16"/>
          <c:tx>
            <c:strRef>
              <c:f>V.Poor!$A$53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V.Poor!$K$53:$M$53</c:f>
              <c:numCache>
                <c:formatCode>0%</c:formatCode>
                <c:ptCount val="3"/>
                <c:pt idx="0">
                  <c:v>0.0933384477688275</c:v>
                </c:pt>
                <c:pt idx="1">
                  <c:v>0.0518028385116993</c:v>
                </c:pt>
                <c:pt idx="2">
                  <c:v>0.0518028385116993</c:v>
                </c:pt>
              </c:numCache>
            </c:numRef>
          </c:val>
        </c:ser>
        <c:ser>
          <c:idx val="17"/>
          <c:order val="17"/>
          <c:tx>
            <c:strRef>
              <c:f>V.Poor!$A$54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V.Poor!$A$55</c:f>
              <c:strCache>
                <c:ptCount val="1"/>
                <c:pt idx="0">
                  <c:v>Labour migration(formal employment): no. people per HH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V.Poor!$A$56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V.Poor!$K$56:$M$56</c:f>
              <c:numCache>
                <c:formatCode>0%</c:formatCode>
                <c:ptCount val="3"/>
                <c:pt idx="0">
                  <c:v>0.0409154839534586</c:v>
                </c:pt>
                <c:pt idx="1">
                  <c:v>0.0386242168520649</c:v>
                </c:pt>
                <c:pt idx="2">
                  <c:v>0.0386242168520649</c:v>
                </c:pt>
              </c:numCache>
            </c:numRef>
          </c:val>
        </c:ser>
        <c:ser>
          <c:idx val="20"/>
          <c:order val="20"/>
          <c:tx>
            <c:strRef>
              <c:f>V.Poor!$A$57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V.Poor!$K$57:$M$57</c:f>
              <c:numCache>
                <c:formatCode>0%</c:formatCode>
                <c:ptCount val="3"/>
                <c:pt idx="0">
                  <c:v>0.612709372203043</c:v>
                </c:pt>
                <c:pt idx="1">
                  <c:v>0.722997059199591</c:v>
                </c:pt>
                <c:pt idx="2">
                  <c:v>0.722997059199591</c:v>
                </c:pt>
              </c:numCache>
            </c:numRef>
          </c:val>
        </c:ser>
        <c:ser>
          <c:idx val="21"/>
          <c:order val="21"/>
          <c:tx>
            <c:strRef>
              <c:f>V.Poor!$A$58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V.Poor!$K$58:$M$58</c:f>
              <c:numCache>
                <c:formatCode>0%</c:formatCode>
                <c:ptCount val="3"/>
                <c:pt idx="0">
                  <c:v>0.130418105101649</c:v>
                </c:pt>
                <c:pt idx="1">
                  <c:v>0.153893364019946</c:v>
                </c:pt>
                <c:pt idx="2">
                  <c:v>0.153893364019946</c:v>
                </c:pt>
              </c:numCache>
            </c:numRef>
          </c:val>
        </c:ser>
        <c:ser>
          <c:idx val="22"/>
          <c:order val="22"/>
          <c:tx>
            <c:strRef>
              <c:f>V.Poor!$A$59</c:f>
              <c:strCache>
                <c:ptCount val="1"/>
                <c:pt idx="0">
                  <c:v>Gifts/social support: type (Child support, Pension and Foster Care)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V.Poor!$A$60</c:f>
              <c:strCache>
                <c:ptCount val="1"/>
                <c:pt idx="0">
                  <c:v>Other income: e.g. Credit (cotton loans)</c:v>
                </c:pt>
              </c:strCache>
            </c:strRef>
          </c:tx>
          <c:invertIfNegative val="0"/>
          <c:val>
            <c:numRef>
              <c:f>V.Poor!$K$60:$M$60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V.Poor!$A$61</c:f>
              <c:strCache>
                <c:ptCount val="1"/>
                <c:pt idx="0">
                  <c:v>Remittances: no. times per year</c:v>
                </c:pt>
              </c:strCache>
            </c:strRef>
          </c:tx>
          <c:invertIfNegative val="0"/>
          <c:val>
            <c:numRef>
              <c:f>V.Poor!$K$61:$M$61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V.Poor!$A$62</c:f>
              <c:strCache>
                <c:ptCount val="1"/>
              </c:strCache>
            </c:strRef>
          </c:tx>
          <c:invertIfNegative val="0"/>
          <c:val>
            <c:numRef>
              <c:f>V.Poor!$K$62:$M$62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V.Poor!$A$63</c:f>
              <c:strCache>
                <c:ptCount val="1"/>
              </c:strCache>
            </c:strRef>
          </c:tx>
          <c:invertIfNegative val="0"/>
          <c:val>
            <c:numRef>
              <c:f>V.Poor!$K$63:$M$63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V.Poor!$A$64</c:f>
              <c:strCache>
                <c:ptCount val="1"/>
              </c:strCache>
            </c:strRef>
          </c:tx>
          <c:invertIfNegative val="0"/>
          <c:val>
            <c:numRef>
              <c:f>V.Poor!$K$64:$M$64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5820760"/>
        <c:axId val="-2085817736"/>
      </c:barChart>
      <c:catAx>
        <c:axId val="-2085820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58177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58177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206951580941"/>
              <c:y val="0.28484234470691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58207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i="0">
                <a:latin typeface="Helvetica Light"/>
                <a:cs typeface="Helvetica Light"/>
              </a:defRPr>
            </a:pPr>
            <a:r>
              <a:rPr lang="en-US" sz="1300" b="0" i="0">
                <a:latin typeface="Helvetica Light"/>
                <a:cs typeface="Helvetica Light"/>
              </a:rPr>
              <a:t>ZACNI - Affected Area</a:t>
            </a:r>
          </a:p>
        </c:rich>
      </c:tx>
      <c:layout>
        <c:manualLayout>
          <c:xMode val="edge"/>
          <c:yMode val="edge"/>
          <c:x val="0.382348197407966"/>
          <c:y val="0.0274263278065851"/>
        </c:manualLayout>
      </c:layout>
      <c:overlay val="1"/>
      <c:spPr>
        <a:solidFill>
          <a:schemeClr val="bg1"/>
        </a:solidFill>
        <a:ln w="3175" cmpd="sng">
          <a:solidFill>
            <a:schemeClr val="tx1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0997886663130839"/>
          <c:y val="0.0491059044448712"/>
          <c:w val="0.837439924931663"/>
          <c:h val="0.680472014168961"/>
        </c:manualLayout>
      </c:layout>
      <c:barChart>
        <c:barDir val="col"/>
        <c:grouping val="stacked"/>
        <c:varyColors val="0"/>
        <c:ser>
          <c:idx val="1"/>
          <c:order val="2"/>
          <c:tx>
            <c:strRef>
              <c:f>Income!$A$72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8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Income!$B$72:$I$72</c:f>
              <c:numCache>
                <c:formatCode>#,##0</c:formatCode>
                <c:ptCount val="8"/>
                <c:pt idx="0">
                  <c:v>1637.861248379045</c:v>
                </c:pt>
                <c:pt idx="1">
                  <c:v>3310.881866934666</c:v>
                </c:pt>
                <c:pt idx="2">
                  <c:v>2890.735586591867</c:v>
                </c:pt>
                <c:pt idx="3">
                  <c:v>1825.413865737894</c:v>
                </c:pt>
                <c:pt idx="4">
                  <c:v>350.0566385063934</c:v>
                </c:pt>
                <c:pt idx="5">
                  <c:v>719.1693620177766</c:v>
                </c:pt>
                <c:pt idx="6">
                  <c:v>1056.922770392985</c:v>
                </c:pt>
                <c:pt idx="7">
                  <c:v>365.7283158030044</c:v>
                </c:pt>
              </c:numCache>
            </c:numRef>
          </c:val>
        </c:ser>
        <c:ser>
          <c:idx val="2"/>
          <c:order val="7"/>
          <c:tx>
            <c:strRef>
              <c:f>Income!$A$73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C3D69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Income!$B$73:$I$73</c:f>
              <c:numCache>
                <c:formatCode>#,##0</c:formatCode>
                <c:ptCount val="8"/>
                <c:pt idx="0">
                  <c:v>25.84010002467636</c:v>
                </c:pt>
                <c:pt idx="1">
                  <c:v>1526.206542727313</c:v>
                </c:pt>
                <c:pt idx="2">
                  <c:v>10861.04521672111</c:v>
                </c:pt>
                <c:pt idx="3">
                  <c:v>22116.43869665605</c:v>
                </c:pt>
                <c:pt idx="4">
                  <c:v>4.48</c:v>
                </c:pt>
                <c:pt idx="5">
                  <c:v>316.3026698163377</c:v>
                </c:pt>
                <c:pt idx="6">
                  <c:v>2331.670932847731</c:v>
                </c:pt>
                <c:pt idx="7">
                  <c:v>5316.325468960154</c:v>
                </c:pt>
              </c:numCache>
            </c:numRef>
          </c:val>
        </c:ser>
        <c:ser>
          <c:idx val="5"/>
          <c:order val="8"/>
          <c:tx>
            <c:strRef>
              <c:f>Income!$A$74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Income!$B$74:$I$74</c:f>
              <c:numCache>
                <c:formatCode>#,##0</c:formatCode>
                <c:ptCount val="8"/>
                <c:pt idx="0">
                  <c:v>600.961745113332</c:v>
                </c:pt>
                <c:pt idx="1">
                  <c:v>1095.569099432972</c:v>
                </c:pt>
                <c:pt idx="2">
                  <c:v>1916.634027010209</c:v>
                </c:pt>
                <c:pt idx="3">
                  <c:v>2192.285756553512</c:v>
                </c:pt>
                <c:pt idx="4">
                  <c:v>97.67916250578088</c:v>
                </c:pt>
                <c:pt idx="5">
                  <c:v>178.0716875408501</c:v>
                </c:pt>
                <c:pt idx="6">
                  <c:v>311.5259966391596</c:v>
                </c:pt>
                <c:pt idx="7">
                  <c:v>356.3278732293507</c:v>
                </c:pt>
              </c:numCache>
            </c:numRef>
          </c:val>
        </c:ser>
        <c:ser>
          <c:idx val="7"/>
          <c:order val="9"/>
          <c:tx>
            <c:strRef>
              <c:f>Income!$A$76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Income!$B$76:$I$76</c:f>
              <c:numCache>
                <c:formatCode>#,##0</c:formatCode>
                <c:ptCount val="8"/>
                <c:pt idx="0">
                  <c:v>3045.440360051142</c:v>
                </c:pt>
                <c:pt idx="1">
                  <c:v>10048.51762705629</c:v>
                </c:pt>
                <c:pt idx="2">
                  <c:v>21797.09117727802</c:v>
                </c:pt>
                <c:pt idx="3">
                  <c:v>31324.70731659016</c:v>
                </c:pt>
                <c:pt idx="4">
                  <c:v>870.2499999999999</c:v>
                </c:pt>
                <c:pt idx="5">
                  <c:v>4754.749895730749</c:v>
                </c:pt>
                <c:pt idx="6">
                  <c:v>10872.07045992814</c:v>
                </c:pt>
                <c:pt idx="7">
                  <c:v>15027.44965435608</c:v>
                </c:pt>
              </c:numCache>
            </c:numRef>
          </c:val>
        </c:ser>
        <c:ser>
          <c:idx val="8"/>
          <c:order val="10"/>
          <c:tx>
            <c:strRef>
              <c:f>Income!$A$77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Income!$B$77:$I$77</c:f>
              <c:numCache>
                <c:formatCode>#,##0</c:formatCode>
                <c:ptCount val="8"/>
                <c:pt idx="0">
                  <c:v>0.0</c:v>
                </c:pt>
                <c:pt idx="1">
                  <c:v>121.2080495528232</c:v>
                </c:pt>
                <c:pt idx="2">
                  <c:v>85.1170584985181</c:v>
                </c:pt>
                <c:pt idx="3">
                  <c:v>0.0</c:v>
                </c:pt>
                <c:pt idx="4">
                  <c:v>0.0</c:v>
                </c:pt>
                <c:pt idx="5">
                  <c:v>104.1322363511047</c:v>
                </c:pt>
                <c:pt idx="6">
                  <c:v>75.96869717550111</c:v>
                </c:pt>
                <c:pt idx="7">
                  <c:v>0.0</c:v>
                </c:pt>
              </c:numCache>
            </c:numRef>
          </c:val>
        </c:ser>
        <c:ser>
          <c:idx val="12"/>
          <c:order val="11"/>
          <c:tx>
            <c:strRef>
              <c:f>Income!$A$78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Income!$B$78:$I$78</c:f>
              <c:numCache>
                <c:formatCode>#,##0</c:formatCode>
                <c:ptCount val="8"/>
                <c:pt idx="0">
                  <c:v>5317.155575988115</c:v>
                </c:pt>
                <c:pt idx="1">
                  <c:v>2477.368319826115</c:v>
                </c:pt>
                <c:pt idx="2">
                  <c:v>59625.59134945731</c:v>
                </c:pt>
                <c:pt idx="3">
                  <c:v>0.0</c:v>
                </c:pt>
                <c:pt idx="4">
                  <c:v>2439.250149634053</c:v>
                </c:pt>
                <c:pt idx="5">
                  <c:v>1117.4</c:v>
                </c:pt>
                <c:pt idx="6">
                  <c:v>26893.71428571429</c:v>
                </c:pt>
                <c:pt idx="7">
                  <c:v>0.0</c:v>
                </c:pt>
              </c:numCache>
            </c:numRef>
          </c:val>
        </c:ser>
        <c:ser>
          <c:idx val="4"/>
          <c:order val="12"/>
          <c:tx>
            <c:strRef>
              <c:f>Income!$A$79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Income!$B$79:$I$79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28209.65477523853</c:v>
                </c:pt>
                <c:pt idx="3">
                  <c:v>154408.6582878384</c:v>
                </c:pt>
                <c:pt idx="4">
                  <c:v>0.0</c:v>
                </c:pt>
                <c:pt idx="5">
                  <c:v>0.0</c:v>
                </c:pt>
                <c:pt idx="6">
                  <c:v>10820.93714285714</c:v>
                </c:pt>
                <c:pt idx="7">
                  <c:v>59229.25714285713</c:v>
                </c:pt>
              </c:numCache>
            </c:numRef>
          </c:val>
        </c:ser>
        <c:ser>
          <c:idx val="0"/>
          <c:order val="13"/>
          <c:tx>
            <c:strRef>
              <c:f>Income!$A$80</c:f>
              <c:strCache>
                <c:ptCount val="1"/>
                <c:pt idx="0">
                  <c:v>Labour - public works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Income!$B$80:$I$80</c:f>
              <c:numCache>
                <c:formatCode>#,##0</c:formatCode>
                <c:ptCount val="8"/>
                <c:pt idx="0">
                  <c:v>5020.36229050855</c:v>
                </c:pt>
                <c:pt idx="1">
                  <c:v>9071.105589614957</c:v>
                </c:pt>
                <c:pt idx="2">
                  <c:v>1171.886622434302</c:v>
                </c:pt>
                <c:pt idx="3">
                  <c:v>0.0</c:v>
                </c:pt>
                <c:pt idx="4">
                  <c:v>4814.4</c:v>
                </c:pt>
                <c:pt idx="5">
                  <c:v>8698.959999999999</c:v>
                </c:pt>
                <c:pt idx="6">
                  <c:v>1123.809523809524</c:v>
                </c:pt>
                <c:pt idx="7">
                  <c:v>0.0</c:v>
                </c:pt>
              </c:numCache>
            </c:numRef>
          </c:val>
        </c:ser>
        <c:ser>
          <c:idx val="6"/>
          <c:order val="14"/>
          <c:tx>
            <c:strRef>
              <c:f>Income!$A$81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D3BBD8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Income!$B$81:$I$81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15"/>
          <c:tx>
            <c:strRef>
              <c:f>Income!$A$82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Income!$B$82:$I$82</c:f>
              <c:numCache>
                <c:formatCode>#,##0</c:formatCode>
                <c:ptCount val="8"/>
                <c:pt idx="0">
                  <c:v>1575.015620551702</c:v>
                </c:pt>
                <c:pt idx="1">
                  <c:v>1148.448889985616</c:v>
                </c:pt>
                <c:pt idx="2">
                  <c:v>0.0</c:v>
                </c:pt>
                <c:pt idx="3">
                  <c:v>60961.88831309465</c:v>
                </c:pt>
                <c:pt idx="4">
                  <c:v>1208.32</c:v>
                </c:pt>
                <c:pt idx="5">
                  <c:v>881.0666666666666</c:v>
                </c:pt>
                <c:pt idx="6">
                  <c:v>0.0</c:v>
                </c:pt>
                <c:pt idx="7">
                  <c:v>46768.45714285714</c:v>
                </c:pt>
              </c:numCache>
            </c:numRef>
          </c:val>
        </c:ser>
        <c:ser>
          <c:idx val="9"/>
          <c:order val="16"/>
          <c:tx>
            <c:strRef>
              <c:f>Income!$A$83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Income!$B$83:$I$83</c:f>
              <c:numCache>
                <c:formatCode>#,##0</c:formatCode>
                <c:ptCount val="8"/>
                <c:pt idx="0">
                  <c:v>2542.666846672839</c:v>
                </c:pt>
                <c:pt idx="1">
                  <c:v>2592.638932611427</c:v>
                </c:pt>
                <c:pt idx="2">
                  <c:v>2307.402851627442</c:v>
                </c:pt>
                <c:pt idx="3">
                  <c:v>403.9561828804129</c:v>
                </c:pt>
                <c:pt idx="4">
                  <c:v>2066.400816139967</c:v>
                </c:pt>
                <c:pt idx="5">
                  <c:v>2107.012648281027</c:v>
                </c:pt>
                <c:pt idx="6">
                  <c:v>1875.204037054929</c:v>
                </c:pt>
                <c:pt idx="7">
                  <c:v>328.2894282675842</c:v>
                </c:pt>
              </c:numCache>
            </c:numRef>
          </c:val>
        </c:ser>
        <c:ser>
          <c:idx val="17"/>
          <c:order val="17"/>
          <c:tx>
            <c:strRef>
              <c:f>Income!$A$84</c:f>
              <c:strCache>
                <c:ptCount val="1"/>
                <c:pt idx="0">
                  <c:v>Food transfer - gifts</c:v>
                </c:pt>
              </c:strCache>
            </c:strRef>
          </c:tx>
          <c:spPr>
            <a:solidFill>
              <a:srgbClr val="B9CDE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Income!$B$84:$I$84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10"/>
          <c:order val="18"/>
          <c:tx>
            <c:strRef>
              <c:f>Income!$A$85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Income!$B$85:$I$85</c:f>
              <c:numCache>
                <c:formatCode>#,##0</c:formatCode>
                <c:ptCount val="8"/>
                <c:pt idx="0">
                  <c:v>23585.85891776174</c:v>
                </c:pt>
                <c:pt idx="1">
                  <c:v>31271.44295367262</c:v>
                </c:pt>
                <c:pt idx="2">
                  <c:v>9343.217663344205</c:v>
                </c:pt>
                <c:pt idx="3">
                  <c:v>11264.23818657181</c:v>
                </c:pt>
                <c:pt idx="4">
                  <c:v>22618.24</c:v>
                </c:pt>
                <c:pt idx="5">
                  <c:v>29988.52</c:v>
                </c:pt>
                <c:pt idx="6">
                  <c:v>8959.90857142857</c:v>
                </c:pt>
                <c:pt idx="7">
                  <c:v>10802.05714285714</c:v>
                </c:pt>
              </c:numCache>
            </c:numRef>
          </c:val>
        </c:ser>
        <c:ser>
          <c:idx val="11"/>
          <c:order val="19"/>
          <c:tx>
            <c:strRef>
              <c:f>Income!$A$86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Income!$B$86:$I$86</c:f>
              <c:numCache>
                <c:formatCode>#,##0</c:formatCode>
                <c:ptCount val="8"/>
                <c:pt idx="0">
                  <c:v>0.0</c:v>
                </c:pt>
                <c:pt idx="1">
                  <c:v>348.6362701742048</c:v>
                </c:pt>
                <c:pt idx="2">
                  <c:v>6257.874563799174</c:v>
                </c:pt>
                <c:pt idx="3">
                  <c:v>22950.35795316505</c:v>
                </c:pt>
                <c:pt idx="4">
                  <c:v>0.0</c:v>
                </c:pt>
                <c:pt idx="5">
                  <c:v>314.5</c:v>
                </c:pt>
                <c:pt idx="6">
                  <c:v>5645.142857142857</c:v>
                </c:pt>
                <c:pt idx="7">
                  <c:v>20703.08571428572</c:v>
                </c:pt>
              </c:numCache>
            </c:numRef>
          </c:val>
        </c:ser>
        <c:ser>
          <c:idx val="14"/>
          <c:order val="20"/>
          <c:tx>
            <c:strRef>
              <c:f>Income!$A$87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Income!$B$87:$I$87</c:f>
              <c:numCache>
                <c:formatCode>#,##0</c:formatCode>
                <c:ptCount val="8"/>
                <c:pt idx="0">
                  <c:v>0.0</c:v>
                </c:pt>
                <c:pt idx="1">
                  <c:v>943.778891377465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767.0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85698296"/>
        <c:axId val="-2085694920"/>
      </c:barChart>
      <c:lineChart>
        <c:grouping val="standard"/>
        <c:varyColors val="0"/>
        <c:ser>
          <c:idx val="13"/>
          <c:order val="0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31035.99249196373</c:v>
                </c:pt>
                <c:pt idx="1">
                  <c:v>31035.99249196373</c:v>
                </c:pt>
                <c:pt idx="2">
                  <c:v>31035.99249196376</c:v>
                </c:pt>
                <c:pt idx="3">
                  <c:v>31035.22776537979</c:v>
                </c:pt>
              </c:numCache>
            </c:numRef>
          </c:val>
          <c:smooth val="0"/>
        </c:ser>
        <c:ser>
          <c:idx val="15"/>
          <c:order val="1"/>
          <c:tx>
            <c:strRef>
              <c:f>Income!$A$93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Income!$B$93:$I$93</c:f>
              <c:numCache>
                <c:formatCode>General</c:formatCode>
                <c:ptCount val="8"/>
                <c:pt idx="4" formatCode="#,##0">
                  <c:v>31035.99249196373</c:v>
                </c:pt>
                <c:pt idx="5" formatCode="#,##0">
                  <c:v>31035.99249196373</c:v>
                </c:pt>
                <c:pt idx="6" formatCode="#,##0">
                  <c:v>31035.99249196376</c:v>
                </c:pt>
                <c:pt idx="7" formatCode="#,##0">
                  <c:v>31035.22776537979</c:v>
                </c:pt>
              </c:numCache>
            </c:numRef>
          </c:val>
          <c:smooth val="0"/>
        </c:ser>
        <c:ser>
          <c:idx val="18"/>
          <c:order val="3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12700" cmpd="sng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47999.93471418595</c:v>
                </c:pt>
                <c:pt idx="1">
                  <c:v>47999.93471418595</c:v>
                </c:pt>
                <c:pt idx="2">
                  <c:v>47999.93471418595</c:v>
                </c:pt>
                <c:pt idx="3">
                  <c:v>47999.16998760198</c:v>
                </c:pt>
              </c:numCache>
            </c:numRef>
          </c:val>
          <c:smooth val="0"/>
        </c:ser>
        <c:ser>
          <c:idx val="19"/>
          <c:order val="4"/>
          <c:tx>
            <c:strRef>
              <c:f>Income!$A$94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12700" cmpd="sng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Income!$B$94:$I$94</c:f>
              <c:numCache>
                <c:formatCode>General</c:formatCode>
                <c:ptCount val="8"/>
                <c:pt idx="4" formatCode="#,##0">
                  <c:v>47999.93471418595</c:v>
                </c:pt>
                <c:pt idx="5" formatCode="#,##0">
                  <c:v>47999.93471418595</c:v>
                </c:pt>
                <c:pt idx="6" formatCode="#,##0">
                  <c:v>47999.93471418595</c:v>
                </c:pt>
                <c:pt idx="7" formatCode="#,##0">
                  <c:v>47999.16998760198</c:v>
                </c:pt>
              </c:numCache>
            </c:numRef>
          </c:val>
          <c:smooth val="0"/>
        </c:ser>
        <c:ser>
          <c:idx val="20"/>
          <c:order val="5"/>
          <c:tx>
            <c:strRef>
              <c:f>Income!$A$91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12700" cmpd="sng">
              <a:solidFill>
                <a:srgbClr val="723F95"/>
              </a:solidFill>
              <a:prstDash val="lg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Income!$B$91:$E$91</c:f>
              <c:numCache>
                <c:formatCode>#,##0</c:formatCode>
                <c:ptCount val="4"/>
                <c:pt idx="0">
                  <c:v>79373.77471418595</c:v>
                </c:pt>
                <c:pt idx="1">
                  <c:v>79373.77471418594</c:v>
                </c:pt>
                <c:pt idx="2">
                  <c:v>79373.77471418595</c:v>
                </c:pt>
                <c:pt idx="3">
                  <c:v>79373.00998760198</c:v>
                </c:pt>
              </c:numCache>
            </c:numRef>
          </c:val>
          <c:smooth val="0"/>
        </c:ser>
        <c:ser>
          <c:idx val="21"/>
          <c:order val="6"/>
          <c:tx>
            <c:strRef>
              <c:f>Income!$A$95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12700" cmpd="sng">
              <a:solidFill>
                <a:srgbClr val="723F95"/>
              </a:solidFill>
              <a:prstDash val="lg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Income!$B$95:$I$95</c:f>
              <c:numCache>
                <c:formatCode>General</c:formatCode>
                <c:ptCount val="8"/>
                <c:pt idx="4" formatCode="#,##0">
                  <c:v>79373.77471418595</c:v>
                </c:pt>
                <c:pt idx="5" formatCode="#,##0">
                  <c:v>79373.77471418594</c:v>
                </c:pt>
                <c:pt idx="6" formatCode="#,##0">
                  <c:v>79373.77471418595</c:v>
                </c:pt>
                <c:pt idx="7" formatCode="#,##0">
                  <c:v>79373.00998760198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5698296"/>
        <c:axId val="-2085694920"/>
      </c:lineChart>
      <c:catAx>
        <c:axId val="-2085698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56949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56949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sz="800" b="0" i="0">
                    <a:latin typeface="Helvetica Light"/>
                    <a:cs typeface="Helvetica Light"/>
                  </a:rPr>
                  <a:t> Cash income today's prices, Hhs size = 'Poor')</a:t>
                </a:r>
              </a:p>
            </c:rich>
          </c:tx>
          <c:layout>
            <c:manualLayout>
              <c:xMode val="edge"/>
              <c:yMode val="edge"/>
              <c:x val="0.0165335291637768"/>
              <c:y val="0.13865907005526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569829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egendEntry>
        <c:idx val="16"/>
        <c:delete val="1"/>
      </c:legendEntry>
      <c:legendEntry>
        <c:idx val="18"/>
        <c:delete val="1"/>
      </c:legendEntry>
      <c:legendEntry>
        <c:idx val="20"/>
        <c:delete val="1"/>
      </c:legendEntry>
      <c:layout>
        <c:manualLayout>
          <c:xMode val="edge"/>
          <c:yMode val="edge"/>
          <c:x val="0.0889954170236492"/>
          <c:y val="0.792363271664213"/>
          <c:w val="0.825463261392844"/>
          <c:h val="0.19950664703497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Calibri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mpd="sng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>
                <a:latin typeface="Helvetica Light"/>
                <a:cs typeface="Helvetica Light"/>
              </a:defRPr>
            </a:pPr>
            <a:r>
              <a:rPr lang="en-US" sz="1400" b="0" i="0">
                <a:latin typeface="Helvetica Light"/>
                <a:cs typeface="Helvetica Light"/>
              </a:rPr>
              <a:t>ZACNI - Baseline Total Income</a:t>
            </a:r>
          </a:p>
        </c:rich>
      </c:tx>
      <c:layout>
        <c:manualLayout>
          <c:xMode val="edge"/>
          <c:yMode val="edge"/>
          <c:x val="0.246303382138332"/>
          <c:y val="0.0145348837209302"/>
        </c:manualLayout>
      </c:layout>
      <c:overlay val="0"/>
      <c:spPr>
        <a:solidFill>
          <a:srgbClr val="FFFFFF"/>
        </a:solidFill>
        <a:ln w="3175" cmpd="sng">
          <a:solidFill>
            <a:srgbClr val="000000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120297191111981"/>
          <c:y val="0.0347394540942928"/>
          <c:w val="0.568554963238291"/>
          <c:h val="0.909511084384142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Income!$A$72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8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Income!$B$72:$E$72</c:f>
              <c:numCache>
                <c:formatCode>#,##0</c:formatCode>
                <c:ptCount val="4"/>
                <c:pt idx="0">
                  <c:v>1637.861248379045</c:v>
                </c:pt>
                <c:pt idx="1">
                  <c:v>3310.881866934666</c:v>
                </c:pt>
                <c:pt idx="2">
                  <c:v>2890.735586591867</c:v>
                </c:pt>
                <c:pt idx="3">
                  <c:v>1825.413865737894</c:v>
                </c:pt>
              </c:numCache>
            </c:numRef>
          </c:val>
        </c:ser>
        <c:ser>
          <c:idx val="2"/>
          <c:order val="1"/>
          <c:tx>
            <c:strRef>
              <c:f>Income!$A$73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C3D69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Income!$B$73:$E$73</c:f>
              <c:numCache>
                <c:formatCode>#,##0</c:formatCode>
                <c:ptCount val="4"/>
                <c:pt idx="0">
                  <c:v>25.84010002467636</c:v>
                </c:pt>
                <c:pt idx="1">
                  <c:v>1526.206542727313</c:v>
                </c:pt>
                <c:pt idx="2">
                  <c:v>10861.04521672111</c:v>
                </c:pt>
                <c:pt idx="3">
                  <c:v>22116.43869665605</c:v>
                </c:pt>
              </c:numCache>
            </c:numRef>
          </c:val>
        </c:ser>
        <c:ser>
          <c:idx val="5"/>
          <c:order val="2"/>
          <c:tx>
            <c:strRef>
              <c:f>Income!$A$74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Income!$B$74:$E$74</c:f>
              <c:numCache>
                <c:formatCode>#,##0</c:formatCode>
                <c:ptCount val="4"/>
                <c:pt idx="0">
                  <c:v>600.961745113332</c:v>
                </c:pt>
                <c:pt idx="1">
                  <c:v>1095.569099432972</c:v>
                </c:pt>
                <c:pt idx="2">
                  <c:v>1916.634027010209</c:v>
                </c:pt>
                <c:pt idx="3">
                  <c:v>2192.285756553512</c:v>
                </c:pt>
              </c:numCache>
            </c:numRef>
          </c:val>
        </c:ser>
        <c:ser>
          <c:idx val="7"/>
          <c:order val="3"/>
          <c:tx>
            <c:strRef>
              <c:f>Income!$A$76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Income!$B$76:$E$76</c:f>
              <c:numCache>
                <c:formatCode>#,##0</c:formatCode>
                <c:ptCount val="4"/>
                <c:pt idx="0">
                  <c:v>3045.440360051142</c:v>
                </c:pt>
                <c:pt idx="1">
                  <c:v>10048.51762705629</c:v>
                </c:pt>
                <c:pt idx="2">
                  <c:v>21797.09117727802</c:v>
                </c:pt>
                <c:pt idx="3">
                  <c:v>31324.70731659016</c:v>
                </c:pt>
              </c:numCache>
            </c:numRef>
          </c:val>
        </c:ser>
        <c:ser>
          <c:idx val="8"/>
          <c:order val="4"/>
          <c:tx>
            <c:strRef>
              <c:f>Income!$A$77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Income!$B$77:$E$77</c:f>
              <c:numCache>
                <c:formatCode>#,##0</c:formatCode>
                <c:ptCount val="4"/>
                <c:pt idx="0">
                  <c:v>0.0</c:v>
                </c:pt>
                <c:pt idx="1">
                  <c:v>121.2080495528232</c:v>
                </c:pt>
                <c:pt idx="2">
                  <c:v>85.1170584985181</c:v>
                </c:pt>
                <c:pt idx="3">
                  <c:v>0.0</c:v>
                </c:pt>
              </c:numCache>
            </c:numRef>
          </c:val>
        </c:ser>
        <c:ser>
          <c:idx val="9"/>
          <c:order val="5"/>
          <c:tx>
            <c:strRef>
              <c:f>Income!$A$78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Income!$B$78:$E$78</c:f>
              <c:numCache>
                <c:formatCode>#,##0</c:formatCode>
                <c:ptCount val="4"/>
                <c:pt idx="0">
                  <c:v>5317.155575988115</c:v>
                </c:pt>
                <c:pt idx="1">
                  <c:v>2477.368319826115</c:v>
                </c:pt>
                <c:pt idx="2">
                  <c:v>59625.59134945731</c:v>
                </c:pt>
                <c:pt idx="3">
                  <c:v>0.0</c:v>
                </c:pt>
              </c:numCache>
            </c:numRef>
          </c:val>
        </c:ser>
        <c:ser>
          <c:idx val="11"/>
          <c:order val="6"/>
          <c:tx>
            <c:strRef>
              <c:f>Income!$A$79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>
                <a:alpha val="97255"/>
              </a:srgb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Income!$B$79:$E$79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28209.65477523853</c:v>
                </c:pt>
                <c:pt idx="3">
                  <c:v>154408.6582878384</c:v>
                </c:pt>
              </c:numCache>
            </c:numRef>
          </c:val>
        </c:ser>
        <c:ser>
          <c:idx val="0"/>
          <c:order val="7"/>
          <c:tx>
            <c:strRef>
              <c:f>Income!$A$80</c:f>
              <c:strCache>
                <c:ptCount val="1"/>
                <c:pt idx="0">
                  <c:v>Labour - public works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Income!$B$80:$E$80</c:f>
              <c:numCache>
                <c:formatCode>#,##0</c:formatCode>
                <c:ptCount val="4"/>
                <c:pt idx="0">
                  <c:v>5020.36229050855</c:v>
                </c:pt>
                <c:pt idx="1">
                  <c:v>9071.105589614957</c:v>
                </c:pt>
                <c:pt idx="2">
                  <c:v>1171.886622434302</c:v>
                </c:pt>
                <c:pt idx="3">
                  <c:v>0.0</c:v>
                </c:pt>
              </c:numCache>
            </c:numRef>
          </c:val>
        </c:ser>
        <c:ser>
          <c:idx val="15"/>
          <c:order val="8"/>
          <c:tx>
            <c:strRef>
              <c:f>Income!$A$81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D3BBD8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Income!$B$81:$E$81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9"/>
          <c:tx>
            <c:strRef>
              <c:f>Income!$A$82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Income!$B$82:$E$82</c:f>
              <c:numCache>
                <c:formatCode>#,##0</c:formatCode>
                <c:ptCount val="4"/>
                <c:pt idx="0">
                  <c:v>1575.015620551702</c:v>
                </c:pt>
                <c:pt idx="1">
                  <c:v>1148.448889985616</c:v>
                </c:pt>
                <c:pt idx="2">
                  <c:v>0.0</c:v>
                </c:pt>
                <c:pt idx="3">
                  <c:v>60961.88831309465</c:v>
                </c:pt>
              </c:numCache>
            </c:numRef>
          </c:val>
        </c:ser>
        <c:ser>
          <c:idx val="4"/>
          <c:order val="10"/>
          <c:tx>
            <c:strRef>
              <c:f>Income!$A$83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Income!$B$83:$E$83</c:f>
              <c:numCache>
                <c:formatCode>#,##0</c:formatCode>
                <c:ptCount val="4"/>
                <c:pt idx="0">
                  <c:v>2542.666846672839</c:v>
                </c:pt>
                <c:pt idx="1">
                  <c:v>2592.638932611427</c:v>
                </c:pt>
                <c:pt idx="2">
                  <c:v>2307.402851627442</c:v>
                </c:pt>
                <c:pt idx="3">
                  <c:v>403.9561828804129</c:v>
                </c:pt>
              </c:numCache>
            </c:numRef>
          </c:val>
        </c:ser>
        <c:ser>
          <c:idx val="6"/>
          <c:order val="11"/>
          <c:tx>
            <c:strRef>
              <c:f>Income!$A$84</c:f>
              <c:strCache>
                <c:ptCount val="1"/>
                <c:pt idx="0">
                  <c:v>Food transfer - gifts</c:v>
                </c:pt>
              </c:strCache>
            </c:strRef>
          </c:tx>
          <c:spPr>
            <a:solidFill>
              <a:srgbClr val="B9CDE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Income!$B$84:$E$84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Income!$A$85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Income!$B$85:$E$85</c:f>
              <c:numCache>
                <c:formatCode>#,##0</c:formatCode>
                <c:ptCount val="4"/>
                <c:pt idx="0">
                  <c:v>23585.85891776174</c:v>
                </c:pt>
                <c:pt idx="1">
                  <c:v>31271.44295367262</c:v>
                </c:pt>
                <c:pt idx="2">
                  <c:v>9343.217663344205</c:v>
                </c:pt>
                <c:pt idx="3">
                  <c:v>11264.23818657181</c:v>
                </c:pt>
              </c:numCache>
            </c:numRef>
          </c:val>
        </c:ser>
        <c:ser>
          <c:idx val="12"/>
          <c:order val="13"/>
          <c:tx>
            <c:strRef>
              <c:f>Income!$A$86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Income!$B$86:$E$86</c:f>
              <c:numCache>
                <c:formatCode>#,##0</c:formatCode>
                <c:ptCount val="4"/>
                <c:pt idx="0">
                  <c:v>0.0</c:v>
                </c:pt>
                <c:pt idx="1">
                  <c:v>348.6362701742048</c:v>
                </c:pt>
                <c:pt idx="2">
                  <c:v>6257.874563799174</c:v>
                </c:pt>
                <c:pt idx="3">
                  <c:v>22950.35795316505</c:v>
                </c:pt>
              </c:numCache>
            </c:numRef>
          </c:val>
        </c:ser>
        <c:ser>
          <c:idx val="17"/>
          <c:order val="14"/>
          <c:tx>
            <c:strRef>
              <c:f>Income!$A$87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48A54"/>
            </a:solid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Income!$B$87:$E$87</c:f>
              <c:numCache>
                <c:formatCode>#,##0</c:formatCode>
                <c:ptCount val="4"/>
                <c:pt idx="0">
                  <c:v>0.0</c:v>
                </c:pt>
                <c:pt idx="1">
                  <c:v>943.778891377465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86318088"/>
        <c:axId val="-2086321336"/>
      </c:barChart>
      <c:lineChart>
        <c:grouping val="standard"/>
        <c:varyColors val="0"/>
        <c:ser>
          <c:idx val="13"/>
          <c:order val="15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905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31035.99249196373</c:v>
                </c:pt>
                <c:pt idx="1">
                  <c:v>31035.99249196373</c:v>
                </c:pt>
                <c:pt idx="2">
                  <c:v>31035.99249196376</c:v>
                </c:pt>
                <c:pt idx="3">
                  <c:v>31035.22776537979</c:v>
                </c:pt>
              </c:numCache>
            </c:numRef>
          </c:val>
          <c:smooth val="0"/>
        </c:ser>
        <c:ser>
          <c:idx val="14"/>
          <c:order val="16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22225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47999.93471418595</c:v>
                </c:pt>
                <c:pt idx="1">
                  <c:v>47999.93471418595</c:v>
                </c:pt>
                <c:pt idx="2">
                  <c:v>47999.93471418595</c:v>
                </c:pt>
                <c:pt idx="3">
                  <c:v>47999.16998760198</c:v>
                </c:pt>
              </c:numCache>
            </c:numRef>
          </c:val>
          <c:smooth val="0"/>
        </c:ser>
        <c:ser>
          <c:idx val="16"/>
          <c:order val="17"/>
          <c:tx>
            <c:strRef>
              <c:f>Income!$A$91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22225">
              <a:solidFill>
                <a:srgbClr val="723F95"/>
              </a:solidFill>
              <a:prstDash val="dash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Income!$B$91:$E$91</c:f>
              <c:numCache>
                <c:formatCode>#,##0</c:formatCode>
                <c:ptCount val="4"/>
                <c:pt idx="0">
                  <c:v>79373.77471418595</c:v>
                </c:pt>
                <c:pt idx="1">
                  <c:v>79373.77471418594</c:v>
                </c:pt>
                <c:pt idx="2">
                  <c:v>79373.77471418595</c:v>
                </c:pt>
                <c:pt idx="3">
                  <c:v>79373.00998760198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6318088"/>
        <c:axId val="-2086321336"/>
      </c:lineChart>
      <c:catAx>
        <c:axId val="-2086318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63213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6321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sz="800" b="0" i="0">
                    <a:latin typeface="Helvetica Light"/>
                    <a:cs typeface="Helvetica Light"/>
                  </a:rPr>
                  <a:t> Annual total income (ZAR)</a:t>
                </a:r>
              </a:p>
            </c:rich>
          </c:tx>
          <c:layout>
            <c:manualLayout>
              <c:xMode val="edge"/>
              <c:yMode val="edge"/>
              <c:x val="0.0113379412094873"/>
              <c:y val="0.28500050152966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6350" cmpd="sng">
            <a:solidFill>
              <a:schemeClr val="tx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631808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86354859919496"/>
          <c:y val="0.0382165605095541"/>
          <c:w val="0.278513719389964"/>
          <c:h val="0.780701794543124"/>
        </c:manualLayout>
      </c:layout>
      <c:overlay val="0"/>
      <c:spPr>
        <a:noFill/>
        <a:ln w="3175" cmpd="sng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Calibri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mpd="sng">
      <a:solidFill>
        <a:schemeClr val="tx1"/>
      </a:solidFill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197836166925"/>
          <c:y val="0.0347394540942928"/>
          <c:w val="0.727975270479137"/>
          <c:h val="0.7344913151364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Percentiles!$A$3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Percentiles!$P$3:$Y$3</c:f>
              <c:numCache>
                <c:formatCode>0</c:formatCode>
                <c:ptCount val="10"/>
                <c:pt idx="0">
                  <c:v>1637.861248379045</c:v>
                </c:pt>
                <c:pt idx="1">
                  <c:v>1637.861248379045</c:v>
                </c:pt>
                <c:pt idx="2">
                  <c:v>1637.861248379045</c:v>
                </c:pt>
                <c:pt idx="3">
                  <c:v>1637.861248379045</c:v>
                </c:pt>
                <c:pt idx="4">
                  <c:v>1637.861248379045</c:v>
                </c:pt>
                <c:pt idx="5">
                  <c:v>1637.861248379045</c:v>
                </c:pt>
                <c:pt idx="6">
                  <c:v>1637.861248379045</c:v>
                </c:pt>
                <c:pt idx="7">
                  <c:v>1637.861248379045</c:v>
                </c:pt>
                <c:pt idx="8">
                  <c:v>1637.861248379045</c:v>
                </c:pt>
                <c:pt idx="9">
                  <c:v>1637.861248379045</c:v>
                </c:pt>
              </c:numCache>
            </c:numRef>
          </c:val>
        </c:ser>
        <c:ser>
          <c:idx val="2"/>
          <c:order val="1"/>
          <c:tx>
            <c:strRef>
              <c:f>Percentiles!$A$4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D7E4BD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Percentiles!$P$4:$Y$4</c:f>
              <c:numCache>
                <c:formatCode>0</c:formatCode>
                <c:ptCount val="10"/>
                <c:pt idx="0">
                  <c:v>25.84010002467636</c:v>
                </c:pt>
                <c:pt idx="1">
                  <c:v>25.84010002467636</c:v>
                </c:pt>
                <c:pt idx="2">
                  <c:v>25.84010002467636</c:v>
                </c:pt>
                <c:pt idx="3">
                  <c:v>25.84010002467636</c:v>
                </c:pt>
                <c:pt idx="4">
                  <c:v>25.84010002467636</c:v>
                </c:pt>
                <c:pt idx="5">
                  <c:v>25.84010002467636</c:v>
                </c:pt>
                <c:pt idx="6">
                  <c:v>25.84010002467636</c:v>
                </c:pt>
                <c:pt idx="7">
                  <c:v>25.84010002467636</c:v>
                </c:pt>
                <c:pt idx="8">
                  <c:v>25.84010002467636</c:v>
                </c:pt>
                <c:pt idx="9">
                  <c:v>25.84010002467636</c:v>
                </c:pt>
              </c:numCache>
            </c:numRef>
          </c:val>
        </c:ser>
        <c:ser>
          <c:idx val="5"/>
          <c:order val="2"/>
          <c:tx>
            <c:strRef>
              <c:f>Percentiles!$A$5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Percentiles!$P$5:$Y$5</c:f>
              <c:numCache>
                <c:formatCode>0</c:formatCode>
                <c:ptCount val="10"/>
                <c:pt idx="0">
                  <c:v>600.961745113332</c:v>
                </c:pt>
                <c:pt idx="1">
                  <c:v>600.961745113332</c:v>
                </c:pt>
                <c:pt idx="2">
                  <c:v>600.961745113332</c:v>
                </c:pt>
                <c:pt idx="3">
                  <c:v>600.961745113332</c:v>
                </c:pt>
                <c:pt idx="4">
                  <c:v>600.961745113332</c:v>
                </c:pt>
                <c:pt idx="5">
                  <c:v>600.961745113332</c:v>
                </c:pt>
                <c:pt idx="6">
                  <c:v>600.961745113332</c:v>
                </c:pt>
                <c:pt idx="7">
                  <c:v>600.961745113332</c:v>
                </c:pt>
                <c:pt idx="8">
                  <c:v>600.961745113332</c:v>
                </c:pt>
                <c:pt idx="9">
                  <c:v>600.961745113332</c:v>
                </c:pt>
              </c:numCache>
            </c:numRef>
          </c:val>
        </c:ser>
        <c:ser>
          <c:idx val="6"/>
          <c:order val="3"/>
          <c:tx>
            <c:strRef>
              <c:f>Percentiles!$A$6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E6B9B8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Percentiles!$P$6:$Y$6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7"/>
          <c:order val="4"/>
          <c:tx>
            <c:strRef>
              <c:f>Percentiles!$A$7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CC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Percentiles!$P$7:$Y$7</c:f>
              <c:numCache>
                <c:formatCode>0</c:formatCode>
                <c:ptCount val="10"/>
                <c:pt idx="0">
                  <c:v>3045.440360051142</c:v>
                </c:pt>
                <c:pt idx="1">
                  <c:v>3045.440360051142</c:v>
                </c:pt>
                <c:pt idx="2">
                  <c:v>3045.440360051142</c:v>
                </c:pt>
                <c:pt idx="3">
                  <c:v>3045.440360051142</c:v>
                </c:pt>
                <c:pt idx="4">
                  <c:v>3045.440360051142</c:v>
                </c:pt>
                <c:pt idx="5">
                  <c:v>3045.440360051142</c:v>
                </c:pt>
                <c:pt idx="6">
                  <c:v>3045.440360051142</c:v>
                </c:pt>
                <c:pt idx="7">
                  <c:v>3045.440360051142</c:v>
                </c:pt>
                <c:pt idx="8">
                  <c:v>3045.440360051142</c:v>
                </c:pt>
                <c:pt idx="9">
                  <c:v>3045.440360051142</c:v>
                </c:pt>
              </c:numCache>
            </c:numRef>
          </c:val>
        </c:ser>
        <c:ser>
          <c:idx val="8"/>
          <c:order val="5"/>
          <c:tx>
            <c:strRef>
              <c:f>Percentiles!$A$8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9900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Percentiles!$F$8:$O$8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9"/>
          <c:order val="6"/>
          <c:tx>
            <c:strRef>
              <c:f>Percentiles!$A$9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FF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Percentiles!$F$9:$O$9</c:f>
              <c:numCache>
                <c:formatCode>0</c:formatCode>
                <c:ptCount val="10"/>
                <c:pt idx="0">
                  <c:v>5317.155575988115</c:v>
                </c:pt>
                <c:pt idx="1">
                  <c:v>5317.155575988115</c:v>
                </c:pt>
                <c:pt idx="2">
                  <c:v>5317.155575988115</c:v>
                </c:pt>
                <c:pt idx="3">
                  <c:v>5317.155575988115</c:v>
                </c:pt>
                <c:pt idx="4">
                  <c:v>5317.155575988115</c:v>
                </c:pt>
                <c:pt idx="5">
                  <c:v>5317.155575988115</c:v>
                </c:pt>
                <c:pt idx="6">
                  <c:v>5317.155575988115</c:v>
                </c:pt>
                <c:pt idx="7">
                  <c:v>5317.155575988115</c:v>
                </c:pt>
                <c:pt idx="8">
                  <c:v>5317.155575988115</c:v>
                </c:pt>
                <c:pt idx="9">
                  <c:v>5317.155575988115</c:v>
                </c:pt>
              </c:numCache>
            </c:numRef>
          </c:val>
        </c:ser>
        <c:ser>
          <c:idx val="11"/>
          <c:order val="7"/>
          <c:tx>
            <c:strRef>
              <c:f>Percentiles!$A$10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FFC000">
                <a:alpha val="98431"/>
              </a:srgb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Percentiles!$F$10:$O$10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8"/>
          <c:tx>
            <c:strRef>
              <c:f>Percentiles!$A$11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A6A6A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Percentiles!$F$11:$O$11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3"/>
          <c:order val="9"/>
          <c:tx>
            <c:strRef>
              <c:f>Percentiles!$A$12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B7DEE8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Percentiles!$F$12:$O$12</c:f>
              <c:numCache>
                <c:formatCode>0</c:formatCode>
                <c:ptCount val="10"/>
                <c:pt idx="0">
                  <c:v>1575.015620551702</c:v>
                </c:pt>
                <c:pt idx="1">
                  <c:v>1575.015620551702</c:v>
                </c:pt>
                <c:pt idx="2">
                  <c:v>1575.015620551702</c:v>
                </c:pt>
                <c:pt idx="3">
                  <c:v>1575.015620551702</c:v>
                </c:pt>
                <c:pt idx="4">
                  <c:v>1575.015620551702</c:v>
                </c:pt>
                <c:pt idx="5">
                  <c:v>1575.015620551702</c:v>
                </c:pt>
                <c:pt idx="6">
                  <c:v>1575.015620551702</c:v>
                </c:pt>
                <c:pt idx="7">
                  <c:v>1575.015620551702</c:v>
                </c:pt>
                <c:pt idx="8">
                  <c:v>1575.015620551702</c:v>
                </c:pt>
                <c:pt idx="9">
                  <c:v>1575.015620551702</c:v>
                </c:pt>
              </c:numCache>
            </c:numRef>
          </c:val>
        </c:ser>
        <c:ser>
          <c:idx val="4"/>
          <c:order val="10"/>
          <c:tx>
            <c:strRef>
              <c:f>Percentiles!$A$13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3C8DA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Percentiles!$F$13:$O$13</c:f>
              <c:numCache>
                <c:formatCode>0</c:formatCode>
                <c:ptCount val="10"/>
                <c:pt idx="0">
                  <c:v>2542.666846672839</c:v>
                </c:pt>
                <c:pt idx="1">
                  <c:v>2542.666846672839</c:v>
                </c:pt>
                <c:pt idx="2">
                  <c:v>2542.666846672839</c:v>
                </c:pt>
                <c:pt idx="3">
                  <c:v>2542.666846672839</c:v>
                </c:pt>
                <c:pt idx="4">
                  <c:v>2542.666846672839</c:v>
                </c:pt>
                <c:pt idx="5">
                  <c:v>2542.666846672839</c:v>
                </c:pt>
                <c:pt idx="6">
                  <c:v>2542.666846672839</c:v>
                </c:pt>
                <c:pt idx="7">
                  <c:v>2542.666846672839</c:v>
                </c:pt>
                <c:pt idx="8">
                  <c:v>2542.666846672839</c:v>
                </c:pt>
                <c:pt idx="9">
                  <c:v>2542.666846672839</c:v>
                </c:pt>
              </c:numCache>
            </c:numRef>
          </c:val>
        </c:ser>
        <c:ser>
          <c:idx val="10"/>
          <c:order val="11"/>
          <c:tx>
            <c:strRef>
              <c:f>Percentiles!$A$15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4BACC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Percentiles!$F$15:$O$15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86410792"/>
        <c:axId val="-2086414088"/>
      </c:barChart>
      <c:lineChart>
        <c:grouping val="standard"/>
        <c:varyColors val="0"/>
        <c:ser>
          <c:idx val="13"/>
          <c:order val="12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381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31035.99249196373</c:v>
                </c:pt>
                <c:pt idx="1">
                  <c:v>31035.99249196373</c:v>
                </c:pt>
                <c:pt idx="2">
                  <c:v>31035.99249196376</c:v>
                </c:pt>
                <c:pt idx="3">
                  <c:v>31035.22776537979</c:v>
                </c:pt>
              </c:numCache>
            </c:numRef>
          </c:val>
          <c:smooth val="0"/>
        </c:ser>
        <c:ser>
          <c:idx val="14"/>
          <c:order val="13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38100">
              <a:solidFill>
                <a:srgbClr val="008080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47999.93471418595</c:v>
                </c:pt>
                <c:pt idx="1">
                  <c:v>47999.93471418595</c:v>
                </c:pt>
                <c:pt idx="2">
                  <c:v>47999.93471418595</c:v>
                </c:pt>
                <c:pt idx="3">
                  <c:v>47999.16998760198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6410792"/>
        <c:axId val="-2086414088"/>
      </c:lineChart>
      <c:catAx>
        <c:axId val="-2086410792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6414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6414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 Cash income (nominal)</a:t>
                </a:r>
              </a:p>
            </c:rich>
          </c:tx>
          <c:layout>
            <c:manualLayout>
              <c:xMode val="edge"/>
              <c:yMode val="edge"/>
              <c:x val="0.0113379412094873"/>
              <c:y val="0.28500064967126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641079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88798370672098"/>
          <c:y val="0.821780878875289"/>
          <c:w val="0.804481293198839"/>
          <c:h val="0.16501624178165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11018363939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chemeClr val="tx1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Poor!$K$70:$M$70</c:f>
              <c:numCache>
                <c:formatCode>0%</c:formatCode>
                <c:ptCount val="3"/>
                <c:pt idx="0">
                  <c:v>0.314645094359521</c:v>
                </c:pt>
                <c:pt idx="1">
                  <c:v>0.44050313210333</c:v>
                </c:pt>
                <c:pt idx="2">
                  <c:v>0.44050313210333</c:v>
                </c:pt>
              </c:numCache>
            </c:numRef>
          </c:val>
        </c:ser>
        <c:ser>
          <c:idx val="2"/>
          <c:order val="1"/>
          <c:tx>
            <c:strRef>
              <c:f>Poor!$A$71</c:f>
              <c:strCache>
                <c:ptCount val="1"/>
                <c:pt idx="0">
                  <c:v>lbpl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Poor!$K$71:$M$71</c:f>
              <c:numCache>
                <c:formatCode>0%</c:formatCode>
                <c:ptCount val="3"/>
                <c:pt idx="0">
                  <c:v>0.311243255465989</c:v>
                </c:pt>
                <c:pt idx="1">
                  <c:v>0.367267041449867</c:v>
                </c:pt>
                <c:pt idx="2">
                  <c:v>0.367267041449867</c:v>
                </c:pt>
              </c:numCache>
            </c:numRef>
          </c:val>
        </c:ser>
        <c:ser>
          <c:idx val="1"/>
          <c:order val="2"/>
          <c:tx>
            <c:strRef>
              <c:f>Poor!$A$72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Poor!$K$72:$M$72</c:f>
              <c:numCache>
                <c:formatCode>0%</c:formatCode>
                <c:ptCount val="3"/>
                <c:pt idx="0">
                  <c:v>0.575626583146303</c:v>
                </c:pt>
                <c:pt idx="1">
                  <c:v>0.0605042222717208</c:v>
                </c:pt>
                <c:pt idx="2">
                  <c:v>0.0476581511447174</c:v>
                </c:pt>
              </c:numCache>
            </c:numRef>
          </c:val>
        </c:ser>
        <c:ser>
          <c:idx val="3"/>
          <c:order val="3"/>
          <c:tx>
            <c:strRef>
              <c:f>Poor!$A$73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Poor!$K$73:$M$73</c:f>
              <c:numCache>
                <c:formatCode>0%</c:formatCode>
                <c:ptCount val="3"/>
                <c:pt idx="0">
                  <c:v>0.0719569312039489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4"/>
          <c:tx>
            <c:strRef>
              <c:f>Poor!$A$75</c:f>
              <c:strCache>
                <c:ptCount val="1"/>
                <c:pt idx="0">
                  <c:v>other</c:v>
                </c:pt>
              </c:strCache>
            </c:strRef>
          </c:tx>
          <c:invertIfNegative val="0"/>
          <c:val>
            <c:numRef>
              <c:f>Poor!$K$75:$M$75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Poor!$K$74:$M$74</c:f>
              <c:numCache>
                <c:formatCode>0%</c:formatCode>
                <c:ptCount val="3"/>
                <c:pt idx="0">
                  <c:v>0.176941783451697</c:v>
                </c:pt>
                <c:pt idx="1">
                  <c:v>0.148876193412213</c:v>
                </c:pt>
                <c:pt idx="2">
                  <c:v>0.158618812083337</c:v>
                </c:pt>
              </c:numCache>
            </c:numRef>
          </c:val>
        </c:ser>
        <c:ser>
          <c:idx val="4"/>
          <c:order val="6"/>
          <c:tx>
            <c:strRef>
              <c:f>Poor!$A$77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Poor!$K$77:$M$77</c:f>
              <c:numCache>
                <c:formatCode>0%</c:formatCode>
                <c:ptCount val="3"/>
                <c:pt idx="1">
                  <c:v>-0.306762819178147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6478008"/>
        <c:axId val="-2086481368"/>
      </c:barChart>
      <c:catAx>
        <c:axId val="-2086478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648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64813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5709520719709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647800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82955395777076"/>
          <c:w val="0.729119638826185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Middle!$K$70:$M$70</c:f>
              <c:numCache>
                <c:formatCode>0%</c:formatCode>
                <c:ptCount val="3"/>
                <c:pt idx="0">
                  <c:v>0.13027964522411</c:v>
                </c:pt>
                <c:pt idx="1">
                  <c:v>0.182391503313754</c:v>
                </c:pt>
                <c:pt idx="2">
                  <c:v>0.182391503313754</c:v>
                </c:pt>
              </c:numCache>
            </c:numRef>
          </c:val>
        </c:ser>
        <c:ser>
          <c:idx val="2"/>
          <c:order val="1"/>
          <c:tx>
            <c:strRef>
              <c:f>Middle!$A$74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Middle!$K$74:$M$74</c:f>
              <c:numCache>
                <c:formatCode>0%</c:formatCode>
                <c:ptCount val="3"/>
                <c:pt idx="0">
                  <c:v>0.0779410803553598</c:v>
                </c:pt>
                <c:pt idx="1">
                  <c:v>0.0373399277760456</c:v>
                </c:pt>
                <c:pt idx="2">
                  <c:v>0.0597159972376516</c:v>
                </c:pt>
              </c:numCache>
            </c:numRef>
          </c:val>
        </c:ser>
        <c:ser>
          <c:idx val="1"/>
          <c:order val="2"/>
          <c:tx>
            <c:strRef>
              <c:f>Middle!$A$73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Middle!$K$73:$M$73</c:f>
              <c:numCache>
                <c:formatCode>0%</c:formatCode>
                <c:ptCount val="3"/>
                <c:pt idx="0">
                  <c:v>0.105973732378975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3"/>
          <c:tx>
            <c:strRef>
              <c:f>Middle!$A$72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chemeClr val="tx1"/>
              </a:solidFill>
            </a:ln>
          </c:spPr>
          <c:invertIfNegative val="0"/>
          <c:val>
            <c:numRef>
              <c:f>Middle!$K$72:$M$72</c:f>
              <c:numCache>
                <c:formatCode>0%</c:formatCode>
                <c:ptCount val="3"/>
                <c:pt idx="0">
                  <c:v>0.238339730630532</c:v>
                </c:pt>
                <c:pt idx="1">
                  <c:v>0.227256847741294</c:v>
                </c:pt>
                <c:pt idx="2">
                  <c:v>0.203262857956898</c:v>
                </c:pt>
              </c:numCache>
            </c:numRef>
          </c:val>
        </c:ser>
        <c:ser>
          <c:idx val="3"/>
          <c:order val="4"/>
          <c:tx>
            <c:strRef>
              <c:f>Middle!$A$75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Middle!$K$75:$M$75</c:f>
              <c:numCache>
                <c:formatCode>0%</c:formatCode>
                <c:ptCount val="3"/>
                <c:pt idx="0">
                  <c:v>0.318594706704798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5"/>
          <c:tx>
            <c:strRef>
              <c:f>Middle!$A$74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Middle!$K$74:$M$74</c:f>
              <c:numCache>
                <c:formatCode>0%</c:formatCode>
                <c:ptCount val="3"/>
                <c:pt idx="0">
                  <c:v>0.0779410803553598</c:v>
                </c:pt>
                <c:pt idx="1">
                  <c:v>0.0373399277760456</c:v>
                </c:pt>
                <c:pt idx="2">
                  <c:v>0.0597159972376516</c:v>
                </c:pt>
              </c:numCache>
            </c:numRef>
          </c:val>
        </c:ser>
        <c:ser>
          <c:idx val="4"/>
          <c:order val="6"/>
          <c:tx>
            <c:strRef>
              <c:f>Middle!$A$77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Middle!$K$77:$M$77</c:f>
              <c:numCache>
                <c:formatCode>0%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6540376"/>
        <c:axId val="-2086543800"/>
      </c:barChart>
      <c:catAx>
        <c:axId val="-2086540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6543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6543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2864786560434"/>
              <c:y val="0.25819037620297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654037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2150419250691"/>
          <c:y val="0.756667143879742"/>
          <c:w val="0.799532436763988"/>
          <c:h val="0.21378740157480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00" b="0" i="0" u="none" strike="noStrike" baseline="0">
              <a:solidFill>
                <a:srgbClr val="000000"/>
              </a:solidFill>
              <a:latin typeface="Helvetica Light"/>
              <a:ea typeface="Arial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5271041119860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Rich!$K$70:$M$70</c:f>
              <c:numCache>
                <c:formatCode>0%</c:formatCode>
                <c:ptCount val="3"/>
                <c:pt idx="0">
                  <c:v>0.0590150593711873</c:v>
                </c:pt>
                <c:pt idx="1">
                  <c:v>0.0826210831196621</c:v>
                </c:pt>
                <c:pt idx="2">
                  <c:v>0.0826210831196622</c:v>
                </c:pt>
              </c:numCache>
            </c:numRef>
          </c:val>
        </c:ser>
        <c:ser>
          <c:idx val="2"/>
          <c:order val="1"/>
          <c:tx>
            <c:strRef>
              <c:f>Rich!$A$74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Rich!$K$74:$M$74</c:f>
              <c:numCache>
                <c:formatCode>0%</c:formatCode>
                <c:ptCount val="3"/>
                <c:pt idx="0">
                  <c:v>0.0381626505351837</c:v>
                </c:pt>
                <c:pt idx="1">
                  <c:v>0.0226435551634661</c:v>
                </c:pt>
                <c:pt idx="2">
                  <c:v>0.0246604267446356</c:v>
                </c:pt>
              </c:numCache>
            </c:numRef>
          </c:val>
        </c:ser>
        <c:ser>
          <c:idx val="1"/>
          <c:order val="2"/>
          <c:tx>
            <c:strRef>
              <c:f>Rich!$A$73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Rich!$K$73:$M$73</c:f>
              <c:numCache>
                <c:formatCode>0%</c:formatCode>
                <c:ptCount val="3"/>
                <c:pt idx="0">
                  <c:v>0.0766595353672232</c:v>
                </c:pt>
                <c:pt idx="1">
                  <c:v>0.0904582517333234</c:v>
                </c:pt>
                <c:pt idx="2">
                  <c:v>0.0904582517333234</c:v>
                </c:pt>
              </c:numCache>
            </c:numRef>
          </c:val>
        </c:ser>
        <c:ser>
          <c:idx val="3"/>
          <c:order val="3"/>
          <c:tx>
            <c:strRef>
              <c:f>Rich!$A$75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Rich!$K$75:$M$75</c:f>
              <c:numCache>
                <c:formatCode>0%</c:formatCode>
                <c:ptCount val="3"/>
                <c:pt idx="0">
                  <c:v>0.659820812269753</c:v>
                </c:pt>
                <c:pt idx="1">
                  <c:v>0.248941864141926</c:v>
                </c:pt>
                <c:pt idx="2">
                  <c:v>0.246938883432856</c:v>
                </c:pt>
              </c:numCache>
            </c:numRef>
          </c:val>
        </c:ser>
        <c:ser>
          <c:idx val="5"/>
          <c:order val="4"/>
          <c:tx>
            <c:strRef>
              <c:f>Rich!$A$74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Rich!$K$74:$M$74</c:f>
              <c:numCache>
                <c:formatCode>0%</c:formatCode>
                <c:ptCount val="3"/>
                <c:pt idx="0">
                  <c:v>0.0381626505351837</c:v>
                </c:pt>
                <c:pt idx="1">
                  <c:v>0.0226435551634661</c:v>
                </c:pt>
                <c:pt idx="2">
                  <c:v>0.0246604267446356</c:v>
                </c:pt>
              </c:numCache>
            </c:numRef>
          </c:val>
        </c:ser>
        <c:ser>
          <c:idx val="4"/>
          <c:order val="5"/>
          <c:tx>
            <c:strRef>
              <c:f>Rich!$A$77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Rich!$K$77:$M$77</c:f>
              <c:numCache>
                <c:formatCode>0%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6596072"/>
        <c:axId val="-2086599592"/>
      </c:barChart>
      <c:catAx>
        <c:axId val="-2086596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6599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65995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57618066588683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659607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V.Poor!$K$70:$M$70</c:f>
              <c:numCache>
                <c:formatCode>0%</c:formatCode>
                <c:ptCount val="3"/>
                <c:pt idx="0">
                  <c:v>0.464561821594687</c:v>
                </c:pt>
                <c:pt idx="1">
                  <c:v>0.650386550232561</c:v>
                </c:pt>
                <c:pt idx="2">
                  <c:v>0.650386550232561</c:v>
                </c:pt>
              </c:numCache>
            </c:numRef>
          </c:val>
        </c:ser>
        <c:ser>
          <c:idx val="2"/>
          <c:order val="1"/>
          <c:tx>
            <c:strRef>
              <c:f>V.Poor!$A$71</c:f>
              <c:strCache>
                <c:ptCount val="1"/>
                <c:pt idx="0">
                  <c:v>lbpl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V.Poor!$K$71:$M$71</c:f>
              <c:numCache>
                <c:formatCode>0%</c:formatCode>
                <c:ptCount val="3"/>
                <c:pt idx="0">
                  <c:v>0.459539132534913</c:v>
                </c:pt>
                <c:pt idx="1">
                  <c:v>0.387568634526421</c:v>
                </c:pt>
                <c:pt idx="2">
                  <c:v>0.368664402331049</c:v>
                </c:pt>
              </c:numCache>
            </c:numRef>
          </c:val>
        </c:ser>
        <c:ser>
          <c:idx val="5"/>
          <c:order val="2"/>
          <c:tx>
            <c:strRef>
              <c:f>V.Poor!$A$72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12700" cmpd="sng">
              <a:solidFill>
                <a:schemeClr val="tx1"/>
              </a:solidFill>
            </a:ln>
          </c:spPr>
          <c:invertIfNegative val="0"/>
          <c:val>
            <c:numRef>
              <c:f>V.Poor!$K$72:$M$72</c:f>
              <c:numCache>
                <c:formatCode>0%</c:formatCode>
                <c:ptCount val="3"/>
                <c:pt idx="0">
                  <c:v>0.849891318245749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3"/>
          <c:tx>
            <c:strRef>
              <c:f>V.Poor!$A$73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V.Poor!$K$73:$M$73</c:f>
              <c:numCache>
                <c:formatCode>0%</c:formatCode>
                <c:ptCount val="3"/>
                <c:pt idx="0">
                  <c:v>0.078666410944892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4"/>
          <c:tx>
            <c:strRef>
              <c:f>V.Poor!$A$74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V.Poor!$K$74:$M$74</c:f>
              <c:numCache>
                <c:formatCode>0%</c:formatCode>
                <c:ptCount val="3"/>
                <c:pt idx="0">
                  <c:v>0.273030038697663</c:v>
                </c:pt>
                <c:pt idx="1">
                  <c:v>0.197628565818569</c:v>
                </c:pt>
                <c:pt idx="2">
                  <c:v>0.258925101895605</c:v>
                </c:pt>
              </c:numCache>
            </c:numRef>
          </c:val>
        </c:ser>
        <c:ser>
          <c:idx val="3"/>
          <c:order val="5"/>
          <c:tx>
            <c:strRef>
              <c:f>V.Poor!$A$75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V.Poor!$K$75:$M$75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6"/>
          <c:tx>
            <c:strRef>
              <c:f>V.Poor!$A$77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V.Poor!$K$77:$M$77</c:f>
              <c:numCache>
                <c:formatCode>0%</c:formatCode>
                <c:ptCount val="3"/>
                <c:pt idx="1">
                  <c:v>-0.542256176391197</c:v>
                </c:pt>
                <c:pt idx="2">
                  <c:v>-0.432516875955753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99970360"/>
        <c:axId val="-2099967000"/>
      </c:barChart>
      <c:catAx>
        <c:axId val="-2099970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999670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999670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206977446403"/>
              <c:y val="0.25652475940507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999703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Percentiles!$A$3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Percentiles!$F$3:$DA$3</c:f>
              <c:numCache>
                <c:formatCode>0</c:formatCode>
                <c:ptCount val="100"/>
                <c:pt idx="0">
                  <c:v>1637.861248379045</c:v>
                </c:pt>
                <c:pt idx="1">
                  <c:v>1637.861248379045</c:v>
                </c:pt>
                <c:pt idx="2">
                  <c:v>1637.861248379045</c:v>
                </c:pt>
                <c:pt idx="3">
                  <c:v>1637.861248379045</c:v>
                </c:pt>
                <c:pt idx="4">
                  <c:v>1637.861248379045</c:v>
                </c:pt>
                <c:pt idx="5">
                  <c:v>1637.861248379045</c:v>
                </c:pt>
                <c:pt idx="6">
                  <c:v>1637.861248379045</c:v>
                </c:pt>
                <c:pt idx="7">
                  <c:v>1637.861248379045</c:v>
                </c:pt>
                <c:pt idx="8">
                  <c:v>1637.861248379045</c:v>
                </c:pt>
                <c:pt idx="9">
                  <c:v>1637.861248379045</c:v>
                </c:pt>
                <c:pt idx="10">
                  <c:v>1637.861248379045</c:v>
                </c:pt>
                <c:pt idx="11">
                  <c:v>1637.861248379045</c:v>
                </c:pt>
                <c:pt idx="12">
                  <c:v>1637.861248379045</c:v>
                </c:pt>
                <c:pt idx="13">
                  <c:v>1637.861248379045</c:v>
                </c:pt>
                <c:pt idx="14">
                  <c:v>1637.861248379045</c:v>
                </c:pt>
                <c:pt idx="15">
                  <c:v>1637.861248379045</c:v>
                </c:pt>
                <c:pt idx="16">
                  <c:v>1637.861248379045</c:v>
                </c:pt>
                <c:pt idx="17">
                  <c:v>1637.861248379045</c:v>
                </c:pt>
                <c:pt idx="18">
                  <c:v>1637.861248379045</c:v>
                </c:pt>
                <c:pt idx="19">
                  <c:v>1637.861248379045</c:v>
                </c:pt>
                <c:pt idx="20">
                  <c:v>1637.861248379045</c:v>
                </c:pt>
                <c:pt idx="21">
                  <c:v>1637.861248379045</c:v>
                </c:pt>
                <c:pt idx="22">
                  <c:v>1637.861248379045</c:v>
                </c:pt>
                <c:pt idx="23">
                  <c:v>1637.861248379045</c:v>
                </c:pt>
                <c:pt idx="24">
                  <c:v>1637.861248379045</c:v>
                </c:pt>
                <c:pt idx="25">
                  <c:v>1637.861248379045</c:v>
                </c:pt>
                <c:pt idx="26">
                  <c:v>1637.861248379045</c:v>
                </c:pt>
                <c:pt idx="27">
                  <c:v>1637.861248379045</c:v>
                </c:pt>
                <c:pt idx="28">
                  <c:v>1637.861248379045</c:v>
                </c:pt>
                <c:pt idx="29">
                  <c:v>1637.861248379045</c:v>
                </c:pt>
                <c:pt idx="30">
                  <c:v>1637.861248379045</c:v>
                </c:pt>
                <c:pt idx="31">
                  <c:v>1637.861248379045</c:v>
                </c:pt>
                <c:pt idx="32">
                  <c:v>1637.861248379045</c:v>
                </c:pt>
                <c:pt idx="33">
                  <c:v>1637.861248379045</c:v>
                </c:pt>
                <c:pt idx="34">
                  <c:v>1637.861248379045</c:v>
                </c:pt>
                <c:pt idx="35">
                  <c:v>1637.861248379045</c:v>
                </c:pt>
                <c:pt idx="36">
                  <c:v>1637.861248379045</c:v>
                </c:pt>
                <c:pt idx="37">
                  <c:v>1637.861248379045</c:v>
                </c:pt>
                <c:pt idx="38">
                  <c:v>1637.861248379045</c:v>
                </c:pt>
                <c:pt idx="39">
                  <c:v>3310.881866934666</c:v>
                </c:pt>
                <c:pt idx="40">
                  <c:v>3310.881866934666</c:v>
                </c:pt>
                <c:pt idx="41">
                  <c:v>3310.881866934666</c:v>
                </c:pt>
                <c:pt idx="42">
                  <c:v>3310.881866934666</c:v>
                </c:pt>
                <c:pt idx="43">
                  <c:v>3310.881866934666</c:v>
                </c:pt>
                <c:pt idx="44">
                  <c:v>3310.881866934666</c:v>
                </c:pt>
                <c:pt idx="45">
                  <c:v>3310.881866934666</c:v>
                </c:pt>
                <c:pt idx="46">
                  <c:v>3310.881866934666</c:v>
                </c:pt>
                <c:pt idx="47">
                  <c:v>3310.881866934666</c:v>
                </c:pt>
                <c:pt idx="48">
                  <c:v>3310.881866934666</c:v>
                </c:pt>
                <c:pt idx="49">
                  <c:v>3310.881866934666</c:v>
                </c:pt>
                <c:pt idx="50">
                  <c:v>3310.881866934666</c:v>
                </c:pt>
                <c:pt idx="51">
                  <c:v>3310.881866934666</c:v>
                </c:pt>
                <c:pt idx="52">
                  <c:v>3310.881866934666</c:v>
                </c:pt>
                <c:pt idx="53">
                  <c:v>3310.881866934666</c:v>
                </c:pt>
                <c:pt idx="54">
                  <c:v>3310.881866934666</c:v>
                </c:pt>
                <c:pt idx="55">
                  <c:v>3310.881866934666</c:v>
                </c:pt>
                <c:pt idx="56">
                  <c:v>3310.881866934666</c:v>
                </c:pt>
                <c:pt idx="57">
                  <c:v>3310.881866934666</c:v>
                </c:pt>
                <c:pt idx="58">
                  <c:v>3310.881866934666</c:v>
                </c:pt>
                <c:pt idx="59">
                  <c:v>3310.881866934666</c:v>
                </c:pt>
                <c:pt idx="60">
                  <c:v>3310.881866934666</c:v>
                </c:pt>
                <c:pt idx="61">
                  <c:v>3310.881866934666</c:v>
                </c:pt>
                <c:pt idx="62">
                  <c:v>3310.881866934666</c:v>
                </c:pt>
                <c:pt idx="63">
                  <c:v>3310.881866934666</c:v>
                </c:pt>
                <c:pt idx="64">
                  <c:v>3310.881866934666</c:v>
                </c:pt>
                <c:pt idx="65">
                  <c:v>3310.881866934666</c:v>
                </c:pt>
                <c:pt idx="66">
                  <c:v>3310.881866934666</c:v>
                </c:pt>
                <c:pt idx="67">
                  <c:v>3310.881866934666</c:v>
                </c:pt>
                <c:pt idx="68">
                  <c:v>3310.881866934666</c:v>
                </c:pt>
                <c:pt idx="69">
                  <c:v>3310.881866934666</c:v>
                </c:pt>
                <c:pt idx="70">
                  <c:v>3310.881866934666</c:v>
                </c:pt>
                <c:pt idx="71">
                  <c:v>3310.881866934666</c:v>
                </c:pt>
                <c:pt idx="72">
                  <c:v>3310.881866934666</c:v>
                </c:pt>
                <c:pt idx="73">
                  <c:v>2890.735586591867</c:v>
                </c:pt>
                <c:pt idx="74">
                  <c:v>2890.735586591867</c:v>
                </c:pt>
                <c:pt idx="75">
                  <c:v>2890.735586591867</c:v>
                </c:pt>
                <c:pt idx="76">
                  <c:v>2890.735586591867</c:v>
                </c:pt>
                <c:pt idx="77">
                  <c:v>2890.735586591867</c:v>
                </c:pt>
                <c:pt idx="78">
                  <c:v>2890.735586591867</c:v>
                </c:pt>
                <c:pt idx="79">
                  <c:v>2890.735586591867</c:v>
                </c:pt>
                <c:pt idx="80">
                  <c:v>2890.735586591867</c:v>
                </c:pt>
                <c:pt idx="81">
                  <c:v>2890.735586591867</c:v>
                </c:pt>
                <c:pt idx="82">
                  <c:v>2890.735586591867</c:v>
                </c:pt>
                <c:pt idx="83">
                  <c:v>2890.735586591867</c:v>
                </c:pt>
                <c:pt idx="84">
                  <c:v>2890.735586591867</c:v>
                </c:pt>
                <c:pt idx="85">
                  <c:v>2890.735586591867</c:v>
                </c:pt>
                <c:pt idx="86">
                  <c:v>2890.735586591867</c:v>
                </c:pt>
                <c:pt idx="87">
                  <c:v>2890.735586591867</c:v>
                </c:pt>
                <c:pt idx="88">
                  <c:v>2890.735586591867</c:v>
                </c:pt>
                <c:pt idx="89">
                  <c:v>1825.413865737894</c:v>
                </c:pt>
                <c:pt idx="90">
                  <c:v>1825.413865737894</c:v>
                </c:pt>
                <c:pt idx="91">
                  <c:v>1825.413865737894</c:v>
                </c:pt>
                <c:pt idx="92">
                  <c:v>1825.413865737894</c:v>
                </c:pt>
                <c:pt idx="93">
                  <c:v>1825.413865737894</c:v>
                </c:pt>
                <c:pt idx="94">
                  <c:v>1825.413865737894</c:v>
                </c:pt>
                <c:pt idx="95">
                  <c:v>1825.413865737894</c:v>
                </c:pt>
                <c:pt idx="96">
                  <c:v>1825.413865737894</c:v>
                </c:pt>
                <c:pt idx="97">
                  <c:v>1825.413865737894</c:v>
                </c:pt>
                <c:pt idx="98">
                  <c:v>1825.413865737894</c:v>
                </c:pt>
                <c:pt idx="99">
                  <c:v>1825.413865737894</c:v>
                </c:pt>
              </c:numCache>
            </c:numRef>
          </c:val>
        </c:ser>
        <c:ser>
          <c:idx val="1"/>
          <c:order val="1"/>
          <c:tx>
            <c:strRef>
              <c:f>Percentiles!$A$4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Percentiles!$F$4:$DA$4</c:f>
              <c:numCache>
                <c:formatCode>0</c:formatCode>
                <c:ptCount val="100"/>
                <c:pt idx="0">
                  <c:v>25.84010002467636</c:v>
                </c:pt>
                <c:pt idx="1">
                  <c:v>25.84010002467636</c:v>
                </c:pt>
                <c:pt idx="2">
                  <c:v>25.84010002467636</c:v>
                </c:pt>
                <c:pt idx="3">
                  <c:v>25.84010002467636</c:v>
                </c:pt>
                <c:pt idx="4">
                  <c:v>25.84010002467636</c:v>
                </c:pt>
                <c:pt idx="5">
                  <c:v>25.84010002467636</c:v>
                </c:pt>
                <c:pt idx="6">
                  <c:v>25.84010002467636</c:v>
                </c:pt>
                <c:pt idx="7">
                  <c:v>25.84010002467636</c:v>
                </c:pt>
                <c:pt idx="8">
                  <c:v>25.84010002467636</c:v>
                </c:pt>
                <c:pt idx="9">
                  <c:v>25.84010002467636</c:v>
                </c:pt>
                <c:pt idx="10">
                  <c:v>25.84010002467636</c:v>
                </c:pt>
                <c:pt idx="11">
                  <c:v>25.84010002467636</c:v>
                </c:pt>
                <c:pt idx="12">
                  <c:v>25.84010002467636</c:v>
                </c:pt>
                <c:pt idx="13">
                  <c:v>25.84010002467636</c:v>
                </c:pt>
                <c:pt idx="14">
                  <c:v>25.84010002467636</c:v>
                </c:pt>
                <c:pt idx="15">
                  <c:v>25.84010002467636</c:v>
                </c:pt>
                <c:pt idx="16">
                  <c:v>25.84010002467636</c:v>
                </c:pt>
                <c:pt idx="17">
                  <c:v>25.84010002467636</c:v>
                </c:pt>
                <c:pt idx="18">
                  <c:v>25.84010002467636</c:v>
                </c:pt>
                <c:pt idx="19">
                  <c:v>25.84010002467636</c:v>
                </c:pt>
                <c:pt idx="20">
                  <c:v>25.84010002467636</c:v>
                </c:pt>
                <c:pt idx="21">
                  <c:v>25.84010002467636</c:v>
                </c:pt>
                <c:pt idx="22">
                  <c:v>25.84010002467636</c:v>
                </c:pt>
                <c:pt idx="23">
                  <c:v>25.84010002467636</c:v>
                </c:pt>
                <c:pt idx="24">
                  <c:v>25.84010002467636</c:v>
                </c:pt>
                <c:pt idx="25">
                  <c:v>25.84010002467636</c:v>
                </c:pt>
                <c:pt idx="26">
                  <c:v>25.84010002467636</c:v>
                </c:pt>
                <c:pt idx="27">
                  <c:v>25.84010002467636</c:v>
                </c:pt>
                <c:pt idx="28">
                  <c:v>25.84010002467636</c:v>
                </c:pt>
                <c:pt idx="29">
                  <c:v>25.84010002467636</c:v>
                </c:pt>
                <c:pt idx="30">
                  <c:v>25.84010002467636</c:v>
                </c:pt>
                <c:pt idx="31">
                  <c:v>25.84010002467636</c:v>
                </c:pt>
                <c:pt idx="32">
                  <c:v>25.84010002467636</c:v>
                </c:pt>
                <c:pt idx="33">
                  <c:v>25.84010002467636</c:v>
                </c:pt>
                <c:pt idx="34">
                  <c:v>25.84010002467636</c:v>
                </c:pt>
                <c:pt idx="35">
                  <c:v>25.84010002467636</c:v>
                </c:pt>
                <c:pt idx="36">
                  <c:v>25.84010002467636</c:v>
                </c:pt>
                <c:pt idx="37">
                  <c:v>25.84010002467636</c:v>
                </c:pt>
                <c:pt idx="38">
                  <c:v>25.84010002467636</c:v>
                </c:pt>
                <c:pt idx="39">
                  <c:v>1526.206542727313</c:v>
                </c:pt>
                <c:pt idx="40">
                  <c:v>1526.206542727313</c:v>
                </c:pt>
                <c:pt idx="41">
                  <c:v>1526.206542727313</c:v>
                </c:pt>
                <c:pt idx="42">
                  <c:v>1526.206542727313</c:v>
                </c:pt>
                <c:pt idx="43">
                  <c:v>1526.206542727313</c:v>
                </c:pt>
                <c:pt idx="44">
                  <c:v>1526.206542727313</c:v>
                </c:pt>
                <c:pt idx="45">
                  <c:v>1526.206542727313</c:v>
                </c:pt>
                <c:pt idx="46">
                  <c:v>1526.206542727313</c:v>
                </c:pt>
                <c:pt idx="47">
                  <c:v>1526.206542727313</c:v>
                </c:pt>
                <c:pt idx="48">
                  <c:v>1526.206542727313</c:v>
                </c:pt>
                <c:pt idx="49">
                  <c:v>1526.206542727313</c:v>
                </c:pt>
                <c:pt idx="50">
                  <c:v>1526.206542727313</c:v>
                </c:pt>
                <c:pt idx="51">
                  <c:v>1526.206542727313</c:v>
                </c:pt>
                <c:pt idx="52">
                  <c:v>1526.206542727313</c:v>
                </c:pt>
                <c:pt idx="53">
                  <c:v>1526.206542727313</c:v>
                </c:pt>
                <c:pt idx="54">
                  <c:v>1526.206542727313</c:v>
                </c:pt>
                <c:pt idx="55">
                  <c:v>1526.206542727313</c:v>
                </c:pt>
                <c:pt idx="56">
                  <c:v>1526.206542727313</c:v>
                </c:pt>
                <c:pt idx="57">
                  <c:v>1526.206542727313</c:v>
                </c:pt>
                <c:pt idx="58">
                  <c:v>1526.206542727313</c:v>
                </c:pt>
                <c:pt idx="59">
                  <c:v>1526.206542727313</c:v>
                </c:pt>
                <c:pt idx="60">
                  <c:v>1526.206542727313</c:v>
                </c:pt>
                <c:pt idx="61">
                  <c:v>1526.206542727313</c:v>
                </c:pt>
                <c:pt idx="62">
                  <c:v>1526.206542727313</c:v>
                </c:pt>
                <c:pt idx="63">
                  <c:v>1526.206542727313</c:v>
                </c:pt>
                <c:pt idx="64">
                  <c:v>1526.206542727313</c:v>
                </c:pt>
                <c:pt idx="65">
                  <c:v>1526.206542727313</c:v>
                </c:pt>
                <c:pt idx="66">
                  <c:v>1526.206542727313</c:v>
                </c:pt>
                <c:pt idx="67">
                  <c:v>1526.206542727313</c:v>
                </c:pt>
                <c:pt idx="68">
                  <c:v>1526.206542727313</c:v>
                </c:pt>
                <c:pt idx="69">
                  <c:v>1526.206542727313</c:v>
                </c:pt>
                <c:pt idx="70">
                  <c:v>1526.206542727313</c:v>
                </c:pt>
                <c:pt idx="71">
                  <c:v>1526.206542727313</c:v>
                </c:pt>
                <c:pt idx="72">
                  <c:v>1526.206542727313</c:v>
                </c:pt>
                <c:pt idx="73">
                  <c:v>10861.04521672111</c:v>
                </c:pt>
                <c:pt idx="74">
                  <c:v>10861.04521672111</c:v>
                </c:pt>
                <c:pt idx="75">
                  <c:v>10861.04521672111</c:v>
                </c:pt>
                <c:pt idx="76">
                  <c:v>10861.04521672111</c:v>
                </c:pt>
                <c:pt idx="77">
                  <c:v>10861.04521672111</c:v>
                </c:pt>
                <c:pt idx="78">
                  <c:v>10861.04521672111</c:v>
                </c:pt>
                <c:pt idx="79">
                  <c:v>10861.04521672111</c:v>
                </c:pt>
                <c:pt idx="80">
                  <c:v>10861.04521672111</c:v>
                </c:pt>
                <c:pt idx="81">
                  <c:v>10861.04521672111</c:v>
                </c:pt>
                <c:pt idx="82">
                  <c:v>10861.04521672111</c:v>
                </c:pt>
                <c:pt idx="83">
                  <c:v>10861.04521672111</c:v>
                </c:pt>
                <c:pt idx="84">
                  <c:v>10861.04521672111</c:v>
                </c:pt>
                <c:pt idx="85">
                  <c:v>10861.04521672111</c:v>
                </c:pt>
                <c:pt idx="86">
                  <c:v>10861.04521672111</c:v>
                </c:pt>
                <c:pt idx="87">
                  <c:v>10861.04521672111</c:v>
                </c:pt>
                <c:pt idx="88">
                  <c:v>10861.04521672111</c:v>
                </c:pt>
                <c:pt idx="89">
                  <c:v>22116.43869665605</c:v>
                </c:pt>
                <c:pt idx="90">
                  <c:v>22116.43869665605</c:v>
                </c:pt>
                <c:pt idx="91">
                  <c:v>22116.43869665605</c:v>
                </c:pt>
                <c:pt idx="92">
                  <c:v>22116.43869665605</c:v>
                </c:pt>
                <c:pt idx="93">
                  <c:v>22116.43869665605</c:v>
                </c:pt>
                <c:pt idx="94">
                  <c:v>22116.43869665605</c:v>
                </c:pt>
                <c:pt idx="95">
                  <c:v>22116.43869665605</c:v>
                </c:pt>
                <c:pt idx="96">
                  <c:v>22116.43869665605</c:v>
                </c:pt>
                <c:pt idx="97">
                  <c:v>22116.43869665605</c:v>
                </c:pt>
                <c:pt idx="98">
                  <c:v>22116.43869665605</c:v>
                </c:pt>
                <c:pt idx="99">
                  <c:v>22116.43869665605</c:v>
                </c:pt>
              </c:numCache>
            </c:numRef>
          </c:val>
        </c:ser>
        <c:ser>
          <c:idx val="2"/>
          <c:order val="2"/>
          <c:tx>
            <c:strRef>
              <c:f>Percentiles!$A$5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Percentiles!$F$5:$DA$5</c:f>
              <c:numCache>
                <c:formatCode>0</c:formatCode>
                <c:ptCount val="100"/>
                <c:pt idx="0">
                  <c:v>600.961745113332</c:v>
                </c:pt>
                <c:pt idx="1">
                  <c:v>600.961745113332</c:v>
                </c:pt>
                <c:pt idx="2">
                  <c:v>600.961745113332</c:v>
                </c:pt>
                <c:pt idx="3">
                  <c:v>600.961745113332</c:v>
                </c:pt>
                <c:pt idx="4">
                  <c:v>600.961745113332</c:v>
                </c:pt>
                <c:pt idx="5">
                  <c:v>600.961745113332</c:v>
                </c:pt>
                <c:pt idx="6">
                  <c:v>600.961745113332</c:v>
                </c:pt>
                <c:pt idx="7">
                  <c:v>600.961745113332</c:v>
                </c:pt>
                <c:pt idx="8">
                  <c:v>600.961745113332</c:v>
                </c:pt>
                <c:pt idx="9">
                  <c:v>600.961745113332</c:v>
                </c:pt>
                <c:pt idx="10">
                  <c:v>600.961745113332</c:v>
                </c:pt>
                <c:pt idx="11">
                  <c:v>600.961745113332</c:v>
                </c:pt>
                <c:pt idx="12">
                  <c:v>600.961745113332</c:v>
                </c:pt>
                <c:pt idx="13">
                  <c:v>600.961745113332</c:v>
                </c:pt>
                <c:pt idx="14">
                  <c:v>600.961745113332</c:v>
                </c:pt>
                <c:pt idx="15">
                  <c:v>600.961745113332</c:v>
                </c:pt>
                <c:pt idx="16">
                  <c:v>600.961745113332</c:v>
                </c:pt>
                <c:pt idx="17">
                  <c:v>600.961745113332</c:v>
                </c:pt>
                <c:pt idx="18">
                  <c:v>600.961745113332</c:v>
                </c:pt>
                <c:pt idx="19">
                  <c:v>600.961745113332</c:v>
                </c:pt>
                <c:pt idx="20">
                  <c:v>600.961745113332</c:v>
                </c:pt>
                <c:pt idx="21">
                  <c:v>600.961745113332</c:v>
                </c:pt>
                <c:pt idx="22">
                  <c:v>600.961745113332</c:v>
                </c:pt>
                <c:pt idx="23">
                  <c:v>600.961745113332</c:v>
                </c:pt>
                <c:pt idx="24">
                  <c:v>600.961745113332</c:v>
                </c:pt>
                <c:pt idx="25">
                  <c:v>600.961745113332</c:v>
                </c:pt>
                <c:pt idx="26">
                  <c:v>600.961745113332</c:v>
                </c:pt>
                <c:pt idx="27">
                  <c:v>600.961745113332</c:v>
                </c:pt>
                <c:pt idx="28">
                  <c:v>600.961745113332</c:v>
                </c:pt>
                <c:pt idx="29">
                  <c:v>600.961745113332</c:v>
                </c:pt>
                <c:pt idx="30">
                  <c:v>600.961745113332</c:v>
                </c:pt>
                <c:pt idx="31">
                  <c:v>600.961745113332</c:v>
                </c:pt>
                <c:pt idx="32">
                  <c:v>600.961745113332</c:v>
                </c:pt>
                <c:pt idx="33">
                  <c:v>600.961745113332</c:v>
                </c:pt>
                <c:pt idx="34">
                  <c:v>600.961745113332</c:v>
                </c:pt>
                <c:pt idx="35">
                  <c:v>600.961745113332</c:v>
                </c:pt>
                <c:pt idx="36">
                  <c:v>600.961745113332</c:v>
                </c:pt>
                <c:pt idx="37">
                  <c:v>600.961745113332</c:v>
                </c:pt>
                <c:pt idx="38">
                  <c:v>600.961745113332</c:v>
                </c:pt>
                <c:pt idx="39">
                  <c:v>1095.569099432972</c:v>
                </c:pt>
                <c:pt idx="40">
                  <c:v>1095.569099432972</c:v>
                </c:pt>
                <c:pt idx="41">
                  <c:v>1095.569099432972</c:v>
                </c:pt>
                <c:pt idx="42">
                  <c:v>1095.569099432972</c:v>
                </c:pt>
                <c:pt idx="43">
                  <c:v>1095.569099432972</c:v>
                </c:pt>
                <c:pt idx="44">
                  <c:v>1095.569099432972</c:v>
                </c:pt>
                <c:pt idx="45">
                  <c:v>1095.569099432972</c:v>
                </c:pt>
                <c:pt idx="46">
                  <c:v>1095.569099432972</c:v>
                </c:pt>
                <c:pt idx="47">
                  <c:v>1095.569099432972</c:v>
                </c:pt>
                <c:pt idx="48">
                  <c:v>1095.569099432972</c:v>
                </c:pt>
                <c:pt idx="49">
                  <c:v>1095.569099432972</c:v>
                </c:pt>
                <c:pt idx="50">
                  <c:v>1095.569099432972</c:v>
                </c:pt>
                <c:pt idx="51">
                  <c:v>1095.569099432972</c:v>
                </c:pt>
                <c:pt idx="52">
                  <c:v>1095.569099432972</c:v>
                </c:pt>
                <c:pt idx="53">
                  <c:v>1095.569099432972</c:v>
                </c:pt>
                <c:pt idx="54">
                  <c:v>1095.569099432972</c:v>
                </c:pt>
                <c:pt idx="55">
                  <c:v>1095.569099432972</c:v>
                </c:pt>
                <c:pt idx="56">
                  <c:v>1095.569099432972</c:v>
                </c:pt>
                <c:pt idx="57">
                  <c:v>1095.569099432972</c:v>
                </c:pt>
                <c:pt idx="58">
                  <c:v>1095.569099432972</c:v>
                </c:pt>
                <c:pt idx="59">
                  <c:v>1095.569099432972</c:v>
                </c:pt>
                <c:pt idx="60">
                  <c:v>1095.569099432972</c:v>
                </c:pt>
                <c:pt idx="61">
                  <c:v>1095.569099432972</c:v>
                </c:pt>
                <c:pt idx="62">
                  <c:v>1095.569099432972</c:v>
                </c:pt>
                <c:pt idx="63">
                  <c:v>1095.569099432972</c:v>
                </c:pt>
                <c:pt idx="64">
                  <c:v>1095.569099432972</c:v>
                </c:pt>
                <c:pt idx="65">
                  <c:v>1095.569099432972</c:v>
                </c:pt>
                <c:pt idx="66">
                  <c:v>1095.569099432972</c:v>
                </c:pt>
                <c:pt idx="67">
                  <c:v>1095.569099432972</c:v>
                </c:pt>
                <c:pt idx="68">
                  <c:v>1095.569099432972</c:v>
                </c:pt>
                <c:pt idx="69">
                  <c:v>1095.569099432972</c:v>
                </c:pt>
                <c:pt idx="70">
                  <c:v>1095.569099432972</c:v>
                </c:pt>
                <c:pt idx="71">
                  <c:v>1095.569099432972</c:v>
                </c:pt>
                <c:pt idx="72">
                  <c:v>1095.569099432972</c:v>
                </c:pt>
                <c:pt idx="73">
                  <c:v>1916.634027010209</c:v>
                </c:pt>
                <c:pt idx="74">
                  <c:v>1916.634027010209</c:v>
                </c:pt>
                <c:pt idx="75">
                  <c:v>1916.634027010209</c:v>
                </c:pt>
                <c:pt idx="76">
                  <c:v>1916.634027010209</c:v>
                </c:pt>
                <c:pt idx="77">
                  <c:v>1916.634027010209</c:v>
                </c:pt>
                <c:pt idx="78">
                  <c:v>1916.634027010209</c:v>
                </c:pt>
                <c:pt idx="79">
                  <c:v>1916.634027010209</c:v>
                </c:pt>
                <c:pt idx="80">
                  <c:v>1916.634027010209</c:v>
                </c:pt>
                <c:pt idx="81">
                  <c:v>1916.634027010209</c:v>
                </c:pt>
                <c:pt idx="82">
                  <c:v>1916.634027010209</c:v>
                </c:pt>
                <c:pt idx="83">
                  <c:v>1916.634027010209</c:v>
                </c:pt>
                <c:pt idx="84">
                  <c:v>1916.634027010209</c:v>
                </c:pt>
                <c:pt idx="85">
                  <c:v>1916.634027010209</c:v>
                </c:pt>
                <c:pt idx="86">
                  <c:v>1916.634027010209</c:v>
                </c:pt>
                <c:pt idx="87">
                  <c:v>1916.634027010209</c:v>
                </c:pt>
                <c:pt idx="88">
                  <c:v>1916.634027010209</c:v>
                </c:pt>
                <c:pt idx="89">
                  <c:v>2192.285756553512</c:v>
                </c:pt>
                <c:pt idx="90">
                  <c:v>2192.285756553512</c:v>
                </c:pt>
                <c:pt idx="91">
                  <c:v>2192.285756553512</c:v>
                </c:pt>
                <c:pt idx="92">
                  <c:v>2192.285756553512</c:v>
                </c:pt>
                <c:pt idx="93">
                  <c:v>2192.285756553512</c:v>
                </c:pt>
                <c:pt idx="94">
                  <c:v>2192.285756553512</c:v>
                </c:pt>
                <c:pt idx="95">
                  <c:v>2192.285756553512</c:v>
                </c:pt>
                <c:pt idx="96">
                  <c:v>2192.285756553512</c:v>
                </c:pt>
                <c:pt idx="97">
                  <c:v>2192.285756553512</c:v>
                </c:pt>
                <c:pt idx="98">
                  <c:v>2192.285756553512</c:v>
                </c:pt>
                <c:pt idx="99">
                  <c:v>2192.285756553512</c:v>
                </c:pt>
              </c:numCache>
            </c:numRef>
          </c:val>
        </c:ser>
        <c:ser>
          <c:idx val="3"/>
          <c:order val="3"/>
          <c:tx>
            <c:strRef>
              <c:f>Percentiles!$A$6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Percentiles!$F$6:$DA$6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Percentiles!$A$7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Percentiles!$F$7:$DA$7</c:f>
              <c:numCache>
                <c:formatCode>0</c:formatCode>
                <c:ptCount val="100"/>
                <c:pt idx="0">
                  <c:v>3045.440360051142</c:v>
                </c:pt>
                <c:pt idx="1">
                  <c:v>3045.440360051142</c:v>
                </c:pt>
                <c:pt idx="2">
                  <c:v>3045.440360051142</c:v>
                </c:pt>
                <c:pt idx="3">
                  <c:v>3045.440360051142</c:v>
                </c:pt>
                <c:pt idx="4">
                  <c:v>3045.440360051142</c:v>
                </c:pt>
                <c:pt idx="5">
                  <c:v>3045.440360051142</c:v>
                </c:pt>
                <c:pt idx="6">
                  <c:v>3045.440360051142</c:v>
                </c:pt>
                <c:pt idx="7">
                  <c:v>3045.440360051142</c:v>
                </c:pt>
                <c:pt idx="8">
                  <c:v>3045.440360051142</c:v>
                </c:pt>
                <c:pt idx="9">
                  <c:v>3045.440360051142</c:v>
                </c:pt>
                <c:pt idx="10">
                  <c:v>3045.440360051142</c:v>
                </c:pt>
                <c:pt idx="11">
                  <c:v>3045.440360051142</c:v>
                </c:pt>
                <c:pt idx="12">
                  <c:v>3045.440360051142</c:v>
                </c:pt>
                <c:pt idx="13">
                  <c:v>3045.440360051142</c:v>
                </c:pt>
                <c:pt idx="14">
                  <c:v>3045.440360051142</c:v>
                </c:pt>
                <c:pt idx="15">
                  <c:v>3045.440360051142</c:v>
                </c:pt>
                <c:pt idx="16">
                  <c:v>3045.440360051142</c:v>
                </c:pt>
                <c:pt idx="17">
                  <c:v>3045.440360051142</c:v>
                </c:pt>
                <c:pt idx="18">
                  <c:v>3045.440360051142</c:v>
                </c:pt>
                <c:pt idx="19">
                  <c:v>3045.440360051142</c:v>
                </c:pt>
                <c:pt idx="20">
                  <c:v>3045.440360051142</c:v>
                </c:pt>
                <c:pt idx="21">
                  <c:v>3045.440360051142</c:v>
                </c:pt>
                <c:pt idx="22">
                  <c:v>3045.440360051142</c:v>
                </c:pt>
                <c:pt idx="23">
                  <c:v>3045.440360051142</c:v>
                </c:pt>
                <c:pt idx="24">
                  <c:v>3045.440360051142</c:v>
                </c:pt>
                <c:pt idx="25">
                  <c:v>3045.440360051142</c:v>
                </c:pt>
                <c:pt idx="26">
                  <c:v>3045.440360051142</c:v>
                </c:pt>
                <c:pt idx="27">
                  <c:v>3045.440360051142</c:v>
                </c:pt>
                <c:pt idx="28">
                  <c:v>3045.440360051142</c:v>
                </c:pt>
                <c:pt idx="29">
                  <c:v>3045.440360051142</c:v>
                </c:pt>
                <c:pt idx="30">
                  <c:v>3045.440360051142</c:v>
                </c:pt>
                <c:pt idx="31">
                  <c:v>3045.440360051142</c:v>
                </c:pt>
                <c:pt idx="32">
                  <c:v>3045.440360051142</c:v>
                </c:pt>
                <c:pt idx="33">
                  <c:v>3045.440360051142</c:v>
                </c:pt>
                <c:pt idx="34">
                  <c:v>3045.440360051142</c:v>
                </c:pt>
                <c:pt idx="35">
                  <c:v>3045.440360051142</c:v>
                </c:pt>
                <c:pt idx="36">
                  <c:v>3045.440360051142</c:v>
                </c:pt>
                <c:pt idx="37">
                  <c:v>3045.440360051142</c:v>
                </c:pt>
                <c:pt idx="38">
                  <c:v>3045.440360051142</c:v>
                </c:pt>
                <c:pt idx="39">
                  <c:v>10048.51762705629</c:v>
                </c:pt>
                <c:pt idx="40">
                  <c:v>10048.51762705629</c:v>
                </c:pt>
                <c:pt idx="41">
                  <c:v>10048.51762705629</c:v>
                </c:pt>
                <c:pt idx="42">
                  <c:v>10048.51762705629</c:v>
                </c:pt>
                <c:pt idx="43">
                  <c:v>10048.51762705629</c:v>
                </c:pt>
                <c:pt idx="44">
                  <c:v>10048.51762705629</c:v>
                </c:pt>
                <c:pt idx="45">
                  <c:v>10048.51762705629</c:v>
                </c:pt>
                <c:pt idx="46">
                  <c:v>10048.51762705629</c:v>
                </c:pt>
                <c:pt idx="47">
                  <c:v>10048.51762705629</c:v>
                </c:pt>
                <c:pt idx="48">
                  <c:v>10048.51762705629</c:v>
                </c:pt>
                <c:pt idx="49">
                  <c:v>10048.51762705629</c:v>
                </c:pt>
                <c:pt idx="50">
                  <c:v>10048.51762705629</c:v>
                </c:pt>
                <c:pt idx="51">
                  <c:v>10048.51762705629</c:v>
                </c:pt>
                <c:pt idx="52">
                  <c:v>10048.51762705629</c:v>
                </c:pt>
                <c:pt idx="53">
                  <c:v>10048.51762705629</c:v>
                </c:pt>
                <c:pt idx="54">
                  <c:v>10048.51762705629</c:v>
                </c:pt>
                <c:pt idx="55">
                  <c:v>10048.51762705629</c:v>
                </c:pt>
                <c:pt idx="56">
                  <c:v>10048.51762705629</c:v>
                </c:pt>
                <c:pt idx="57">
                  <c:v>10048.51762705629</c:v>
                </c:pt>
                <c:pt idx="58">
                  <c:v>10048.51762705629</c:v>
                </c:pt>
                <c:pt idx="59">
                  <c:v>10048.51762705629</c:v>
                </c:pt>
                <c:pt idx="60">
                  <c:v>10048.51762705629</c:v>
                </c:pt>
                <c:pt idx="61">
                  <c:v>10048.51762705629</c:v>
                </c:pt>
                <c:pt idx="62">
                  <c:v>10048.51762705629</c:v>
                </c:pt>
                <c:pt idx="63">
                  <c:v>10048.51762705629</c:v>
                </c:pt>
                <c:pt idx="64">
                  <c:v>10048.51762705629</c:v>
                </c:pt>
                <c:pt idx="65">
                  <c:v>10048.51762705629</c:v>
                </c:pt>
                <c:pt idx="66">
                  <c:v>10048.51762705629</c:v>
                </c:pt>
                <c:pt idx="67">
                  <c:v>10048.51762705629</c:v>
                </c:pt>
                <c:pt idx="68">
                  <c:v>10048.51762705629</c:v>
                </c:pt>
                <c:pt idx="69">
                  <c:v>10048.51762705629</c:v>
                </c:pt>
                <c:pt idx="70">
                  <c:v>10048.51762705629</c:v>
                </c:pt>
                <c:pt idx="71">
                  <c:v>10048.51762705629</c:v>
                </c:pt>
                <c:pt idx="72">
                  <c:v>10048.51762705629</c:v>
                </c:pt>
                <c:pt idx="73">
                  <c:v>21797.09117727802</c:v>
                </c:pt>
                <c:pt idx="74">
                  <c:v>21797.09117727802</c:v>
                </c:pt>
                <c:pt idx="75">
                  <c:v>21797.09117727802</c:v>
                </c:pt>
                <c:pt idx="76">
                  <c:v>21797.09117727802</c:v>
                </c:pt>
                <c:pt idx="77">
                  <c:v>21797.09117727802</c:v>
                </c:pt>
                <c:pt idx="78">
                  <c:v>21797.09117727802</c:v>
                </c:pt>
                <c:pt idx="79">
                  <c:v>21797.09117727802</c:v>
                </c:pt>
                <c:pt idx="80">
                  <c:v>21797.09117727802</c:v>
                </c:pt>
                <c:pt idx="81">
                  <c:v>21797.09117727802</c:v>
                </c:pt>
                <c:pt idx="82">
                  <c:v>21797.09117727802</c:v>
                </c:pt>
                <c:pt idx="83">
                  <c:v>21797.09117727802</c:v>
                </c:pt>
                <c:pt idx="84">
                  <c:v>21797.09117727802</c:v>
                </c:pt>
                <c:pt idx="85">
                  <c:v>21797.09117727802</c:v>
                </c:pt>
                <c:pt idx="86">
                  <c:v>21797.09117727802</c:v>
                </c:pt>
                <c:pt idx="87">
                  <c:v>21797.09117727802</c:v>
                </c:pt>
                <c:pt idx="88">
                  <c:v>21797.09117727802</c:v>
                </c:pt>
                <c:pt idx="89">
                  <c:v>31324.70731659016</c:v>
                </c:pt>
                <c:pt idx="90">
                  <c:v>31324.70731659016</c:v>
                </c:pt>
                <c:pt idx="91">
                  <c:v>31324.70731659016</c:v>
                </c:pt>
                <c:pt idx="92">
                  <c:v>31324.70731659016</c:v>
                </c:pt>
                <c:pt idx="93">
                  <c:v>31324.70731659016</c:v>
                </c:pt>
                <c:pt idx="94">
                  <c:v>31324.70731659016</c:v>
                </c:pt>
                <c:pt idx="95">
                  <c:v>31324.70731659016</c:v>
                </c:pt>
                <c:pt idx="96">
                  <c:v>31324.70731659016</c:v>
                </c:pt>
                <c:pt idx="97">
                  <c:v>31324.70731659016</c:v>
                </c:pt>
                <c:pt idx="98">
                  <c:v>31324.70731659016</c:v>
                </c:pt>
                <c:pt idx="99">
                  <c:v>31324.70731659016</c:v>
                </c:pt>
              </c:numCache>
            </c:numRef>
          </c:val>
        </c:ser>
        <c:ser>
          <c:idx val="5"/>
          <c:order val="5"/>
          <c:tx>
            <c:strRef>
              <c:f>Percentiles!$A$8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Percentiles!$F$8:$DA$8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121.2080495528232</c:v>
                </c:pt>
                <c:pt idx="40">
                  <c:v>121.2080495528232</c:v>
                </c:pt>
                <c:pt idx="41">
                  <c:v>121.2080495528232</c:v>
                </c:pt>
                <c:pt idx="42">
                  <c:v>121.2080495528232</c:v>
                </c:pt>
                <c:pt idx="43">
                  <c:v>121.2080495528232</c:v>
                </c:pt>
                <c:pt idx="44">
                  <c:v>121.2080495528232</c:v>
                </c:pt>
                <c:pt idx="45">
                  <c:v>121.2080495528232</c:v>
                </c:pt>
                <c:pt idx="46">
                  <c:v>121.2080495528232</c:v>
                </c:pt>
                <c:pt idx="47">
                  <c:v>121.2080495528232</c:v>
                </c:pt>
                <c:pt idx="48">
                  <c:v>121.2080495528232</c:v>
                </c:pt>
                <c:pt idx="49">
                  <c:v>121.2080495528232</c:v>
                </c:pt>
                <c:pt idx="50">
                  <c:v>121.2080495528232</c:v>
                </c:pt>
                <c:pt idx="51">
                  <c:v>121.2080495528232</c:v>
                </c:pt>
                <c:pt idx="52">
                  <c:v>121.2080495528232</c:v>
                </c:pt>
                <c:pt idx="53">
                  <c:v>121.2080495528232</c:v>
                </c:pt>
                <c:pt idx="54">
                  <c:v>121.2080495528232</c:v>
                </c:pt>
                <c:pt idx="55">
                  <c:v>121.2080495528232</c:v>
                </c:pt>
                <c:pt idx="56">
                  <c:v>121.2080495528232</c:v>
                </c:pt>
                <c:pt idx="57">
                  <c:v>121.2080495528232</c:v>
                </c:pt>
                <c:pt idx="58">
                  <c:v>121.2080495528232</c:v>
                </c:pt>
                <c:pt idx="59">
                  <c:v>121.2080495528232</c:v>
                </c:pt>
                <c:pt idx="60">
                  <c:v>121.2080495528232</c:v>
                </c:pt>
                <c:pt idx="61">
                  <c:v>121.2080495528232</c:v>
                </c:pt>
                <c:pt idx="62">
                  <c:v>121.2080495528232</c:v>
                </c:pt>
                <c:pt idx="63">
                  <c:v>121.2080495528232</c:v>
                </c:pt>
                <c:pt idx="64">
                  <c:v>121.2080495528232</c:v>
                </c:pt>
                <c:pt idx="65">
                  <c:v>121.2080495528232</c:v>
                </c:pt>
                <c:pt idx="66">
                  <c:v>121.2080495528232</c:v>
                </c:pt>
                <c:pt idx="67">
                  <c:v>121.2080495528232</c:v>
                </c:pt>
                <c:pt idx="68">
                  <c:v>121.2080495528232</c:v>
                </c:pt>
                <c:pt idx="69">
                  <c:v>121.2080495528232</c:v>
                </c:pt>
                <c:pt idx="70">
                  <c:v>121.2080495528232</c:v>
                </c:pt>
                <c:pt idx="71">
                  <c:v>121.2080495528232</c:v>
                </c:pt>
                <c:pt idx="72">
                  <c:v>121.2080495528232</c:v>
                </c:pt>
                <c:pt idx="73">
                  <c:v>85.1170584985181</c:v>
                </c:pt>
                <c:pt idx="74">
                  <c:v>85.1170584985181</c:v>
                </c:pt>
                <c:pt idx="75">
                  <c:v>85.1170584985181</c:v>
                </c:pt>
                <c:pt idx="76">
                  <c:v>85.1170584985181</c:v>
                </c:pt>
                <c:pt idx="77">
                  <c:v>85.1170584985181</c:v>
                </c:pt>
                <c:pt idx="78">
                  <c:v>85.1170584985181</c:v>
                </c:pt>
                <c:pt idx="79">
                  <c:v>85.1170584985181</c:v>
                </c:pt>
                <c:pt idx="80">
                  <c:v>85.1170584985181</c:v>
                </c:pt>
                <c:pt idx="81">
                  <c:v>85.1170584985181</c:v>
                </c:pt>
                <c:pt idx="82">
                  <c:v>85.1170584985181</c:v>
                </c:pt>
                <c:pt idx="83">
                  <c:v>85.1170584985181</c:v>
                </c:pt>
                <c:pt idx="84">
                  <c:v>85.1170584985181</c:v>
                </c:pt>
                <c:pt idx="85">
                  <c:v>85.1170584985181</c:v>
                </c:pt>
                <c:pt idx="86">
                  <c:v>85.1170584985181</c:v>
                </c:pt>
                <c:pt idx="87">
                  <c:v>85.1170584985181</c:v>
                </c:pt>
                <c:pt idx="88">
                  <c:v>85.1170584985181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Percentiles!$A$9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Percentiles!$F$9:$DA$9</c:f>
              <c:numCache>
                <c:formatCode>0</c:formatCode>
                <c:ptCount val="100"/>
                <c:pt idx="0">
                  <c:v>5317.155575988115</c:v>
                </c:pt>
                <c:pt idx="1">
                  <c:v>5317.155575988115</c:v>
                </c:pt>
                <c:pt idx="2">
                  <c:v>5317.155575988115</c:v>
                </c:pt>
                <c:pt idx="3">
                  <c:v>5317.155575988115</c:v>
                </c:pt>
                <c:pt idx="4">
                  <c:v>5317.155575988115</c:v>
                </c:pt>
                <c:pt idx="5">
                  <c:v>5317.155575988115</c:v>
                </c:pt>
                <c:pt idx="6">
                  <c:v>5317.155575988115</c:v>
                </c:pt>
                <c:pt idx="7">
                  <c:v>5317.155575988115</c:v>
                </c:pt>
                <c:pt idx="8">
                  <c:v>5317.155575988115</c:v>
                </c:pt>
                <c:pt idx="9">
                  <c:v>5317.155575988115</c:v>
                </c:pt>
                <c:pt idx="10">
                  <c:v>5317.155575988115</c:v>
                </c:pt>
                <c:pt idx="11">
                  <c:v>5317.155575988115</c:v>
                </c:pt>
                <c:pt idx="12">
                  <c:v>5317.155575988115</c:v>
                </c:pt>
                <c:pt idx="13">
                  <c:v>5317.155575988115</c:v>
                </c:pt>
                <c:pt idx="14">
                  <c:v>5317.155575988115</c:v>
                </c:pt>
                <c:pt idx="15">
                  <c:v>5317.155575988115</c:v>
                </c:pt>
                <c:pt idx="16">
                  <c:v>5317.155575988115</c:v>
                </c:pt>
                <c:pt idx="17">
                  <c:v>5317.155575988115</c:v>
                </c:pt>
                <c:pt idx="18">
                  <c:v>5317.155575988115</c:v>
                </c:pt>
                <c:pt idx="19">
                  <c:v>5317.155575988115</c:v>
                </c:pt>
                <c:pt idx="20">
                  <c:v>5317.155575988115</c:v>
                </c:pt>
                <c:pt idx="21">
                  <c:v>5317.155575988115</c:v>
                </c:pt>
                <c:pt idx="22">
                  <c:v>5317.155575988115</c:v>
                </c:pt>
                <c:pt idx="23">
                  <c:v>5317.155575988115</c:v>
                </c:pt>
                <c:pt idx="24">
                  <c:v>5317.155575988115</c:v>
                </c:pt>
                <c:pt idx="25">
                  <c:v>5317.155575988115</c:v>
                </c:pt>
                <c:pt idx="26">
                  <c:v>5317.155575988115</c:v>
                </c:pt>
                <c:pt idx="27">
                  <c:v>5317.155575988115</c:v>
                </c:pt>
                <c:pt idx="28">
                  <c:v>5317.155575988115</c:v>
                </c:pt>
                <c:pt idx="29">
                  <c:v>5317.155575988115</c:v>
                </c:pt>
                <c:pt idx="30">
                  <c:v>5317.155575988115</c:v>
                </c:pt>
                <c:pt idx="31">
                  <c:v>5317.155575988115</c:v>
                </c:pt>
                <c:pt idx="32">
                  <c:v>5317.155575988115</c:v>
                </c:pt>
                <c:pt idx="33">
                  <c:v>5317.155575988115</c:v>
                </c:pt>
                <c:pt idx="34">
                  <c:v>5317.155575988115</c:v>
                </c:pt>
                <c:pt idx="35">
                  <c:v>5317.155575988115</c:v>
                </c:pt>
                <c:pt idx="36">
                  <c:v>5317.155575988115</c:v>
                </c:pt>
                <c:pt idx="37">
                  <c:v>5317.155575988115</c:v>
                </c:pt>
                <c:pt idx="38">
                  <c:v>5317.155575988115</c:v>
                </c:pt>
                <c:pt idx="39">
                  <c:v>2477.368319826115</c:v>
                </c:pt>
                <c:pt idx="40">
                  <c:v>2477.368319826115</c:v>
                </c:pt>
                <c:pt idx="41">
                  <c:v>2477.368319826115</c:v>
                </c:pt>
                <c:pt idx="42">
                  <c:v>2477.368319826115</c:v>
                </c:pt>
                <c:pt idx="43">
                  <c:v>2477.368319826115</c:v>
                </c:pt>
                <c:pt idx="44">
                  <c:v>2477.368319826115</c:v>
                </c:pt>
                <c:pt idx="45">
                  <c:v>2477.368319826115</c:v>
                </c:pt>
                <c:pt idx="46">
                  <c:v>2477.368319826115</c:v>
                </c:pt>
                <c:pt idx="47">
                  <c:v>2477.368319826115</c:v>
                </c:pt>
                <c:pt idx="48">
                  <c:v>2477.368319826115</c:v>
                </c:pt>
                <c:pt idx="49">
                  <c:v>2477.368319826115</c:v>
                </c:pt>
                <c:pt idx="50">
                  <c:v>2477.368319826115</c:v>
                </c:pt>
                <c:pt idx="51">
                  <c:v>2477.368319826115</c:v>
                </c:pt>
                <c:pt idx="52">
                  <c:v>2477.368319826115</c:v>
                </c:pt>
                <c:pt idx="53">
                  <c:v>2477.368319826115</c:v>
                </c:pt>
                <c:pt idx="54">
                  <c:v>2477.368319826115</c:v>
                </c:pt>
                <c:pt idx="55">
                  <c:v>2477.368319826115</c:v>
                </c:pt>
                <c:pt idx="56">
                  <c:v>2477.368319826115</c:v>
                </c:pt>
                <c:pt idx="57">
                  <c:v>2477.368319826115</c:v>
                </c:pt>
                <c:pt idx="58">
                  <c:v>2477.368319826115</c:v>
                </c:pt>
                <c:pt idx="59">
                  <c:v>2477.368319826115</c:v>
                </c:pt>
                <c:pt idx="60">
                  <c:v>2477.368319826115</c:v>
                </c:pt>
                <c:pt idx="61">
                  <c:v>2477.368319826115</c:v>
                </c:pt>
                <c:pt idx="62">
                  <c:v>2477.368319826115</c:v>
                </c:pt>
                <c:pt idx="63">
                  <c:v>2477.368319826115</c:v>
                </c:pt>
                <c:pt idx="64">
                  <c:v>2477.368319826115</c:v>
                </c:pt>
                <c:pt idx="65">
                  <c:v>2477.368319826115</c:v>
                </c:pt>
                <c:pt idx="66">
                  <c:v>2477.368319826115</c:v>
                </c:pt>
                <c:pt idx="67">
                  <c:v>2477.368319826115</c:v>
                </c:pt>
                <c:pt idx="68">
                  <c:v>2477.368319826115</c:v>
                </c:pt>
                <c:pt idx="69">
                  <c:v>2477.368319826115</c:v>
                </c:pt>
                <c:pt idx="70">
                  <c:v>2477.368319826115</c:v>
                </c:pt>
                <c:pt idx="71">
                  <c:v>2477.368319826115</c:v>
                </c:pt>
                <c:pt idx="72">
                  <c:v>2477.368319826115</c:v>
                </c:pt>
                <c:pt idx="73">
                  <c:v>59625.59134945731</c:v>
                </c:pt>
                <c:pt idx="74">
                  <c:v>59625.59134945731</c:v>
                </c:pt>
                <c:pt idx="75">
                  <c:v>59625.59134945731</c:v>
                </c:pt>
                <c:pt idx="76">
                  <c:v>59625.59134945731</c:v>
                </c:pt>
                <c:pt idx="77">
                  <c:v>59625.59134945731</c:v>
                </c:pt>
                <c:pt idx="78">
                  <c:v>59625.59134945731</c:v>
                </c:pt>
                <c:pt idx="79">
                  <c:v>59625.59134945731</c:v>
                </c:pt>
                <c:pt idx="80">
                  <c:v>59625.59134945731</c:v>
                </c:pt>
                <c:pt idx="81">
                  <c:v>59625.59134945731</c:v>
                </c:pt>
                <c:pt idx="82">
                  <c:v>59625.59134945731</c:v>
                </c:pt>
                <c:pt idx="83">
                  <c:v>59625.59134945731</c:v>
                </c:pt>
                <c:pt idx="84">
                  <c:v>59625.59134945731</c:v>
                </c:pt>
                <c:pt idx="85">
                  <c:v>59625.59134945731</c:v>
                </c:pt>
                <c:pt idx="86">
                  <c:v>59625.59134945731</c:v>
                </c:pt>
                <c:pt idx="87">
                  <c:v>59625.59134945731</c:v>
                </c:pt>
                <c:pt idx="88">
                  <c:v>59625.59134945731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Percentiles!$A$10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Percentiles!$F$10:$DA$10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28209.65477523853</c:v>
                </c:pt>
                <c:pt idx="74">
                  <c:v>28209.65477523853</c:v>
                </c:pt>
                <c:pt idx="75">
                  <c:v>28209.65477523853</c:v>
                </c:pt>
                <c:pt idx="76">
                  <c:v>28209.65477523853</c:v>
                </c:pt>
                <c:pt idx="77">
                  <c:v>28209.65477523853</c:v>
                </c:pt>
                <c:pt idx="78">
                  <c:v>28209.65477523853</c:v>
                </c:pt>
                <c:pt idx="79">
                  <c:v>28209.65477523853</c:v>
                </c:pt>
                <c:pt idx="80">
                  <c:v>28209.65477523853</c:v>
                </c:pt>
                <c:pt idx="81">
                  <c:v>28209.65477523853</c:v>
                </c:pt>
                <c:pt idx="82">
                  <c:v>28209.65477523853</c:v>
                </c:pt>
                <c:pt idx="83">
                  <c:v>28209.65477523853</c:v>
                </c:pt>
                <c:pt idx="84">
                  <c:v>28209.65477523853</c:v>
                </c:pt>
                <c:pt idx="85">
                  <c:v>28209.65477523853</c:v>
                </c:pt>
                <c:pt idx="86">
                  <c:v>28209.65477523853</c:v>
                </c:pt>
                <c:pt idx="87">
                  <c:v>28209.65477523853</c:v>
                </c:pt>
                <c:pt idx="88">
                  <c:v>28209.65477523853</c:v>
                </c:pt>
                <c:pt idx="89">
                  <c:v>154408.6582878384</c:v>
                </c:pt>
                <c:pt idx="90">
                  <c:v>154408.6582878384</c:v>
                </c:pt>
                <c:pt idx="91">
                  <c:v>154408.6582878384</c:v>
                </c:pt>
                <c:pt idx="92">
                  <c:v>154408.6582878384</c:v>
                </c:pt>
                <c:pt idx="93">
                  <c:v>154408.6582878384</c:v>
                </c:pt>
                <c:pt idx="94">
                  <c:v>154408.6582878384</c:v>
                </c:pt>
                <c:pt idx="95">
                  <c:v>154408.6582878384</c:v>
                </c:pt>
                <c:pt idx="96">
                  <c:v>154408.6582878384</c:v>
                </c:pt>
                <c:pt idx="97">
                  <c:v>154408.6582878384</c:v>
                </c:pt>
                <c:pt idx="98">
                  <c:v>154408.6582878384</c:v>
                </c:pt>
                <c:pt idx="99">
                  <c:v>154408.6582878384</c:v>
                </c:pt>
              </c:numCache>
            </c:numRef>
          </c:val>
        </c:ser>
        <c:ser>
          <c:idx val="8"/>
          <c:order val="8"/>
          <c:tx>
            <c:strRef>
              <c:f>Percentiles!$A$11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Percentiles!$F$11:$DA$11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9"/>
          <c:order val="9"/>
          <c:tx>
            <c:strRef>
              <c:f>Percentiles!$A$12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Percentiles!$F$12:$DA$12</c:f>
              <c:numCache>
                <c:formatCode>0</c:formatCode>
                <c:ptCount val="100"/>
                <c:pt idx="0">
                  <c:v>1575.015620551702</c:v>
                </c:pt>
                <c:pt idx="1">
                  <c:v>1575.015620551702</c:v>
                </c:pt>
                <c:pt idx="2">
                  <c:v>1575.015620551702</c:v>
                </c:pt>
                <c:pt idx="3">
                  <c:v>1575.015620551702</c:v>
                </c:pt>
                <c:pt idx="4">
                  <c:v>1575.015620551702</c:v>
                </c:pt>
                <c:pt idx="5">
                  <c:v>1575.015620551702</c:v>
                </c:pt>
                <c:pt idx="6">
                  <c:v>1575.015620551702</c:v>
                </c:pt>
                <c:pt idx="7">
                  <c:v>1575.015620551702</c:v>
                </c:pt>
                <c:pt idx="8">
                  <c:v>1575.015620551702</c:v>
                </c:pt>
                <c:pt idx="9">
                  <c:v>1575.015620551702</c:v>
                </c:pt>
                <c:pt idx="10">
                  <c:v>1575.015620551702</c:v>
                </c:pt>
                <c:pt idx="11">
                  <c:v>1575.015620551702</c:v>
                </c:pt>
                <c:pt idx="12">
                  <c:v>1575.015620551702</c:v>
                </c:pt>
                <c:pt idx="13">
                  <c:v>1575.015620551702</c:v>
                </c:pt>
                <c:pt idx="14">
                  <c:v>1575.015620551702</c:v>
                </c:pt>
                <c:pt idx="15">
                  <c:v>1575.015620551702</c:v>
                </c:pt>
                <c:pt idx="16">
                  <c:v>1575.015620551702</c:v>
                </c:pt>
                <c:pt idx="17">
                  <c:v>1575.015620551702</c:v>
                </c:pt>
                <c:pt idx="18">
                  <c:v>1575.015620551702</c:v>
                </c:pt>
                <c:pt idx="19">
                  <c:v>1575.015620551702</c:v>
                </c:pt>
                <c:pt idx="20">
                  <c:v>1575.015620551702</c:v>
                </c:pt>
                <c:pt idx="21">
                  <c:v>1575.015620551702</c:v>
                </c:pt>
                <c:pt idx="22">
                  <c:v>1575.015620551702</c:v>
                </c:pt>
                <c:pt idx="23">
                  <c:v>1575.015620551702</c:v>
                </c:pt>
                <c:pt idx="24">
                  <c:v>1575.015620551702</c:v>
                </c:pt>
                <c:pt idx="25">
                  <c:v>1575.015620551702</c:v>
                </c:pt>
                <c:pt idx="26">
                  <c:v>1575.015620551702</c:v>
                </c:pt>
                <c:pt idx="27">
                  <c:v>1575.015620551702</c:v>
                </c:pt>
                <c:pt idx="28">
                  <c:v>1575.015620551702</c:v>
                </c:pt>
                <c:pt idx="29">
                  <c:v>1575.015620551702</c:v>
                </c:pt>
                <c:pt idx="30">
                  <c:v>1575.015620551702</c:v>
                </c:pt>
                <c:pt idx="31">
                  <c:v>1575.015620551702</c:v>
                </c:pt>
                <c:pt idx="32">
                  <c:v>1575.015620551702</c:v>
                </c:pt>
                <c:pt idx="33">
                  <c:v>1575.015620551702</c:v>
                </c:pt>
                <c:pt idx="34">
                  <c:v>1575.015620551702</c:v>
                </c:pt>
                <c:pt idx="35">
                  <c:v>1575.015620551702</c:v>
                </c:pt>
                <c:pt idx="36">
                  <c:v>1575.015620551702</c:v>
                </c:pt>
                <c:pt idx="37">
                  <c:v>1575.015620551702</c:v>
                </c:pt>
                <c:pt idx="38">
                  <c:v>1575.015620551702</c:v>
                </c:pt>
                <c:pt idx="39">
                  <c:v>1148.448889985616</c:v>
                </c:pt>
                <c:pt idx="40">
                  <c:v>1148.448889985616</c:v>
                </c:pt>
                <c:pt idx="41">
                  <c:v>1148.448889985616</c:v>
                </c:pt>
                <c:pt idx="42">
                  <c:v>1148.448889985616</c:v>
                </c:pt>
                <c:pt idx="43">
                  <c:v>1148.448889985616</c:v>
                </c:pt>
                <c:pt idx="44">
                  <c:v>1148.448889985616</c:v>
                </c:pt>
                <c:pt idx="45">
                  <c:v>1148.448889985616</c:v>
                </c:pt>
                <c:pt idx="46">
                  <c:v>1148.448889985616</c:v>
                </c:pt>
                <c:pt idx="47">
                  <c:v>1148.448889985616</c:v>
                </c:pt>
                <c:pt idx="48">
                  <c:v>1148.448889985616</c:v>
                </c:pt>
                <c:pt idx="49">
                  <c:v>1148.448889985616</c:v>
                </c:pt>
                <c:pt idx="50">
                  <c:v>1148.448889985616</c:v>
                </c:pt>
                <c:pt idx="51">
                  <c:v>1148.448889985616</c:v>
                </c:pt>
                <c:pt idx="52">
                  <c:v>1148.448889985616</c:v>
                </c:pt>
                <c:pt idx="53">
                  <c:v>1148.448889985616</c:v>
                </c:pt>
                <c:pt idx="54">
                  <c:v>1148.448889985616</c:v>
                </c:pt>
                <c:pt idx="55">
                  <c:v>1148.448889985616</c:v>
                </c:pt>
                <c:pt idx="56">
                  <c:v>1148.448889985616</c:v>
                </c:pt>
                <c:pt idx="57">
                  <c:v>1148.448889985616</c:v>
                </c:pt>
                <c:pt idx="58">
                  <c:v>1148.448889985616</c:v>
                </c:pt>
                <c:pt idx="59">
                  <c:v>1148.448889985616</c:v>
                </c:pt>
                <c:pt idx="60">
                  <c:v>1148.448889985616</c:v>
                </c:pt>
                <c:pt idx="61">
                  <c:v>1148.448889985616</c:v>
                </c:pt>
                <c:pt idx="62">
                  <c:v>1148.448889985616</c:v>
                </c:pt>
                <c:pt idx="63">
                  <c:v>1148.448889985616</c:v>
                </c:pt>
                <c:pt idx="64">
                  <c:v>1148.448889985616</c:v>
                </c:pt>
                <c:pt idx="65">
                  <c:v>1148.448889985616</c:v>
                </c:pt>
                <c:pt idx="66">
                  <c:v>1148.448889985616</c:v>
                </c:pt>
                <c:pt idx="67">
                  <c:v>1148.448889985616</c:v>
                </c:pt>
                <c:pt idx="68">
                  <c:v>1148.448889985616</c:v>
                </c:pt>
                <c:pt idx="69">
                  <c:v>1148.448889985616</c:v>
                </c:pt>
                <c:pt idx="70">
                  <c:v>1148.448889985616</c:v>
                </c:pt>
                <c:pt idx="71">
                  <c:v>1148.448889985616</c:v>
                </c:pt>
                <c:pt idx="72">
                  <c:v>1148.448889985616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60961.88831309465</c:v>
                </c:pt>
                <c:pt idx="90">
                  <c:v>60961.88831309465</c:v>
                </c:pt>
                <c:pt idx="91">
                  <c:v>60961.88831309465</c:v>
                </c:pt>
                <c:pt idx="92">
                  <c:v>60961.88831309465</c:v>
                </c:pt>
                <c:pt idx="93">
                  <c:v>60961.88831309465</c:v>
                </c:pt>
                <c:pt idx="94">
                  <c:v>60961.88831309465</c:v>
                </c:pt>
                <c:pt idx="95">
                  <c:v>60961.88831309465</c:v>
                </c:pt>
                <c:pt idx="96">
                  <c:v>60961.88831309465</c:v>
                </c:pt>
                <c:pt idx="97">
                  <c:v>60961.88831309465</c:v>
                </c:pt>
                <c:pt idx="98">
                  <c:v>60961.88831309465</c:v>
                </c:pt>
                <c:pt idx="99">
                  <c:v>60961.88831309465</c:v>
                </c:pt>
              </c:numCache>
            </c:numRef>
          </c:val>
        </c:ser>
        <c:ser>
          <c:idx val="10"/>
          <c:order val="10"/>
          <c:tx>
            <c:strRef>
              <c:f>Percentiles!$A$13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Percentiles!$F$13:$DA$13</c:f>
              <c:numCache>
                <c:formatCode>0</c:formatCode>
                <c:ptCount val="100"/>
                <c:pt idx="0">
                  <c:v>2542.666846672839</c:v>
                </c:pt>
                <c:pt idx="1">
                  <c:v>2542.666846672839</c:v>
                </c:pt>
                <c:pt idx="2">
                  <c:v>2542.666846672839</c:v>
                </c:pt>
                <c:pt idx="3">
                  <c:v>2542.666846672839</c:v>
                </c:pt>
                <c:pt idx="4">
                  <c:v>2542.666846672839</c:v>
                </c:pt>
                <c:pt idx="5">
                  <c:v>2542.666846672839</c:v>
                </c:pt>
                <c:pt idx="6">
                  <c:v>2542.666846672839</c:v>
                </c:pt>
                <c:pt idx="7">
                  <c:v>2542.666846672839</c:v>
                </c:pt>
                <c:pt idx="8">
                  <c:v>2542.666846672839</c:v>
                </c:pt>
                <c:pt idx="9">
                  <c:v>2542.666846672839</c:v>
                </c:pt>
                <c:pt idx="10">
                  <c:v>2542.666846672839</c:v>
                </c:pt>
                <c:pt idx="11">
                  <c:v>2542.666846672839</c:v>
                </c:pt>
                <c:pt idx="12">
                  <c:v>2542.666846672839</c:v>
                </c:pt>
                <c:pt idx="13">
                  <c:v>2542.666846672839</c:v>
                </c:pt>
                <c:pt idx="14">
                  <c:v>2542.666846672839</c:v>
                </c:pt>
                <c:pt idx="15">
                  <c:v>2542.666846672839</c:v>
                </c:pt>
                <c:pt idx="16">
                  <c:v>2542.666846672839</c:v>
                </c:pt>
                <c:pt idx="17">
                  <c:v>2542.666846672839</c:v>
                </c:pt>
                <c:pt idx="18">
                  <c:v>2542.666846672839</c:v>
                </c:pt>
                <c:pt idx="19">
                  <c:v>2542.666846672839</c:v>
                </c:pt>
                <c:pt idx="20">
                  <c:v>2542.666846672839</c:v>
                </c:pt>
                <c:pt idx="21">
                  <c:v>2542.666846672839</c:v>
                </c:pt>
                <c:pt idx="22">
                  <c:v>2542.666846672839</c:v>
                </c:pt>
                <c:pt idx="23">
                  <c:v>2542.666846672839</c:v>
                </c:pt>
                <c:pt idx="24">
                  <c:v>2542.666846672839</c:v>
                </c:pt>
                <c:pt idx="25">
                  <c:v>2542.666846672839</c:v>
                </c:pt>
                <c:pt idx="26">
                  <c:v>2542.666846672839</c:v>
                </c:pt>
                <c:pt idx="27">
                  <c:v>2542.666846672839</c:v>
                </c:pt>
                <c:pt idx="28">
                  <c:v>2542.666846672839</c:v>
                </c:pt>
                <c:pt idx="29">
                  <c:v>2542.666846672839</c:v>
                </c:pt>
                <c:pt idx="30">
                  <c:v>2542.666846672839</c:v>
                </c:pt>
                <c:pt idx="31">
                  <c:v>2542.666846672839</c:v>
                </c:pt>
                <c:pt idx="32">
                  <c:v>2542.666846672839</c:v>
                </c:pt>
                <c:pt idx="33">
                  <c:v>2542.666846672839</c:v>
                </c:pt>
                <c:pt idx="34">
                  <c:v>2542.666846672839</c:v>
                </c:pt>
                <c:pt idx="35">
                  <c:v>2542.666846672839</c:v>
                </c:pt>
                <c:pt idx="36">
                  <c:v>2542.666846672839</c:v>
                </c:pt>
                <c:pt idx="37">
                  <c:v>2542.666846672839</c:v>
                </c:pt>
                <c:pt idx="38">
                  <c:v>2542.666846672839</c:v>
                </c:pt>
                <c:pt idx="39">
                  <c:v>2592.638932611427</c:v>
                </c:pt>
                <c:pt idx="40">
                  <c:v>2592.638932611427</c:v>
                </c:pt>
                <c:pt idx="41">
                  <c:v>2592.638932611427</c:v>
                </c:pt>
                <c:pt idx="42">
                  <c:v>2592.638932611427</c:v>
                </c:pt>
                <c:pt idx="43">
                  <c:v>2592.638932611427</c:v>
                </c:pt>
                <c:pt idx="44">
                  <c:v>2592.638932611427</c:v>
                </c:pt>
                <c:pt idx="45">
                  <c:v>2592.638932611427</c:v>
                </c:pt>
                <c:pt idx="46">
                  <c:v>2592.638932611427</c:v>
                </c:pt>
                <c:pt idx="47">
                  <c:v>2592.638932611427</c:v>
                </c:pt>
                <c:pt idx="48">
                  <c:v>2592.638932611427</c:v>
                </c:pt>
                <c:pt idx="49">
                  <c:v>2592.638932611427</c:v>
                </c:pt>
                <c:pt idx="50">
                  <c:v>2592.638932611427</c:v>
                </c:pt>
                <c:pt idx="51">
                  <c:v>2592.638932611427</c:v>
                </c:pt>
                <c:pt idx="52">
                  <c:v>2592.638932611427</c:v>
                </c:pt>
                <c:pt idx="53">
                  <c:v>2592.638932611427</c:v>
                </c:pt>
                <c:pt idx="54">
                  <c:v>2592.638932611427</c:v>
                </c:pt>
                <c:pt idx="55">
                  <c:v>2592.638932611427</c:v>
                </c:pt>
                <c:pt idx="56">
                  <c:v>2592.638932611427</c:v>
                </c:pt>
                <c:pt idx="57">
                  <c:v>2592.638932611427</c:v>
                </c:pt>
                <c:pt idx="58">
                  <c:v>2592.638932611427</c:v>
                </c:pt>
                <c:pt idx="59">
                  <c:v>2592.638932611427</c:v>
                </c:pt>
                <c:pt idx="60">
                  <c:v>2592.638932611427</c:v>
                </c:pt>
                <c:pt idx="61">
                  <c:v>2592.638932611427</c:v>
                </c:pt>
                <c:pt idx="62">
                  <c:v>2592.638932611427</c:v>
                </c:pt>
                <c:pt idx="63">
                  <c:v>2592.638932611427</c:v>
                </c:pt>
                <c:pt idx="64">
                  <c:v>2592.638932611427</c:v>
                </c:pt>
                <c:pt idx="65">
                  <c:v>2592.638932611427</c:v>
                </c:pt>
                <c:pt idx="66">
                  <c:v>2592.638932611427</c:v>
                </c:pt>
                <c:pt idx="67">
                  <c:v>2592.638932611427</c:v>
                </c:pt>
                <c:pt idx="68">
                  <c:v>2592.638932611427</c:v>
                </c:pt>
                <c:pt idx="69">
                  <c:v>2592.638932611427</c:v>
                </c:pt>
                <c:pt idx="70">
                  <c:v>2592.638932611427</c:v>
                </c:pt>
                <c:pt idx="71">
                  <c:v>2592.638932611427</c:v>
                </c:pt>
                <c:pt idx="72">
                  <c:v>2592.638932611427</c:v>
                </c:pt>
                <c:pt idx="73">
                  <c:v>2307.402851627442</c:v>
                </c:pt>
                <c:pt idx="74">
                  <c:v>2307.402851627442</c:v>
                </c:pt>
                <c:pt idx="75">
                  <c:v>2307.402851627442</c:v>
                </c:pt>
                <c:pt idx="76">
                  <c:v>2307.402851627442</c:v>
                </c:pt>
                <c:pt idx="77">
                  <c:v>2307.402851627442</c:v>
                </c:pt>
                <c:pt idx="78">
                  <c:v>2307.402851627442</c:v>
                </c:pt>
                <c:pt idx="79">
                  <c:v>2307.402851627442</c:v>
                </c:pt>
                <c:pt idx="80">
                  <c:v>2307.402851627442</c:v>
                </c:pt>
                <c:pt idx="81">
                  <c:v>2307.402851627442</c:v>
                </c:pt>
                <c:pt idx="82">
                  <c:v>2307.402851627442</c:v>
                </c:pt>
                <c:pt idx="83">
                  <c:v>2307.402851627442</c:v>
                </c:pt>
                <c:pt idx="84">
                  <c:v>2307.402851627442</c:v>
                </c:pt>
                <c:pt idx="85">
                  <c:v>2307.402851627442</c:v>
                </c:pt>
                <c:pt idx="86">
                  <c:v>2307.402851627442</c:v>
                </c:pt>
                <c:pt idx="87">
                  <c:v>2307.402851627442</c:v>
                </c:pt>
                <c:pt idx="88">
                  <c:v>2307.402851627442</c:v>
                </c:pt>
                <c:pt idx="89">
                  <c:v>403.9561828804129</c:v>
                </c:pt>
                <c:pt idx="90">
                  <c:v>403.9561828804129</c:v>
                </c:pt>
                <c:pt idx="91">
                  <c:v>403.9561828804129</c:v>
                </c:pt>
                <c:pt idx="92">
                  <c:v>403.9561828804129</c:v>
                </c:pt>
                <c:pt idx="93">
                  <c:v>403.9561828804129</c:v>
                </c:pt>
                <c:pt idx="94">
                  <c:v>403.9561828804129</c:v>
                </c:pt>
                <c:pt idx="95">
                  <c:v>403.9561828804129</c:v>
                </c:pt>
                <c:pt idx="96">
                  <c:v>403.9561828804129</c:v>
                </c:pt>
                <c:pt idx="97">
                  <c:v>403.9561828804129</c:v>
                </c:pt>
                <c:pt idx="98">
                  <c:v>403.9561828804129</c:v>
                </c:pt>
                <c:pt idx="99">
                  <c:v>403.9561828804129</c:v>
                </c:pt>
              </c:numCache>
            </c:numRef>
          </c:val>
        </c:ser>
        <c:ser>
          <c:idx val="13"/>
          <c:order val="11"/>
          <c:tx>
            <c:strRef>
              <c:f>Percentiles!$A$14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Percentiles!$F$14:$DA$14</c:f>
              <c:numCache>
                <c:formatCode>0</c:formatCode>
                <c:ptCount val="100"/>
                <c:pt idx="0">
                  <c:v>23585.85891776174</c:v>
                </c:pt>
                <c:pt idx="1">
                  <c:v>23585.85891776174</c:v>
                </c:pt>
                <c:pt idx="2">
                  <c:v>23585.85891776174</c:v>
                </c:pt>
                <c:pt idx="3">
                  <c:v>23585.85891776174</c:v>
                </c:pt>
                <c:pt idx="4">
                  <c:v>23585.85891776174</c:v>
                </c:pt>
                <c:pt idx="5">
                  <c:v>23585.85891776174</c:v>
                </c:pt>
                <c:pt idx="6">
                  <c:v>23585.85891776174</c:v>
                </c:pt>
                <c:pt idx="7">
                  <c:v>23585.85891776174</c:v>
                </c:pt>
                <c:pt idx="8">
                  <c:v>23585.85891776174</c:v>
                </c:pt>
                <c:pt idx="9">
                  <c:v>23585.85891776174</c:v>
                </c:pt>
                <c:pt idx="10">
                  <c:v>23585.85891776174</c:v>
                </c:pt>
                <c:pt idx="11">
                  <c:v>23585.85891776174</c:v>
                </c:pt>
                <c:pt idx="12">
                  <c:v>23585.85891776174</c:v>
                </c:pt>
                <c:pt idx="13">
                  <c:v>23585.85891776174</c:v>
                </c:pt>
                <c:pt idx="14">
                  <c:v>23585.85891776174</c:v>
                </c:pt>
                <c:pt idx="15">
                  <c:v>23585.85891776174</c:v>
                </c:pt>
                <c:pt idx="16">
                  <c:v>23585.85891776174</c:v>
                </c:pt>
                <c:pt idx="17">
                  <c:v>23585.85891776174</c:v>
                </c:pt>
                <c:pt idx="18">
                  <c:v>23585.85891776174</c:v>
                </c:pt>
                <c:pt idx="19">
                  <c:v>23585.85891776174</c:v>
                </c:pt>
                <c:pt idx="20">
                  <c:v>23585.85891776174</c:v>
                </c:pt>
                <c:pt idx="21">
                  <c:v>23585.85891776174</c:v>
                </c:pt>
                <c:pt idx="22">
                  <c:v>23585.85891776174</c:v>
                </c:pt>
                <c:pt idx="23">
                  <c:v>23585.85891776174</c:v>
                </c:pt>
                <c:pt idx="24">
                  <c:v>23585.85891776174</c:v>
                </c:pt>
                <c:pt idx="25">
                  <c:v>23585.85891776174</c:v>
                </c:pt>
                <c:pt idx="26">
                  <c:v>23585.85891776174</c:v>
                </c:pt>
                <c:pt idx="27">
                  <c:v>23585.85891776174</c:v>
                </c:pt>
                <c:pt idx="28">
                  <c:v>23585.85891776174</c:v>
                </c:pt>
                <c:pt idx="29">
                  <c:v>23585.85891776174</c:v>
                </c:pt>
                <c:pt idx="30">
                  <c:v>23585.85891776174</c:v>
                </c:pt>
                <c:pt idx="31">
                  <c:v>23585.85891776174</c:v>
                </c:pt>
                <c:pt idx="32">
                  <c:v>23585.85891776174</c:v>
                </c:pt>
                <c:pt idx="33">
                  <c:v>23585.85891776174</c:v>
                </c:pt>
                <c:pt idx="34">
                  <c:v>23585.85891776174</c:v>
                </c:pt>
                <c:pt idx="35">
                  <c:v>23585.85891776174</c:v>
                </c:pt>
                <c:pt idx="36">
                  <c:v>23585.85891776174</c:v>
                </c:pt>
                <c:pt idx="37">
                  <c:v>23585.85891776174</c:v>
                </c:pt>
                <c:pt idx="38">
                  <c:v>23585.85891776174</c:v>
                </c:pt>
                <c:pt idx="39">
                  <c:v>31271.44295367262</c:v>
                </c:pt>
                <c:pt idx="40">
                  <c:v>31271.44295367262</c:v>
                </c:pt>
                <c:pt idx="41">
                  <c:v>31271.44295367262</c:v>
                </c:pt>
                <c:pt idx="42">
                  <c:v>31271.44295367262</c:v>
                </c:pt>
                <c:pt idx="43">
                  <c:v>31271.44295367262</c:v>
                </c:pt>
                <c:pt idx="44">
                  <c:v>31271.44295367262</c:v>
                </c:pt>
                <c:pt idx="45">
                  <c:v>31271.44295367262</c:v>
                </c:pt>
                <c:pt idx="46">
                  <c:v>31271.44295367262</c:v>
                </c:pt>
                <c:pt idx="47">
                  <c:v>31271.44295367262</c:v>
                </c:pt>
                <c:pt idx="48">
                  <c:v>31271.44295367262</c:v>
                </c:pt>
                <c:pt idx="49">
                  <c:v>31271.44295367262</c:v>
                </c:pt>
                <c:pt idx="50">
                  <c:v>31271.44295367262</c:v>
                </c:pt>
                <c:pt idx="51">
                  <c:v>31271.44295367262</c:v>
                </c:pt>
                <c:pt idx="52">
                  <c:v>31271.44295367262</c:v>
                </c:pt>
                <c:pt idx="53">
                  <c:v>31271.44295367262</c:v>
                </c:pt>
                <c:pt idx="54">
                  <c:v>31271.44295367262</c:v>
                </c:pt>
                <c:pt idx="55">
                  <c:v>31271.44295367262</c:v>
                </c:pt>
                <c:pt idx="56">
                  <c:v>31271.44295367262</c:v>
                </c:pt>
                <c:pt idx="57">
                  <c:v>31271.44295367262</c:v>
                </c:pt>
                <c:pt idx="58">
                  <c:v>31271.44295367262</c:v>
                </c:pt>
                <c:pt idx="59">
                  <c:v>31271.44295367262</c:v>
                </c:pt>
                <c:pt idx="60">
                  <c:v>31271.44295367262</c:v>
                </c:pt>
                <c:pt idx="61">
                  <c:v>31271.44295367262</c:v>
                </c:pt>
                <c:pt idx="62">
                  <c:v>31271.44295367262</c:v>
                </c:pt>
                <c:pt idx="63">
                  <c:v>31271.44295367262</c:v>
                </c:pt>
                <c:pt idx="64">
                  <c:v>31271.44295367262</c:v>
                </c:pt>
                <c:pt idx="65">
                  <c:v>31271.44295367262</c:v>
                </c:pt>
                <c:pt idx="66">
                  <c:v>31271.44295367262</c:v>
                </c:pt>
                <c:pt idx="67">
                  <c:v>31271.44295367262</c:v>
                </c:pt>
                <c:pt idx="68">
                  <c:v>31271.44295367262</c:v>
                </c:pt>
                <c:pt idx="69">
                  <c:v>31271.44295367262</c:v>
                </c:pt>
                <c:pt idx="70">
                  <c:v>31271.44295367262</c:v>
                </c:pt>
                <c:pt idx="71">
                  <c:v>31271.44295367262</c:v>
                </c:pt>
                <c:pt idx="72">
                  <c:v>31271.44295367262</c:v>
                </c:pt>
                <c:pt idx="73">
                  <c:v>9343.217663344205</c:v>
                </c:pt>
                <c:pt idx="74">
                  <c:v>9343.217663344205</c:v>
                </c:pt>
                <c:pt idx="75">
                  <c:v>9343.217663344205</c:v>
                </c:pt>
                <c:pt idx="76">
                  <c:v>9343.217663344205</c:v>
                </c:pt>
                <c:pt idx="77">
                  <c:v>9343.217663344205</c:v>
                </c:pt>
                <c:pt idx="78">
                  <c:v>9343.217663344205</c:v>
                </c:pt>
                <c:pt idx="79">
                  <c:v>9343.217663344205</c:v>
                </c:pt>
                <c:pt idx="80">
                  <c:v>9343.217663344205</c:v>
                </c:pt>
                <c:pt idx="81">
                  <c:v>9343.217663344205</c:v>
                </c:pt>
                <c:pt idx="82">
                  <c:v>9343.217663344205</c:v>
                </c:pt>
                <c:pt idx="83">
                  <c:v>9343.217663344205</c:v>
                </c:pt>
                <c:pt idx="84">
                  <c:v>9343.217663344205</c:v>
                </c:pt>
                <c:pt idx="85">
                  <c:v>9343.217663344205</c:v>
                </c:pt>
                <c:pt idx="86">
                  <c:v>9343.217663344205</c:v>
                </c:pt>
                <c:pt idx="87">
                  <c:v>9343.217663344205</c:v>
                </c:pt>
                <c:pt idx="88">
                  <c:v>9343.217663344205</c:v>
                </c:pt>
                <c:pt idx="89">
                  <c:v>11264.23818657181</c:v>
                </c:pt>
                <c:pt idx="90">
                  <c:v>11264.23818657181</c:v>
                </c:pt>
                <c:pt idx="91">
                  <c:v>11264.23818657181</c:v>
                </c:pt>
                <c:pt idx="92">
                  <c:v>11264.23818657181</c:v>
                </c:pt>
                <c:pt idx="93">
                  <c:v>11264.23818657181</c:v>
                </c:pt>
                <c:pt idx="94">
                  <c:v>11264.23818657181</c:v>
                </c:pt>
                <c:pt idx="95">
                  <c:v>11264.23818657181</c:v>
                </c:pt>
                <c:pt idx="96">
                  <c:v>11264.23818657181</c:v>
                </c:pt>
                <c:pt idx="97">
                  <c:v>11264.23818657181</c:v>
                </c:pt>
                <c:pt idx="98">
                  <c:v>11264.23818657181</c:v>
                </c:pt>
                <c:pt idx="99">
                  <c:v>11264.23818657181</c:v>
                </c:pt>
              </c:numCache>
            </c:numRef>
          </c:val>
        </c:ser>
        <c:ser>
          <c:idx val="11"/>
          <c:order val="12"/>
          <c:tx>
            <c:strRef>
              <c:f>Percentiles!$A$15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Percentiles!$F$15:$DA$15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348.6362701742048</c:v>
                </c:pt>
                <c:pt idx="40">
                  <c:v>348.6362701742048</c:v>
                </c:pt>
                <c:pt idx="41">
                  <c:v>348.6362701742048</c:v>
                </c:pt>
                <c:pt idx="42">
                  <c:v>348.6362701742048</c:v>
                </c:pt>
                <c:pt idx="43">
                  <c:v>348.6362701742048</c:v>
                </c:pt>
                <c:pt idx="44">
                  <c:v>348.6362701742048</c:v>
                </c:pt>
                <c:pt idx="45">
                  <c:v>348.6362701742048</c:v>
                </c:pt>
                <c:pt idx="46">
                  <c:v>348.6362701742048</c:v>
                </c:pt>
                <c:pt idx="47">
                  <c:v>348.6362701742048</c:v>
                </c:pt>
                <c:pt idx="48">
                  <c:v>348.6362701742048</c:v>
                </c:pt>
                <c:pt idx="49">
                  <c:v>348.6362701742048</c:v>
                </c:pt>
                <c:pt idx="50">
                  <c:v>348.6362701742048</c:v>
                </c:pt>
                <c:pt idx="51">
                  <c:v>348.6362701742048</c:v>
                </c:pt>
                <c:pt idx="52">
                  <c:v>348.6362701742048</c:v>
                </c:pt>
                <c:pt idx="53">
                  <c:v>348.6362701742048</c:v>
                </c:pt>
                <c:pt idx="54">
                  <c:v>348.6362701742048</c:v>
                </c:pt>
                <c:pt idx="55">
                  <c:v>348.6362701742048</c:v>
                </c:pt>
                <c:pt idx="56">
                  <c:v>348.6362701742048</c:v>
                </c:pt>
                <c:pt idx="57">
                  <c:v>348.6362701742048</c:v>
                </c:pt>
                <c:pt idx="58">
                  <c:v>348.6362701742048</c:v>
                </c:pt>
                <c:pt idx="59">
                  <c:v>348.6362701742048</c:v>
                </c:pt>
                <c:pt idx="60">
                  <c:v>348.6362701742048</c:v>
                </c:pt>
                <c:pt idx="61">
                  <c:v>348.6362701742048</c:v>
                </c:pt>
                <c:pt idx="62">
                  <c:v>348.6362701742048</c:v>
                </c:pt>
                <c:pt idx="63">
                  <c:v>348.6362701742048</c:v>
                </c:pt>
                <c:pt idx="64">
                  <c:v>348.6362701742048</c:v>
                </c:pt>
                <c:pt idx="65">
                  <c:v>348.6362701742048</c:v>
                </c:pt>
                <c:pt idx="66">
                  <c:v>348.6362701742048</c:v>
                </c:pt>
                <c:pt idx="67">
                  <c:v>348.6362701742048</c:v>
                </c:pt>
                <c:pt idx="68">
                  <c:v>348.6362701742048</c:v>
                </c:pt>
                <c:pt idx="69">
                  <c:v>348.6362701742048</c:v>
                </c:pt>
                <c:pt idx="70">
                  <c:v>348.6362701742048</c:v>
                </c:pt>
                <c:pt idx="71">
                  <c:v>348.6362701742048</c:v>
                </c:pt>
                <c:pt idx="72">
                  <c:v>348.6362701742048</c:v>
                </c:pt>
                <c:pt idx="73">
                  <c:v>6257.874563799174</c:v>
                </c:pt>
                <c:pt idx="74">
                  <c:v>6257.874563799174</c:v>
                </c:pt>
                <c:pt idx="75">
                  <c:v>6257.874563799174</c:v>
                </c:pt>
                <c:pt idx="76">
                  <c:v>6257.874563799174</c:v>
                </c:pt>
                <c:pt idx="77">
                  <c:v>6257.874563799174</c:v>
                </c:pt>
                <c:pt idx="78">
                  <c:v>6257.874563799174</c:v>
                </c:pt>
                <c:pt idx="79">
                  <c:v>6257.874563799174</c:v>
                </c:pt>
                <c:pt idx="80">
                  <c:v>6257.874563799174</c:v>
                </c:pt>
                <c:pt idx="81">
                  <c:v>6257.874563799174</c:v>
                </c:pt>
                <c:pt idx="82">
                  <c:v>6257.874563799174</c:v>
                </c:pt>
                <c:pt idx="83">
                  <c:v>6257.874563799174</c:v>
                </c:pt>
                <c:pt idx="84">
                  <c:v>6257.874563799174</c:v>
                </c:pt>
                <c:pt idx="85">
                  <c:v>6257.874563799174</c:v>
                </c:pt>
                <c:pt idx="86">
                  <c:v>6257.874563799174</c:v>
                </c:pt>
                <c:pt idx="87">
                  <c:v>6257.874563799174</c:v>
                </c:pt>
                <c:pt idx="88">
                  <c:v>6257.874563799174</c:v>
                </c:pt>
                <c:pt idx="89">
                  <c:v>22950.35795316505</c:v>
                </c:pt>
                <c:pt idx="90">
                  <c:v>22950.35795316505</c:v>
                </c:pt>
                <c:pt idx="91">
                  <c:v>22950.35795316505</c:v>
                </c:pt>
                <c:pt idx="92">
                  <c:v>22950.35795316505</c:v>
                </c:pt>
                <c:pt idx="93">
                  <c:v>22950.35795316505</c:v>
                </c:pt>
                <c:pt idx="94">
                  <c:v>22950.35795316505</c:v>
                </c:pt>
                <c:pt idx="95">
                  <c:v>22950.35795316505</c:v>
                </c:pt>
                <c:pt idx="96">
                  <c:v>22950.35795316505</c:v>
                </c:pt>
                <c:pt idx="97">
                  <c:v>22950.35795316505</c:v>
                </c:pt>
                <c:pt idx="98">
                  <c:v>22950.35795316505</c:v>
                </c:pt>
                <c:pt idx="99">
                  <c:v>22950.35795316505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85110088"/>
        <c:axId val="-2085106664"/>
      </c:barChart>
      <c:lineChart>
        <c:grouping val="standard"/>
        <c:varyColors val="0"/>
        <c:ser>
          <c:idx val="12"/>
          <c:order val="13"/>
          <c:tx>
            <c:strRef>
              <c:f>Percentiles!$A$17</c:f>
              <c:strCache>
                <c:ptCount val="1"/>
                <c:pt idx="0">
                  <c:v>Survival Threshold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Percentiles!$F$17:$DA$17</c:f>
              <c:numCache>
                <c:formatCode>0</c:formatCode>
                <c:ptCount val="100"/>
                <c:pt idx="0">
                  <c:v>31035.99249196373</c:v>
                </c:pt>
                <c:pt idx="1">
                  <c:v>31035.99249196373</c:v>
                </c:pt>
                <c:pt idx="2">
                  <c:v>31035.99249196373</c:v>
                </c:pt>
                <c:pt idx="3">
                  <c:v>31035.99249196373</c:v>
                </c:pt>
                <c:pt idx="4">
                  <c:v>31035.99249196373</c:v>
                </c:pt>
                <c:pt idx="5">
                  <c:v>31035.99249196373</c:v>
                </c:pt>
                <c:pt idx="6">
                  <c:v>31035.99249196373</c:v>
                </c:pt>
                <c:pt idx="7">
                  <c:v>31035.99249196373</c:v>
                </c:pt>
                <c:pt idx="8">
                  <c:v>31035.99249196373</c:v>
                </c:pt>
                <c:pt idx="9">
                  <c:v>31035.99249196373</c:v>
                </c:pt>
                <c:pt idx="10">
                  <c:v>31035.99249196373</c:v>
                </c:pt>
                <c:pt idx="11">
                  <c:v>31035.99249196373</c:v>
                </c:pt>
                <c:pt idx="12">
                  <c:v>31035.99249196373</c:v>
                </c:pt>
                <c:pt idx="13">
                  <c:v>31035.99249196373</c:v>
                </c:pt>
                <c:pt idx="14">
                  <c:v>31035.99249196373</c:v>
                </c:pt>
                <c:pt idx="15">
                  <c:v>31035.99249196373</c:v>
                </c:pt>
                <c:pt idx="16">
                  <c:v>31035.99249196373</c:v>
                </c:pt>
                <c:pt idx="17">
                  <c:v>31035.99249196373</c:v>
                </c:pt>
                <c:pt idx="18">
                  <c:v>31035.99249196373</c:v>
                </c:pt>
                <c:pt idx="19">
                  <c:v>31035.99249196373</c:v>
                </c:pt>
                <c:pt idx="20">
                  <c:v>31035.99249196373</c:v>
                </c:pt>
                <c:pt idx="21">
                  <c:v>31035.99249196373</c:v>
                </c:pt>
                <c:pt idx="22">
                  <c:v>31035.99249196373</c:v>
                </c:pt>
                <c:pt idx="23">
                  <c:v>31035.99249196373</c:v>
                </c:pt>
                <c:pt idx="24">
                  <c:v>31035.99249196373</c:v>
                </c:pt>
                <c:pt idx="25">
                  <c:v>31035.99249196373</c:v>
                </c:pt>
                <c:pt idx="26">
                  <c:v>31035.99249196373</c:v>
                </c:pt>
                <c:pt idx="27">
                  <c:v>31035.99249196373</c:v>
                </c:pt>
                <c:pt idx="28">
                  <c:v>31035.99249196373</c:v>
                </c:pt>
                <c:pt idx="29">
                  <c:v>31035.99249196373</c:v>
                </c:pt>
                <c:pt idx="30">
                  <c:v>31035.99249196373</c:v>
                </c:pt>
                <c:pt idx="31">
                  <c:v>31035.99249196373</c:v>
                </c:pt>
                <c:pt idx="32">
                  <c:v>31035.99249196373</c:v>
                </c:pt>
                <c:pt idx="33">
                  <c:v>31035.99249196373</c:v>
                </c:pt>
                <c:pt idx="34">
                  <c:v>31035.99249196373</c:v>
                </c:pt>
                <c:pt idx="35">
                  <c:v>31035.99249196373</c:v>
                </c:pt>
                <c:pt idx="36">
                  <c:v>31035.99249196373</c:v>
                </c:pt>
                <c:pt idx="37">
                  <c:v>31035.99249196373</c:v>
                </c:pt>
                <c:pt idx="38">
                  <c:v>31035.99249196373</c:v>
                </c:pt>
                <c:pt idx="39">
                  <c:v>31035.99249196373</c:v>
                </c:pt>
                <c:pt idx="40">
                  <c:v>31035.99249196373</c:v>
                </c:pt>
                <c:pt idx="41">
                  <c:v>31035.99249196373</c:v>
                </c:pt>
                <c:pt idx="42">
                  <c:v>31035.99249196373</c:v>
                </c:pt>
                <c:pt idx="43">
                  <c:v>31035.99249196373</c:v>
                </c:pt>
                <c:pt idx="44">
                  <c:v>31035.99249196373</c:v>
                </c:pt>
                <c:pt idx="45">
                  <c:v>31035.99249196373</c:v>
                </c:pt>
                <c:pt idx="46">
                  <c:v>31035.99249196373</c:v>
                </c:pt>
                <c:pt idx="47">
                  <c:v>31035.99249196373</c:v>
                </c:pt>
                <c:pt idx="48">
                  <c:v>31035.99249196373</c:v>
                </c:pt>
                <c:pt idx="49">
                  <c:v>31035.99249196373</c:v>
                </c:pt>
                <c:pt idx="50">
                  <c:v>31035.99249196373</c:v>
                </c:pt>
                <c:pt idx="51">
                  <c:v>31035.99249196373</c:v>
                </c:pt>
                <c:pt idx="52">
                  <c:v>31035.99249196373</c:v>
                </c:pt>
                <c:pt idx="53">
                  <c:v>31035.99249196373</c:v>
                </c:pt>
                <c:pt idx="54">
                  <c:v>31035.99249196373</c:v>
                </c:pt>
                <c:pt idx="55">
                  <c:v>31035.99249196373</c:v>
                </c:pt>
                <c:pt idx="56">
                  <c:v>31035.99249196373</c:v>
                </c:pt>
                <c:pt idx="57">
                  <c:v>31035.99249196373</c:v>
                </c:pt>
                <c:pt idx="58">
                  <c:v>31035.99249196373</c:v>
                </c:pt>
                <c:pt idx="59">
                  <c:v>31035.99249196373</c:v>
                </c:pt>
                <c:pt idx="60">
                  <c:v>31035.99249196373</c:v>
                </c:pt>
                <c:pt idx="61">
                  <c:v>31035.99249196373</c:v>
                </c:pt>
                <c:pt idx="62">
                  <c:v>31035.99249196373</c:v>
                </c:pt>
                <c:pt idx="63">
                  <c:v>31035.99249196373</c:v>
                </c:pt>
                <c:pt idx="64">
                  <c:v>31035.99249196373</c:v>
                </c:pt>
                <c:pt idx="65">
                  <c:v>31035.99249196373</c:v>
                </c:pt>
                <c:pt idx="66">
                  <c:v>31035.99249196373</c:v>
                </c:pt>
                <c:pt idx="67">
                  <c:v>31035.99249196373</c:v>
                </c:pt>
                <c:pt idx="68">
                  <c:v>31035.99249196373</c:v>
                </c:pt>
                <c:pt idx="69">
                  <c:v>31035.99249196373</c:v>
                </c:pt>
                <c:pt idx="70">
                  <c:v>31035.99249196373</c:v>
                </c:pt>
                <c:pt idx="71">
                  <c:v>31035.99249196373</c:v>
                </c:pt>
                <c:pt idx="72">
                  <c:v>31035.99249196373</c:v>
                </c:pt>
                <c:pt idx="73">
                  <c:v>31035.99249196376</c:v>
                </c:pt>
                <c:pt idx="74">
                  <c:v>31035.99249196376</c:v>
                </c:pt>
                <c:pt idx="75">
                  <c:v>31035.99249196376</c:v>
                </c:pt>
                <c:pt idx="76">
                  <c:v>31035.99249196376</c:v>
                </c:pt>
                <c:pt idx="77">
                  <c:v>31035.99249196376</c:v>
                </c:pt>
                <c:pt idx="78">
                  <c:v>31035.99249196376</c:v>
                </c:pt>
                <c:pt idx="79">
                  <c:v>31035.99249196376</c:v>
                </c:pt>
                <c:pt idx="80">
                  <c:v>31035.99249196376</c:v>
                </c:pt>
                <c:pt idx="81">
                  <c:v>31035.99249196376</c:v>
                </c:pt>
                <c:pt idx="82">
                  <c:v>31035.99249196376</c:v>
                </c:pt>
                <c:pt idx="83">
                  <c:v>31035.99249196376</c:v>
                </c:pt>
                <c:pt idx="84">
                  <c:v>31035.99249196376</c:v>
                </c:pt>
                <c:pt idx="85">
                  <c:v>31035.99249196376</c:v>
                </c:pt>
                <c:pt idx="86">
                  <c:v>31035.99249196376</c:v>
                </c:pt>
                <c:pt idx="87">
                  <c:v>31035.99249196376</c:v>
                </c:pt>
                <c:pt idx="88">
                  <c:v>31035.99249196376</c:v>
                </c:pt>
                <c:pt idx="89">
                  <c:v>31035.22776537979</c:v>
                </c:pt>
                <c:pt idx="90">
                  <c:v>31035.22776537979</c:v>
                </c:pt>
                <c:pt idx="91">
                  <c:v>31035.22776537979</c:v>
                </c:pt>
                <c:pt idx="92">
                  <c:v>31035.22776537979</c:v>
                </c:pt>
                <c:pt idx="93">
                  <c:v>31035.22776537979</c:v>
                </c:pt>
                <c:pt idx="94">
                  <c:v>31035.22776537979</c:v>
                </c:pt>
                <c:pt idx="95">
                  <c:v>31035.22776537979</c:v>
                </c:pt>
                <c:pt idx="96">
                  <c:v>31035.22776537979</c:v>
                </c:pt>
                <c:pt idx="97">
                  <c:v>31035.22776537979</c:v>
                </c:pt>
                <c:pt idx="98">
                  <c:v>31035.22776537979</c:v>
                </c:pt>
                <c:pt idx="99">
                  <c:v>31035.22776537979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5110088"/>
        <c:axId val="-2085106664"/>
      </c:lineChart>
      <c:scatterChart>
        <c:scatterStyle val="lineMarker"/>
        <c:varyColors val="0"/>
        <c:ser>
          <c:idx val="14"/>
          <c:order val="14"/>
          <c:tx>
            <c:strRef>
              <c:f>Percentiles!$A$19</c:f>
              <c:strCache>
                <c:ptCount val="1"/>
                <c:pt idx="0">
                  <c:v>Joining lines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none"/>
          </c:marker>
          <c:xVal>
            <c:numRef>
              <c:f>Percentiles!$S$22:$CW$22</c:f>
              <c:numCache>
                <c:formatCode>0</c:formatCode>
                <c:ptCount val="83"/>
                <c:pt idx="0">
                  <c:v>13.0</c:v>
                </c:pt>
                <c:pt idx="1">
                  <c:v>14.0</c:v>
                </c:pt>
                <c:pt idx="2">
                  <c:v>15.0</c:v>
                </c:pt>
                <c:pt idx="3">
                  <c:v>16.0</c:v>
                </c:pt>
                <c:pt idx="4">
                  <c:v>17.0</c:v>
                </c:pt>
                <c:pt idx="5">
                  <c:v>18.0</c:v>
                </c:pt>
                <c:pt idx="6">
                  <c:v>19.0</c:v>
                </c:pt>
                <c:pt idx="7">
                  <c:v>20.0</c:v>
                </c:pt>
                <c:pt idx="8">
                  <c:v>21.0</c:v>
                </c:pt>
                <c:pt idx="9">
                  <c:v>22.0</c:v>
                </c:pt>
                <c:pt idx="10">
                  <c:v>23.0</c:v>
                </c:pt>
                <c:pt idx="11">
                  <c:v>24.0</c:v>
                </c:pt>
                <c:pt idx="12">
                  <c:v>25.0</c:v>
                </c:pt>
                <c:pt idx="13">
                  <c:v>26.0</c:v>
                </c:pt>
                <c:pt idx="14">
                  <c:v>27.0</c:v>
                </c:pt>
                <c:pt idx="15">
                  <c:v>28.0</c:v>
                </c:pt>
                <c:pt idx="16">
                  <c:v>29.0</c:v>
                </c:pt>
                <c:pt idx="17">
                  <c:v>30.0</c:v>
                </c:pt>
                <c:pt idx="18">
                  <c:v>31.0</c:v>
                </c:pt>
                <c:pt idx="19">
                  <c:v>32.0</c:v>
                </c:pt>
                <c:pt idx="20">
                  <c:v>33.0</c:v>
                </c:pt>
                <c:pt idx="21">
                  <c:v>34.0</c:v>
                </c:pt>
                <c:pt idx="22">
                  <c:v>35.0</c:v>
                </c:pt>
                <c:pt idx="23">
                  <c:v>36.0</c:v>
                </c:pt>
                <c:pt idx="24">
                  <c:v>37.0</c:v>
                </c:pt>
                <c:pt idx="25">
                  <c:v>38.0</c:v>
                </c:pt>
                <c:pt idx="26">
                  <c:v>39.0</c:v>
                </c:pt>
                <c:pt idx="27">
                  <c:v>40.0</c:v>
                </c:pt>
                <c:pt idx="28">
                  <c:v>41.0</c:v>
                </c:pt>
                <c:pt idx="29">
                  <c:v>42.0</c:v>
                </c:pt>
                <c:pt idx="30">
                  <c:v>43.0</c:v>
                </c:pt>
                <c:pt idx="31">
                  <c:v>44.0</c:v>
                </c:pt>
                <c:pt idx="32">
                  <c:v>45.0</c:v>
                </c:pt>
                <c:pt idx="33">
                  <c:v>46.0</c:v>
                </c:pt>
                <c:pt idx="34">
                  <c:v>47.0</c:v>
                </c:pt>
                <c:pt idx="35">
                  <c:v>48.0</c:v>
                </c:pt>
                <c:pt idx="36">
                  <c:v>49.0</c:v>
                </c:pt>
                <c:pt idx="37">
                  <c:v>50.0</c:v>
                </c:pt>
                <c:pt idx="38">
                  <c:v>51.0</c:v>
                </c:pt>
                <c:pt idx="39">
                  <c:v>52.0</c:v>
                </c:pt>
                <c:pt idx="40">
                  <c:v>53.0</c:v>
                </c:pt>
                <c:pt idx="41">
                  <c:v>54.0</c:v>
                </c:pt>
                <c:pt idx="42">
                  <c:v>55.0</c:v>
                </c:pt>
                <c:pt idx="43">
                  <c:v>56.0</c:v>
                </c:pt>
                <c:pt idx="44">
                  <c:v>57.0</c:v>
                </c:pt>
                <c:pt idx="45">
                  <c:v>58.0</c:v>
                </c:pt>
                <c:pt idx="46">
                  <c:v>59.0</c:v>
                </c:pt>
                <c:pt idx="47">
                  <c:v>60.0</c:v>
                </c:pt>
                <c:pt idx="48">
                  <c:v>61.0</c:v>
                </c:pt>
                <c:pt idx="49">
                  <c:v>62.0</c:v>
                </c:pt>
                <c:pt idx="50">
                  <c:v>63.0</c:v>
                </c:pt>
                <c:pt idx="51">
                  <c:v>64.0</c:v>
                </c:pt>
                <c:pt idx="52">
                  <c:v>65.0</c:v>
                </c:pt>
                <c:pt idx="53">
                  <c:v>66.0</c:v>
                </c:pt>
                <c:pt idx="54">
                  <c:v>67.0</c:v>
                </c:pt>
                <c:pt idx="55">
                  <c:v>68.0</c:v>
                </c:pt>
                <c:pt idx="56">
                  <c:v>69.0</c:v>
                </c:pt>
                <c:pt idx="57">
                  <c:v>70.0</c:v>
                </c:pt>
                <c:pt idx="58">
                  <c:v>71.0</c:v>
                </c:pt>
                <c:pt idx="59">
                  <c:v>72.0</c:v>
                </c:pt>
                <c:pt idx="60">
                  <c:v>73.0</c:v>
                </c:pt>
                <c:pt idx="61">
                  <c:v>74.0</c:v>
                </c:pt>
                <c:pt idx="62">
                  <c:v>75.0</c:v>
                </c:pt>
                <c:pt idx="63">
                  <c:v>76.0</c:v>
                </c:pt>
                <c:pt idx="64">
                  <c:v>77.0</c:v>
                </c:pt>
                <c:pt idx="65">
                  <c:v>78.0</c:v>
                </c:pt>
                <c:pt idx="66">
                  <c:v>79.0</c:v>
                </c:pt>
                <c:pt idx="67">
                  <c:v>80.0</c:v>
                </c:pt>
                <c:pt idx="68">
                  <c:v>81.0</c:v>
                </c:pt>
                <c:pt idx="69">
                  <c:v>82.0</c:v>
                </c:pt>
                <c:pt idx="70">
                  <c:v>83.0</c:v>
                </c:pt>
                <c:pt idx="71">
                  <c:v>84.0</c:v>
                </c:pt>
                <c:pt idx="72">
                  <c:v>85.0</c:v>
                </c:pt>
                <c:pt idx="73">
                  <c:v>86.0</c:v>
                </c:pt>
                <c:pt idx="74">
                  <c:v>87.0</c:v>
                </c:pt>
                <c:pt idx="75">
                  <c:v>88.0</c:v>
                </c:pt>
                <c:pt idx="76">
                  <c:v>89.0</c:v>
                </c:pt>
                <c:pt idx="77">
                  <c:v>90.0</c:v>
                </c:pt>
                <c:pt idx="78">
                  <c:v>91.0</c:v>
                </c:pt>
                <c:pt idx="79">
                  <c:v>92.0</c:v>
                </c:pt>
                <c:pt idx="80">
                  <c:v>93.0</c:v>
                </c:pt>
                <c:pt idx="81">
                  <c:v>94.0</c:v>
                </c:pt>
                <c:pt idx="82">
                  <c:v>95.0</c:v>
                </c:pt>
              </c:numCache>
            </c:numRef>
          </c:xVal>
          <c:yVal>
            <c:numRef>
              <c:f>Percentiles!$S$19:$CW$19</c:f>
              <c:numCache>
                <c:formatCode>General</c:formatCode>
                <c:ptCount val="8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43492.29037853</c:v>
                </c:pt>
                <c:pt idx="8">
                  <c:v>44056.8010724455</c:v>
                </c:pt>
                <c:pt idx="9">
                  <c:v>44621.31176636098</c:v>
                </c:pt>
                <c:pt idx="10">
                  <c:v>45185.82246027647</c:v>
                </c:pt>
                <c:pt idx="11">
                  <c:v>45750.33315419195</c:v>
                </c:pt>
                <c:pt idx="12">
                  <c:v>46314.84384810744</c:v>
                </c:pt>
                <c:pt idx="13">
                  <c:v>46879.35454202293</c:v>
                </c:pt>
                <c:pt idx="14">
                  <c:v>47443.86523593842</c:v>
                </c:pt>
                <c:pt idx="15">
                  <c:v>48008.37592985391</c:v>
                </c:pt>
                <c:pt idx="16">
                  <c:v>48572.88662376939</c:v>
                </c:pt>
                <c:pt idx="17">
                  <c:v>49137.39731768489</c:v>
                </c:pt>
                <c:pt idx="18">
                  <c:v>49701.90801160037</c:v>
                </c:pt>
                <c:pt idx="19">
                  <c:v>50266.41870551586</c:v>
                </c:pt>
                <c:pt idx="20">
                  <c:v>50830.92939943135</c:v>
                </c:pt>
                <c:pt idx="21">
                  <c:v>51395.44009334684</c:v>
                </c:pt>
                <c:pt idx="22">
                  <c:v>51959.95078726233</c:v>
                </c:pt>
                <c:pt idx="23">
                  <c:v>52524.46148117782</c:v>
                </c:pt>
                <c:pt idx="24">
                  <c:v>53088.9721750933</c:v>
                </c:pt>
                <c:pt idx="25">
                  <c:v>53653.48286900878</c:v>
                </c:pt>
                <c:pt idx="26">
                  <c:v>54217.99356292428</c:v>
                </c:pt>
                <c:pt idx="27">
                  <c:v>54782.50425683977</c:v>
                </c:pt>
                <c:pt idx="28">
                  <c:v>55347.01495075526</c:v>
                </c:pt>
                <c:pt idx="29">
                  <c:v>55911.52564467075</c:v>
                </c:pt>
                <c:pt idx="30">
                  <c:v>56476.03633858624</c:v>
                </c:pt>
                <c:pt idx="31">
                  <c:v>57040.54703250172</c:v>
                </c:pt>
                <c:pt idx="32">
                  <c:v>57605.05772641721</c:v>
                </c:pt>
                <c:pt idx="33">
                  <c:v>58169.5684203327</c:v>
                </c:pt>
                <c:pt idx="34">
                  <c:v>58734.0791142482</c:v>
                </c:pt>
                <c:pt idx="35">
                  <c:v>59298.58980816368</c:v>
                </c:pt>
                <c:pt idx="36">
                  <c:v>59863.10050207916</c:v>
                </c:pt>
                <c:pt idx="37">
                  <c:v>60427.61119599466</c:v>
                </c:pt>
                <c:pt idx="38">
                  <c:v>60992.12188991014</c:v>
                </c:pt>
                <c:pt idx="39">
                  <c:v>61556.63258382563</c:v>
                </c:pt>
                <c:pt idx="40">
                  <c:v>62121.14327774112</c:v>
                </c:pt>
                <c:pt idx="41">
                  <c:v>62685.6539716566</c:v>
                </c:pt>
                <c:pt idx="42">
                  <c:v>63250.1646655721</c:v>
                </c:pt>
                <c:pt idx="43">
                  <c:v>63814.67535948757</c:v>
                </c:pt>
                <c:pt idx="44">
                  <c:v>66371.11646873748</c:v>
                </c:pt>
                <c:pt idx="45">
                  <c:v>69591.53438309886</c:v>
                </c:pt>
                <c:pt idx="46">
                  <c:v>72811.95229746023</c:v>
                </c:pt>
                <c:pt idx="47">
                  <c:v>76032.37021182159</c:v>
                </c:pt>
                <c:pt idx="48">
                  <c:v>79252.78812618296</c:v>
                </c:pt>
                <c:pt idx="49">
                  <c:v>82473.20604054433</c:v>
                </c:pt>
                <c:pt idx="50">
                  <c:v>85693.6239549057</c:v>
                </c:pt>
                <c:pt idx="51">
                  <c:v>88914.04186926708</c:v>
                </c:pt>
                <c:pt idx="52">
                  <c:v>92134.45978362845</c:v>
                </c:pt>
                <c:pt idx="53">
                  <c:v>95354.8776979898</c:v>
                </c:pt>
                <c:pt idx="54">
                  <c:v>98575.29561235118</c:v>
                </c:pt>
                <c:pt idx="55">
                  <c:v>101795.7135267126</c:v>
                </c:pt>
                <c:pt idx="56">
                  <c:v>105016.1314410739</c:v>
                </c:pt>
                <c:pt idx="57">
                  <c:v>108236.5493554353</c:v>
                </c:pt>
                <c:pt idx="58">
                  <c:v>111456.9672697967</c:v>
                </c:pt>
                <c:pt idx="59">
                  <c:v>114677.385184158</c:v>
                </c:pt>
                <c:pt idx="60">
                  <c:v>117897.8030985194</c:v>
                </c:pt>
                <c:pt idx="61">
                  <c:v>121118.2210128808</c:v>
                </c:pt>
                <c:pt idx="62">
                  <c:v>124338.6389272422</c:v>
                </c:pt>
                <c:pt idx="63">
                  <c:v>127559.0568416035</c:v>
                </c:pt>
                <c:pt idx="64">
                  <c:v>130779.4747559649</c:v>
                </c:pt>
                <c:pt idx="65">
                  <c:v>133999.8926703263</c:v>
                </c:pt>
                <c:pt idx="66">
                  <c:v>137220.3105846876</c:v>
                </c:pt>
                <c:pt idx="67">
                  <c:v>140440.728499049</c:v>
                </c:pt>
                <c:pt idx="68">
                  <c:v>143661.1464134104</c:v>
                </c:pt>
                <c:pt idx="69">
                  <c:v>153520.7894290611</c:v>
                </c:pt>
                <c:pt idx="70">
                  <c:v>165593.507478475</c:v>
                </c:pt>
                <c:pt idx="71">
                  <c:v>177666.2255278888</c:v>
                </c:pt>
                <c:pt idx="72">
                  <c:v>189738.9435773027</c:v>
                </c:pt>
                <c:pt idx="73">
                  <c:v>201811.6616267166</c:v>
                </c:pt>
                <c:pt idx="74">
                  <c:v>213884.3796761304</c:v>
                </c:pt>
                <c:pt idx="75">
                  <c:v>225957.0977255443</c:v>
                </c:pt>
                <c:pt idx="76">
                  <c:v>238029.8157749581</c:v>
                </c:pt>
                <c:pt idx="77">
                  <c:v>250102.533824372</c:v>
                </c:pt>
                <c:pt idx="78">
                  <c:v>262175.2518737859</c:v>
                </c:pt>
                <c:pt idx="79">
                  <c:v>274247.9699231997</c:v>
                </c:pt>
                <c:pt idx="80">
                  <c:v>286320.6879726136</c:v>
                </c:pt>
                <c:pt idx="81">
                  <c:v>298393.4060220275</c:v>
                </c:pt>
                <c:pt idx="8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5110088"/>
        <c:axId val="-2085106664"/>
      </c:scatterChart>
      <c:catAx>
        <c:axId val="-2085110088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8510666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-208510666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85110088"/>
        <c:crossesAt val="1.0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32439678284182"/>
          <c:y val="0.158208720178634"/>
          <c:w val="0.159517426273459"/>
          <c:h val="0.65074556352097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Percentiles!$A$25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Percentiles!$F$25:$DA$25</c:f>
              <c:numCache>
                <c:formatCode>0.00</c:formatCode>
                <c:ptCount val="100"/>
                <c:pt idx="0">
                  <c:v>1637.861248379045</c:v>
                </c:pt>
                <c:pt idx="1">
                  <c:v>1637.861248379045</c:v>
                </c:pt>
                <c:pt idx="2">
                  <c:v>1637.861248379045</c:v>
                </c:pt>
                <c:pt idx="3">
                  <c:v>1637.861248379045</c:v>
                </c:pt>
                <c:pt idx="4">
                  <c:v>1637.861248379045</c:v>
                </c:pt>
                <c:pt idx="5">
                  <c:v>1637.861248379045</c:v>
                </c:pt>
                <c:pt idx="6">
                  <c:v>1637.861248379045</c:v>
                </c:pt>
                <c:pt idx="7">
                  <c:v>1637.861248379045</c:v>
                </c:pt>
                <c:pt idx="8">
                  <c:v>1637.861248379045</c:v>
                </c:pt>
                <c:pt idx="9">
                  <c:v>1637.861248379045</c:v>
                </c:pt>
                <c:pt idx="10">
                  <c:v>1637.861248379045</c:v>
                </c:pt>
                <c:pt idx="11">
                  <c:v>1637.861248379045</c:v>
                </c:pt>
                <c:pt idx="12">
                  <c:v>1637.861248379045</c:v>
                </c:pt>
                <c:pt idx="13">
                  <c:v>1637.861248379045</c:v>
                </c:pt>
                <c:pt idx="14">
                  <c:v>1637.861248379045</c:v>
                </c:pt>
                <c:pt idx="15">
                  <c:v>1637.861248379045</c:v>
                </c:pt>
                <c:pt idx="16">
                  <c:v>1637.861248379045</c:v>
                </c:pt>
                <c:pt idx="17">
                  <c:v>1637.861248379045</c:v>
                </c:pt>
                <c:pt idx="18">
                  <c:v>1637.861248379045</c:v>
                </c:pt>
                <c:pt idx="19">
                  <c:v>1637.861248379045</c:v>
                </c:pt>
                <c:pt idx="20">
                  <c:v>1649.320293711618</c:v>
                </c:pt>
                <c:pt idx="21">
                  <c:v>1695.15647504191</c:v>
                </c:pt>
                <c:pt idx="22">
                  <c:v>1740.9926563722</c:v>
                </c:pt>
                <c:pt idx="23">
                  <c:v>1786.828837702491</c:v>
                </c:pt>
                <c:pt idx="24">
                  <c:v>1832.665019032782</c:v>
                </c:pt>
                <c:pt idx="25">
                  <c:v>1878.501200363073</c:v>
                </c:pt>
                <c:pt idx="26">
                  <c:v>1924.337381693364</c:v>
                </c:pt>
                <c:pt idx="27">
                  <c:v>1970.173563023655</c:v>
                </c:pt>
                <c:pt idx="28">
                  <c:v>2016.009744353946</c:v>
                </c:pt>
                <c:pt idx="29">
                  <c:v>2061.845925684237</c:v>
                </c:pt>
                <c:pt idx="30">
                  <c:v>2107.682107014528</c:v>
                </c:pt>
                <c:pt idx="31">
                  <c:v>2153.518288344819</c:v>
                </c:pt>
                <c:pt idx="32">
                  <c:v>2199.35446967511</c:v>
                </c:pt>
                <c:pt idx="33">
                  <c:v>2245.1906510054</c:v>
                </c:pt>
                <c:pt idx="34">
                  <c:v>2291.026832335691</c:v>
                </c:pt>
                <c:pt idx="35">
                  <c:v>2336.863013665983</c:v>
                </c:pt>
                <c:pt idx="36">
                  <c:v>2382.699194996273</c:v>
                </c:pt>
                <c:pt idx="37">
                  <c:v>2428.535376326564</c:v>
                </c:pt>
                <c:pt idx="38">
                  <c:v>2474.371557656855</c:v>
                </c:pt>
                <c:pt idx="39">
                  <c:v>2520.207738987147</c:v>
                </c:pt>
                <c:pt idx="40">
                  <c:v>2566.043920317437</c:v>
                </c:pt>
                <c:pt idx="41">
                  <c:v>2611.880101647728</c:v>
                </c:pt>
                <c:pt idx="42">
                  <c:v>2657.71628297802</c:v>
                </c:pt>
                <c:pt idx="43">
                  <c:v>2703.55246430831</c:v>
                </c:pt>
                <c:pt idx="44">
                  <c:v>2749.388645638601</c:v>
                </c:pt>
                <c:pt idx="45">
                  <c:v>2795.224826968893</c:v>
                </c:pt>
                <c:pt idx="46">
                  <c:v>2841.061008299183</c:v>
                </c:pt>
                <c:pt idx="47">
                  <c:v>2886.897189629474</c:v>
                </c:pt>
                <c:pt idx="48">
                  <c:v>2932.733370959765</c:v>
                </c:pt>
                <c:pt idx="49">
                  <c:v>2978.569552290056</c:v>
                </c:pt>
                <c:pt idx="50">
                  <c:v>3024.405733620347</c:v>
                </c:pt>
                <c:pt idx="51">
                  <c:v>3070.241914950638</c:v>
                </c:pt>
                <c:pt idx="52">
                  <c:v>3116.07809628093</c:v>
                </c:pt>
                <c:pt idx="53">
                  <c:v>3161.91427761122</c:v>
                </c:pt>
                <c:pt idx="54">
                  <c:v>3207.750458941511</c:v>
                </c:pt>
                <c:pt idx="55">
                  <c:v>3253.586640271802</c:v>
                </c:pt>
                <c:pt idx="56">
                  <c:v>3299.422821602093</c:v>
                </c:pt>
                <c:pt idx="57">
                  <c:v>3298.277478524381</c:v>
                </c:pt>
                <c:pt idx="58">
                  <c:v>3281.47162731067</c:v>
                </c:pt>
                <c:pt idx="59">
                  <c:v>3264.665776096958</c:v>
                </c:pt>
                <c:pt idx="60">
                  <c:v>3247.859924883245</c:v>
                </c:pt>
                <c:pt idx="61">
                  <c:v>3231.054073669534</c:v>
                </c:pt>
                <c:pt idx="62">
                  <c:v>3214.248222455822</c:v>
                </c:pt>
                <c:pt idx="63">
                  <c:v>3197.44237124211</c:v>
                </c:pt>
                <c:pt idx="64">
                  <c:v>3180.636520028398</c:v>
                </c:pt>
                <c:pt idx="65">
                  <c:v>3163.830668814686</c:v>
                </c:pt>
                <c:pt idx="66">
                  <c:v>3147.024817600974</c:v>
                </c:pt>
                <c:pt idx="67">
                  <c:v>3130.218966387262</c:v>
                </c:pt>
                <c:pt idx="68">
                  <c:v>3113.41311517355</c:v>
                </c:pt>
                <c:pt idx="69">
                  <c:v>3096.607263959838</c:v>
                </c:pt>
                <c:pt idx="70">
                  <c:v>3079.801412746126</c:v>
                </c:pt>
                <c:pt idx="71">
                  <c:v>3062.995561532414</c:v>
                </c:pt>
                <c:pt idx="72">
                  <c:v>3046.189710318702</c:v>
                </c:pt>
                <c:pt idx="73">
                  <c:v>3029.38385910499</c:v>
                </c:pt>
                <c:pt idx="74">
                  <c:v>3012.578007891278</c:v>
                </c:pt>
                <c:pt idx="75">
                  <c:v>2995.772156677566</c:v>
                </c:pt>
                <c:pt idx="76">
                  <c:v>2978.966305463854</c:v>
                </c:pt>
                <c:pt idx="77">
                  <c:v>2962.160454250143</c:v>
                </c:pt>
                <c:pt idx="78">
                  <c:v>2945.35460303643</c:v>
                </c:pt>
                <c:pt idx="79">
                  <c:v>2928.548751822719</c:v>
                </c:pt>
                <c:pt idx="80">
                  <c:v>2911.742900609006</c:v>
                </c:pt>
                <c:pt idx="81">
                  <c:v>2894.937049395295</c:v>
                </c:pt>
                <c:pt idx="82">
                  <c:v>2831.551046544423</c:v>
                </c:pt>
                <c:pt idx="83">
                  <c:v>2752.638326481167</c:v>
                </c:pt>
                <c:pt idx="84">
                  <c:v>2673.725606417909</c:v>
                </c:pt>
                <c:pt idx="85">
                  <c:v>2594.812886354652</c:v>
                </c:pt>
                <c:pt idx="86">
                  <c:v>2515.900166291394</c:v>
                </c:pt>
                <c:pt idx="87">
                  <c:v>2436.987446228138</c:v>
                </c:pt>
                <c:pt idx="88">
                  <c:v>2358.07472616488</c:v>
                </c:pt>
                <c:pt idx="89">
                  <c:v>2279.162006101623</c:v>
                </c:pt>
                <c:pt idx="90">
                  <c:v>2200.249286038366</c:v>
                </c:pt>
                <c:pt idx="91">
                  <c:v>2121.336565975108</c:v>
                </c:pt>
                <c:pt idx="92">
                  <c:v>2042.423845911851</c:v>
                </c:pt>
                <c:pt idx="93">
                  <c:v>1963.511125848594</c:v>
                </c:pt>
                <c:pt idx="94">
                  <c:v>1884.598405785337</c:v>
                </c:pt>
                <c:pt idx="95">
                  <c:v>1825.413865737894</c:v>
                </c:pt>
                <c:pt idx="96">
                  <c:v>1825.413865737894</c:v>
                </c:pt>
                <c:pt idx="97">
                  <c:v>1825.413865737894</c:v>
                </c:pt>
                <c:pt idx="98">
                  <c:v>1825.413865737894</c:v>
                </c:pt>
                <c:pt idx="99">
                  <c:v>1825.413865737894</c:v>
                </c:pt>
              </c:numCache>
            </c:numRef>
          </c:val>
        </c:ser>
        <c:ser>
          <c:idx val="1"/>
          <c:order val="1"/>
          <c:tx>
            <c:strRef>
              <c:f>Percentiles!$A$26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Percentiles!$F$26:$DA$26</c:f>
              <c:numCache>
                <c:formatCode>0.00</c:formatCode>
                <c:ptCount val="100"/>
                <c:pt idx="0">
                  <c:v>25.84010002467636</c:v>
                </c:pt>
                <c:pt idx="1">
                  <c:v>25.84010002467636</c:v>
                </c:pt>
                <c:pt idx="2">
                  <c:v>25.84010002467636</c:v>
                </c:pt>
                <c:pt idx="3">
                  <c:v>25.84010002467636</c:v>
                </c:pt>
                <c:pt idx="4">
                  <c:v>25.84010002467636</c:v>
                </c:pt>
                <c:pt idx="5">
                  <c:v>25.84010002467636</c:v>
                </c:pt>
                <c:pt idx="6">
                  <c:v>25.84010002467636</c:v>
                </c:pt>
                <c:pt idx="7">
                  <c:v>25.84010002467636</c:v>
                </c:pt>
                <c:pt idx="8">
                  <c:v>25.84010002467636</c:v>
                </c:pt>
                <c:pt idx="9">
                  <c:v>25.84010002467636</c:v>
                </c:pt>
                <c:pt idx="10">
                  <c:v>25.84010002467636</c:v>
                </c:pt>
                <c:pt idx="11">
                  <c:v>25.84010002467636</c:v>
                </c:pt>
                <c:pt idx="12">
                  <c:v>25.84010002467636</c:v>
                </c:pt>
                <c:pt idx="13">
                  <c:v>25.84010002467636</c:v>
                </c:pt>
                <c:pt idx="14">
                  <c:v>25.84010002467636</c:v>
                </c:pt>
                <c:pt idx="15">
                  <c:v>25.84010002467636</c:v>
                </c:pt>
                <c:pt idx="16">
                  <c:v>25.84010002467636</c:v>
                </c:pt>
                <c:pt idx="17">
                  <c:v>25.84010002467636</c:v>
                </c:pt>
                <c:pt idx="18">
                  <c:v>25.84010002467636</c:v>
                </c:pt>
                <c:pt idx="19">
                  <c:v>25.84010002467636</c:v>
                </c:pt>
                <c:pt idx="20">
                  <c:v>36.116582508941</c:v>
                </c:pt>
                <c:pt idx="21">
                  <c:v>77.22251244599953</c:v>
                </c:pt>
                <c:pt idx="22">
                  <c:v>118.3284423830581</c:v>
                </c:pt>
                <c:pt idx="23">
                  <c:v>159.4343723201166</c:v>
                </c:pt>
                <c:pt idx="24">
                  <c:v>200.5403022571752</c:v>
                </c:pt>
                <c:pt idx="25">
                  <c:v>241.6462321942337</c:v>
                </c:pt>
                <c:pt idx="26">
                  <c:v>282.7521621312922</c:v>
                </c:pt>
                <c:pt idx="27">
                  <c:v>323.8580920683507</c:v>
                </c:pt>
                <c:pt idx="28">
                  <c:v>364.9640220054093</c:v>
                </c:pt>
                <c:pt idx="29">
                  <c:v>406.0699519424679</c:v>
                </c:pt>
                <c:pt idx="30">
                  <c:v>447.1758818795264</c:v>
                </c:pt>
                <c:pt idx="31">
                  <c:v>488.2818118165849</c:v>
                </c:pt>
                <c:pt idx="32">
                  <c:v>529.3877417536434</c:v>
                </c:pt>
                <c:pt idx="33">
                  <c:v>570.493671690702</c:v>
                </c:pt>
                <c:pt idx="34">
                  <c:v>611.5996016277605</c:v>
                </c:pt>
                <c:pt idx="35">
                  <c:v>652.705531564819</c:v>
                </c:pt>
                <c:pt idx="36">
                  <c:v>693.8114615018776</c:v>
                </c:pt>
                <c:pt idx="37">
                  <c:v>734.9173914389362</c:v>
                </c:pt>
                <c:pt idx="38">
                  <c:v>776.0233213759947</c:v>
                </c:pt>
                <c:pt idx="39">
                  <c:v>817.1292513130533</c:v>
                </c:pt>
                <c:pt idx="40">
                  <c:v>858.2351812501117</c:v>
                </c:pt>
                <c:pt idx="41">
                  <c:v>899.3411111871702</c:v>
                </c:pt>
                <c:pt idx="42">
                  <c:v>940.4470411242288</c:v>
                </c:pt>
                <c:pt idx="43">
                  <c:v>981.5529710612873</c:v>
                </c:pt>
                <c:pt idx="44">
                  <c:v>1022.658900998346</c:v>
                </c:pt>
                <c:pt idx="45">
                  <c:v>1063.764830935404</c:v>
                </c:pt>
                <c:pt idx="46">
                  <c:v>1104.870760872463</c:v>
                </c:pt>
                <c:pt idx="47">
                  <c:v>1145.976690809521</c:v>
                </c:pt>
                <c:pt idx="48">
                  <c:v>1187.08262074658</c:v>
                </c:pt>
                <c:pt idx="49">
                  <c:v>1228.188550683639</c:v>
                </c:pt>
                <c:pt idx="50">
                  <c:v>1269.294480620697</c:v>
                </c:pt>
                <c:pt idx="51">
                  <c:v>1310.400410557756</c:v>
                </c:pt>
                <c:pt idx="52">
                  <c:v>1351.506340494814</c:v>
                </c:pt>
                <c:pt idx="53">
                  <c:v>1392.612270431873</c:v>
                </c:pt>
                <c:pt idx="54">
                  <c:v>1433.718200368931</c:v>
                </c:pt>
                <c:pt idx="55">
                  <c:v>1474.82413030599</c:v>
                </c:pt>
                <c:pt idx="56">
                  <c:v>1515.930060243049</c:v>
                </c:pt>
                <c:pt idx="57">
                  <c:v>1806.251702947127</c:v>
                </c:pt>
                <c:pt idx="58">
                  <c:v>2179.645249906879</c:v>
                </c:pt>
                <c:pt idx="59">
                  <c:v>2553.038796866631</c:v>
                </c:pt>
                <c:pt idx="60">
                  <c:v>2926.432343826383</c:v>
                </c:pt>
                <c:pt idx="61">
                  <c:v>3299.825890786135</c:v>
                </c:pt>
                <c:pt idx="62">
                  <c:v>3673.219437745887</c:v>
                </c:pt>
                <c:pt idx="63">
                  <c:v>4046.612984705639</c:v>
                </c:pt>
                <c:pt idx="64">
                  <c:v>4420.00653166539</c:v>
                </c:pt>
                <c:pt idx="65">
                  <c:v>4793.400078625143</c:v>
                </c:pt>
                <c:pt idx="66">
                  <c:v>5166.793625584894</c:v>
                </c:pt>
                <c:pt idx="67">
                  <c:v>5540.187172544646</c:v>
                </c:pt>
                <c:pt idx="68">
                  <c:v>5913.580719504398</c:v>
                </c:pt>
                <c:pt idx="69">
                  <c:v>6286.97426646415</c:v>
                </c:pt>
                <c:pt idx="70">
                  <c:v>6660.367813423902</c:v>
                </c:pt>
                <c:pt idx="71">
                  <c:v>7033.761360383654</c:v>
                </c:pt>
                <c:pt idx="72">
                  <c:v>7407.154907343406</c:v>
                </c:pt>
                <c:pt idx="73">
                  <c:v>7780.548454303158</c:v>
                </c:pt>
                <c:pt idx="74">
                  <c:v>8153.94200126291</c:v>
                </c:pt>
                <c:pt idx="75">
                  <c:v>8527.335548222663</c:v>
                </c:pt>
                <c:pt idx="76">
                  <c:v>8900.729095182414</c:v>
                </c:pt>
                <c:pt idx="77">
                  <c:v>9274.122642142167</c:v>
                </c:pt>
                <c:pt idx="78">
                  <c:v>9647.516189101918</c:v>
                </c:pt>
                <c:pt idx="79">
                  <c:v>10020.90973606167</c:v>
                </c:pt>
                <c:pt idx="80">
                  <c:v>10394.30328302142</c:v>
                </c:pt>
                <c:pt idx="81">
                  <c:v>10767.69682998117</c:v>
                </c:pt>
                <c:pt idx="82">
                  <c:v>11486.34485449528</c:v>
                </c:pt>
                <c:pt idx="83">
                  <c:v>12320.07770486083</c:v>
                </c:pt>
                <c:pt idx="84">
                  <c:v>13153.81055522638</c:v>
                </c:pt>
                <c:pt idx="85">
                  <c:v>13987.54340559193</c:v>
                </c:pt>
                <c:pt idx="86">
                  <c:v>14821.27625595748</c:v>
                </c:pt>
                <c:pt idx="87">
                  <c:v>15655.00910632303</c:v>
                </c:pt>
                <c:pt idx="88">
                  <c:v>16488.74195668858</c:v>
                </c:pt>
                <c:pt idx="89">
                  <c:v>17322.47480705413</c:v>
                </c:pt>
                <c:pt idx="90">
                  <c:v>18156.20765741968</c:v>
                </c:pt>
                <c:pt idx="91">
                  <c:v>18989.94050778523</c:v>
                </c:pt>
                <c:pt idx="92">
                  <c:v>19823.67335815078</c:v>
                </c:pt>
                <c:pt idx="93">
                  <c:v>20657.40620851633</c:v>
                </c:pt>
                <c:pt idx="94">
                  <c:v>21491.13905888188</c:v>
                </c:pt>
                <c:pt idx="95">
                  <c:v>22116.43869665605</c:v>
                </c:pt>
                <c:pt idx="96">
                  <c:v>22116.43869665605</c:v>
                </c:pt>
                <c:pt idx="97">
                  <c:v>22116.43869665605</c:v>
                </c:pt>
                <c:pt idx="98">
                  <c:v>22116.43869665605</c:v>
                </c:pt>
                <c:pt idx="99">
                  <c:v>22116.43869665605</c:v>
                </c:pt>
              </c:numCache>
            </c:numRef>
          </c:val>
        </c:ser>
        <c:ser>
          <c:idx val="2"/>
          <c:order val="2"/>
          <c:tx>
            <c:strRef>
              <c:f>Percentiles!$A$27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Percentiles!$F$27:$DA$27</c:f>
              <c:numCache>
                <c:formatCode>0.00</c:formatCode>
                <c:ptCount val="100"/>
                <c:pt idx="0">
                  <c:v>600.961745113332</c:v>
                </c:pt>
                <c:pt idx="1">
                  <c:v>600.961745113332</c:v>
                </c:pt>
                <c:pt idx="2">
                  <c:v>600.961745113332</c:v>
                </c:pt>
                <c:pt idx="3">
                  <c:v>600.961745113332</c:v>
                </c:pt>
                <c:pt idx="4">
                  <c:v>600.961745113332</c:v>
                </c:pt>
                <c:pt idx="5">
                  <c:v>600.961745113332</c:v>
                </c:pt>
                <c:pt idx="6">
                  <c:v>600.961745113332</c:v>
                </c:pt>
                <c:pt idx="7">
                  <c:v>600.961745113332</c:v>
                </c:pt>
                <c:pt idx="8">
                  <c:v>600.961745113332</c:v>
                </c:pt>
                <c:pt idx="9">
                  <c:v>600.961745113332</c:v>
                </c:pt>
                <c:pt idx="10">
                  <c:v>600.961745113332</c:v>
                </c:pt>
                <c:pt idx="11">
                  <c:v>600.961745113332</c:v>
                </c:pt>
                <c:pt idx="12">
                  <c:v>600.961745113332</c:v>
                </c:pt>
                <c:pt idx="13">
                  <c:v>600.961745113332</c:v>
                </c:pt>
                <c:pt idx="14">
                  <c:v>600.961745113332</c:v>
                </c:pt>
                <c:pt idx="15">
                  <c:v>600.961745113332</c:v>
                </c:pt>
                <c:pt idx="16">
                  <c:v>600.961745113332</c:v>
                </c:pt>
                <c:pt idx="17">
                  <c:v>600.961745113332</c:v>
                </c:pt>
                <c:pt idx="18">
                  <c:v>600.961745113332</c:v>
                </c:pt>
                <c:pt idx="19">
                  <c:v>600.961745113332</c:v>
                </c:pt>
                <c:pt idx="20">
                  <c:v>604.3494667182611</c:v>
                </c:pt>
                <c:pt idx="21">
                  <c:v>617.9003531379771</c:v>
                </c:pt>
                <c:pt idx="22">
                  <c:v>631.4512395576932</c:v>
                </c:pt>
                <c:pt idx="23">
                  <c:v>645.0021259774095</c:v>
                </c:pt>
                <c:pt idx="24">
                  <c:v>658.5530123971256</c:v>
                </c:pt>
                <c:pt idx="25">
                  <c:v>672.1038988168418</c:v>
                </c:pt>
                <c:pt idx="26">
                  <c:v>685.654785236558</c:v>
                </c:pt>
                <c:pt idx="27">
                  <c:v>699.205671656274</c:v>
                </c:pt>
                <c:pt idx="28">
                  <c:v>712.7565580759903</c:v>
                </c:pt>
                <c:pt idx="29">
                  <c:v>726.3074444957064</c:v>
                </c:pt>
                <c:pt idx="30">
                  <c:v>739.8583309154226</c:v>
                </c:pt>
                <c:pt idx="31">
                  <c:v>753.4092173351387</c:v>
                </c:pt>
                <c:pt idx="32">
                  <c:v>766.9601037548548</c:v>
                </c:pt>
                <c:pt idx="33">
                  <c:v>780.510990174571</c:v>
                </c:pt>
                <c:pt idx="34">
                  <c:v>794.0618765942871</c:v>
                </c:pt>
                <c:pt idx="35">
                  <c:v>807.6127630140033</c:v>
                </c:pt>
                <c:pt idx="36">
                  <c:v>821.1636494337195</c:v>
                </c:pt>
                <c:pt idx="37">
                  <c:v>834.7145358534357</c:v>
                </c:pt>
                <c:pt idx="38">
                  <c:v>848.2654222731517</c:v>
                </c:pt>
                <c:pt idx="39">
                  <c:v>861.816308692868</c:v>
                </c:pt>
                <c:pt idx="40">
                  <c:v>875.3671951125841</c:v>
                </c:pt>
                <c:pt idx="41">
                  <c:v>888.9180815323002</c:v>
                </c:pt>
                <c:pt idx="42">
                  <c:v>902.4689679520163</c:v>
                </c:pt>
                <c:pt idx="43">
                  <c:v>916.0198543717325</c:v>
                </c:pt>
                <c:pt idx="44">
                  <c:v>929.5707407914488</c:v>
                </c:pt>
                <c:pt idx="45">
                  <c:v>943.1216272111649</c:v>
                </c:pt>
                <c:pt idx="46">
                  <c:v>956.672513630881</c:v>
                </c:pt>
                <c:pt idx="47">
                  <c:v>970.223400050597</c:v>
                </c:pt>
                <c:pt idx="48">
                  <c:v>983.7742864703133</c:v>
                </c:pt>
                <c:pt idx="49">
                  <c:v>997.3251728900295</c:v>
                </c:pt>
                <c:pt idx="50">
                  <c:v>1010.876059309746</c:v>
                </c:pt>
                <c:pt idx="51">
                  <c:v>1024.426945729462</c:v>
                </c:pt>
                <c:pt idx="52">
                  <c:v>1037.977832149178</c:v>
                </c:pt>
                <c:pt idx="53">
                  <c:v>1051.528718568894</c:v>
                </c:pt>
                <c:pt idx="54">
                  <c:v>1065.07960498861</c:v>
                </c:pt>
                <c:pt idx="55">
                  <c:v>1078.630491408326</c:v>
                </c:pt>
                <c:pt idx="56">
                  <c:v>1092.181377828043</c:v>
                </c:pt>
                <c:pt idx="57">
                  <c:v>1120.201047260289</c:v>
                </c:pt>
                <c:pt idx="58">
                  <c:v>1153.043644363378</c:v>
                </c:pt>
                <c:pt idx="59">
                  <c:v>1185.886241466468</c:v>
                </c:pt>
                <c:pt idx="60">
                  <c:v>1218.728838569557</c:v>
                </c:pt>
                <c:pt idx="61">
                  <c:v>1251.571435672647</c:v>
                </c:pt>
                <c:pt idx="62">
                  <c:v>1284.414032775736</c:v>
                </c:pt>
                <c:pt idx="63">
                  <c:v>1317.256629878826</c:v>
                </c:pt>
                <c:pt idx="64">
                  <c:v>1350.099226981915</c:v>
                </c:pt>
                <c:pt idx="65">
                  <c:v>1382.941824085005</c:v>
                </c:pt>
                <c:pt idx="66">
                  <c:v>1415.784421188094</c:v>
                </c:pt>
                <c:pt idx="67">
                  <c:v>1448.627018291184</c:v>
                </c:pt>
                <c:pt idx="68">
                  <c:v>1481.469615394273</c:v>
                </c:pt>
                <c:pt idx="69">
                  <c:v>1514.312212497362</c:v>
                </c:pt>
                <c:pt idx="70">
                  <c:v>1547.154809600452</c:v>
                </c:pt>
                <c:pt idx="71">
                  <c:v>1579.997406703541</c:v>
                </c:pt>
                <c:pt idx="72">
                  <c:v>1612.840003806631</c:v>
                </c:pt>
                <c:pt idx="73">
                  <c:v>1645.68260090972</c:v>
                </c:pt>
                <c:pt idx="74">
                  <c:v>1678.52519801281</c:v>
                </c:pt>
                <c:pt idx="75">
                  <c:v>1711.367795115899</c:v>
                </c:pt>
                <c:pt idx="76">
                  <c:v>1744.210392218989</c:v>
                </c:pt>
                <c:pt idx="77">
                  <c:v>1777.052989322078</c:v>
                </c:pt>
                <c:pt idx="78">
                  <c:v>1809.895586425168</c:v>
                </c:pt>
                <c:pt idx="79">
                  <c:v>1842.738183528257</c:v>
                </c:pt>
                <c:pt idx="80">
                  <c:v>1875.580780631347</c:v>
                </c:pt>
                <c:pt idx="81">
                  <c:v>1908.423377734436</c:v>
                </c:pt>
                <c:pt idx="82">
                  <c:v>1931.948011984837</c:v>
                </c:pt>
                <c:pt idx="83">
                  <c:v>1952.366658617674</c:v>
                </c:pt>
                <c:pt idx="84">
                  <c:v>1972.785305250511</c:v>
                </c:pt>
                <c:pt idx="85">
                  <c:v>1993.203951883349</c:v>
                </c:pt>
                <c:pt idx="86">
                  <c:v>2013.622598516186</c:v>
                </c:pt>
                <c:pt idx="87">
                  <c:v>2034.041245149023</c:v>
                </c:pt>
                <c:pt idx="88">
                  <c:v>2054.45989178186</c:v>
                </c:pt>
                <c:pt idx="89">
                  <c:v>2074.878538414698</c:v>
                </c:pt>
                <c:pt idx="90">
                  <c:v>2095.297185047535</c:v>
                </c:pt>
                <c:pt idx="91">
                  <c:v>2115.715831680372</c:v>
                </c:pt>
                <c:pt idx="92">
                  <c:v>2136.134478313209</c:v>
                </c:pt>
                <c:pt idx="93">
                  <c:v>2156.553124946046</c:v>
                </c:pt>
                <c:pt idx="94">
                  <c:v>2176.971771578883</c:v>
                </c:pt>
                <c:pt idx="95">
                  <c:v>2192.285756553512</c:v>
                </c:pt>
                <c:pt idx="96">
                  <c:v>2192.285756553512</c:v>
                </c:pt>
                <c:pt idx="97">
                  <c:v>2192.285756553512</c:v>
                </c:pt>
                <c:pt idx="98">
                  <c:v>2192.285756553512</c:v>
                </c:pt>
                <c:pt idx="99">
                  <c:v>2192.285756553512</c:v>
                </c:pt>
              </c:numCache>
            </c:numRef>
          </c:val>
        </c:ser>
        <c:ser>
          <c:idx val="3"/>
          <c:order val="3"/>
          <c:tx>
            <c:strRef>
              <c:f>Percentiles!$A$28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Percentiles!$F$28:$DA$28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Percentiles!$A$29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Percentiles!$F$29:$DA$29</c:f>
              <c:numCache>
                <c:formatCode>0.00</c:formatCode>
                <c:ptCount val="100"/>
                <c:pt idx="0">
                  <c:v>3045.440360051142</c:v>
                </c:pt>
                <c:pt idx="1">
                  <c:v>3045.440360051142</c:v>
                </c:pt>
                <c:pt idx="2">
                  <c:v>3045.440360051142</c:v>
                </c:pt>
                <c:pt idx="3">
                  <c:v>3045.440360051142</c:v>
                </c:pt>
                <c:pt idx="4">
                  <c:v>3045.440360051142</c:v>
                </c:pt>
                <c:pt idx="5">
                  <c:v>3045.440360051142</c:v>
                </c:pt>
                <c:pt idx="6">
                  <c:v>3045.440360051142</c:v>
                </c:pt>
                <c:pt idx="7">
                  <c:v>3045.440360051142</c:v>
                </c:pt>
                <c:pt idx="8">
                  <c:v>3045.440360051142</c:v>
                </c:pt>
                <c:pt idx="9">
                  <c:v>3045.440360051142</c:v>
                </c:pt>
                <c:pt idx="10">
                  <c:v>3045.440360051142</c:v>
                </c:pt>
                <c:pt idx="11">
                  <c:v>3045.440360051142</c:v>
                </c:pt>
                <c:pt idx="12">
                  <c:v>3045.440360051142</c:v>
                </c:pt>
                <c:pt idx="13">
                  <c:v>3045.440360051142</c:v>
                </c:pt>
                <c:pt idx="14">
                  <c:v>3045.440360051142</c:v>
                </c:pt>
                <c:pt idx="15">
                  <c:v>3045.440360051142</c:v>
                </c:pt>
                <c:pt idx="16">
                  <c:v>3045.440360051142</c:v>
                </c:pt>
                <c:pt idx="17">
                  <c:v>3045.440360051142</c:v>
                </c:pt>
                <c:pt idx="18">
                  <c:v>3045.440360051142</c:v>
                </c:pt>
                <c:pt idx="19">
                  <c:v>3045.440360051142</c:v>
                </c:pt>
                <c:pt idx="20">
                  <c:v>3093.406642701862</c:v>
                </c:pt>
                <c:pt idx="21">
                  <c:v>3285.271773304743</c:v>
                </c:pt>
                <c:pt idx="22">
                  <c:v>3477.136903907624</c:v>
                </c:pt>
                <c:pt idx="23">
                  <c:v>3669.002034510504</c:v>
                </c:pt>
                <c:pt idx="24">
                  <c:v>3860.867165113385</c:v>
                </c:pt>
                <c:pt idx="25">
                  <c:v>4052.732295716266</c:v>
                </c:pt>
                <c:pt idx="26">
                  <c:v>4244.597426319146</c:v>
                </c:pt>
                <c:pt idx="27">
                  <c:v>4436.462556922027</c:v>
                </c:pt>
                <c:pt idx="28">
                  <c:v>4628.327687524908</c:v>
                </c:pt>
                <c:pt idx="29">
                  <c:v>4820.192818127788</c:v>
                </c:pt>
                <c:pt idx="30">
                  <c:v>5012.05794873067</c:v>
                </c:pt>
                <c:pt idx="31">
                  <c:v>5203.92307933355</c:v>
                </c:pt>
                <c:pt idx="32">
                  <c:v>5395.788209936431</c:v>
                </c:pt>
                <c:pt idx="33">
                  <c:v>5587.653340539311</c:v>
                </c:pt>
                <c:pt idx="34">
                  <c:v>5779.518471142193</c:v>
                </c:pt>
                <c:pt idx="35">
                  <c:v>5971.383601745073</c:v>
                </c:pt>
                <c:pt idx="36">
                  <c:v>6163.248732347955</c:v>
                </c:pt>
                <c:pt idx="37">
                  <c:v>6355.113862950834</c:v>
                </c:pt>
                <c:pt idx="38">
                  <c:v>6546.978993553716</c:v>
                </c:pt>
                <c:pt idx="39">
                  <c:v>6738.844124156596</c:v>
                </c:pt>
                <c:pt idx="40">
                  <c:v>6930.709254759476</c:v>
                </c:pt>
                <c:pt idx="41">
                  <c:v>7122.574385362357</c:v>
                </c:pt>
                <c:pt idx="42">
                  <c:v>7314.439515965239</c:v>
                </c:pt>
                <c:pt idx="43">
                  <c:v>7506.30464656812</c:v>
                </c:pt>
                <c:pt idx="44">
                  <c:v>7698.169777171</c:v>
                </c:pt>
                <c:pt idx="45">
                  <c:v>7890.03490777388</c:v>
                </c:pt>
                <c:pt idx="46">
                  <c:v>8081.900038376761</c:v>
                </c:pt>
                <c:pt idx="47">
                  <c:v>8273.76516897964</c:v>
                </c:pt>
                <c:pt idx="48">
                  <c:v>8465.63029958252</c:v>
                </c:pt>
                <c:pt idx="49">
                  <c:v>8657.495430185401</c:v>
                </c:pt>
                <c:pt idx="50">
                  <c:v>8849.360560788284</c:v>
                </c:pt>
                <c:pt idx="51">
                  <c:v>9041.225691391164</c:v>
                </c:pt>
                <c:pt idx="52">
                  <c:v>9233.090821994045</c:v>
                </c:pt>
                <c:pt idx="53">
                  <c:v>9424.955952596927</c:v>
                </c:pt>
                <c:pt idx="54">
                  <c:v>9616.821083199807</c:v>
                </c:pt>
                <c:pt idx="55">
                  <c:v>9808.686213802688</c:v>
                </c:pt>
                <c:pt idx="56">
                  <c:v>10000.55134440557</c:v>
                </c:pt>
                <c:pt idx="57">
                  <c:v>10400.97483356294</c:v>
                </c:pt>
                <c:pt idx="58">
                  <c:v>10870.91777557181</c:v>
                </c:pt>
                <c:pt idx="59">
                  <c:v>11340.86071758068</c:v>
                </c:pt>
                <c:pt idx="60">
                  <c:v>11810.80365958955</c:v>
                </c:pt>
                <c:pt idx="61">
                  <c:v>12280.74660159842</c:v>
                </c:pt>
                <c:pt idx="62">
                  <c:v>12750.68954360729</c:v>
                </c:pt>
                <c:pt idx="63">
                  <c:v>13220.63248561616</c:v>
                </c:pt>
                <c:pt idx="64">
                  <c:v>13690.57542762503</c:v>
                </c:pt>
                <c:pt idx="65">
                  <c:v>14160.5183696339</c:v>
                </c:pt>
                <c:pt idx="66">
                  <c:v>14630.46131164276</c:v>
                </c:pt>
                <c:pt idx="67">
                  <c:v>15100.40425365164</c:v>
                </c:pt>
                <c:pt idx="68">
                  <c:v>15570.3471956605</c:v>
                </c:pt>
                <c:pt idx="69">
                  <c:v>16040.29013766937</c:v>
                </c:pt>
                <c:pt idx="70">
                  <c:v>16510.23307967824</c:v>
                </c:pt>
                <c:pt idx="71">
                  <c:v>16980.17602168711</c:v>
                </c:pt>
                <c:pt idx="72">
                  <c:v>17450.11896369598</c:v>
                </c:pt>
                <c:pt idx="73">
                  <c:v>17920.06190570485</c:v>
                </c:pt>
                <c:pt idx="74">
                  <c:v>18390.00484771372</c:v>
                </c:pt>
                <c:pt idx="75">
                  <c:v>18859.94778972258</c:v>
                </c:pt>
                <c:pt idx="76">
                  <c:v>19329.89073173146</c:v>
                </c:pt>
                <c:pt idx="77">
                  <c:v>19799.83367374033</c:v>
                </c:pt>
                <c:pt idx="78">
                  <c:v>20269.7766157492</c:v>
                </c:pt>
                <c:pt idx="79">
                  <c:v>20739.71955775807</c:v>
                </c:pt>
                <c:pt idx="80">
                  <c:v>21209.66249976694</c:v>
                </c:pt>
                <c:pt idx="81">
                  <c:v>21679.60544177581</c:v>
                </c:pt>
                <c:pt idx="82">
                  <c:v>22326.40318501758</c:v>
                </c:pt>
                <c:pt idx="83">
                  <c:v>23032.15252867034</c:v>
                </c:pt>
                <c:pt idx="84">
                  <c:v>23737.90187232309</c:v>
                </c:pt>
                <c:pt idx="85">
                  <c:v>24443.65121597584</c:v>
                </c:pt>
                <c:pt idx="86">
                  <c:v>25149.40055962859</c:v>
                </c:pt>
                <c:pt idx="87">
                  <c:v>25855.14990328134</c:v>
                </c:pt>
                <c:pt idx="88">
                  <c:v>26560.89924693409</c:v>
                </c:pt>
                <c:pt idx="89">
                  <c:v>27266.64859058684</c:v>
                </c:pt>
                <c:pt idx="90">
                  <c:v>27972.39793423959</c:v>
                </c:pt>
                <c:pt idx="91">
                  <c:v>28678.14727789235</c:v>
                </c:pt>
                <c:pt idx="92">
                  <c:v>29383.8966215451</c:v>
                </c:pt>
                <c:pt idx="93">
                  <c:v>30089.64596519784</c:v>
                </c:pt>
                <c:pt idx="94">
                  <c:v>30795.3953088506</c:v>
                </c:pt>
                <c:pt idx="95">
                  <c:v>31324.70731659016</c:v>
                </c:pt>
                <c:pt idx="96">
                  <c:v>31324.70731659016</c:v>
                </c:pt>
                <c:pt idx="97">
                  <c:v>31324.70731659016</c:v>
                </c:pt>
                <c:pt idx="98">
                  <c:v>31324.70731659016</c:v>
                </c:pt>
                <c:pt idx="99">
                  <c:v>31324.70731659016</c:v>
                </c:pt>
              </c:numCache>
            </c:numRef>
          </c:val>
        </c:ser>
        <c:ser>
          <c:idx val="5"/>
          <c:order val="5"/>
          <c:tx>
            <c:strRef>
              <c:f>Percentiles!$A$30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Percentiles!$F$30:$DA$30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0.830192120224816</c:v>
                </c:pt>
                <c:pt idx="21">
                  <c:v>4.150960601124082</c:v>
                </c:pt>
                <c:pt idx="22">
                  <c:v>7.471729082023347</c:v>
                </c:pt>
                <c:pt idx="23">
                  <c:v>10.79249756292261</c:v>
                </c:pt>
                <c:pt idx="24">
                  <c:v>14.11326604382188</c:v>
                </c:pt>
                <c:pt idx="25">
                  <c:v>17.43403452472115</c:v>
                </c:pt>
                <c:pt idx="26">
                  <c:v>20.75480300562041</c:v>
                </c:pt>
                <c:pt idx="27">
                  <c:v>24.07557148651968</c:v>
                </c:pt>
                <c:pt idx="28">
                  <c:v>27.39633996741894</c:v>
                </c:pt>
                <c:pt idx="29">
                  <c:v>30.71710844831821</c:v>
                </c:pt>
                <c:pt idx="30">
                  <c:v>34.03787692921748</c:v>
                </c:pt>
                <c:pt idx="31">
                  <c:v>37.35864541011674</c:v>
                </c:pt>
                <c:pt idx="32">
                  <c:v>40.679413891016</c:v>
                </c:pt>
                <c:pt idx="33">
                  <c:v>44.00018237191527</c:v>
                </c:pt>
                <c:pt idx="34">
                  <c:v>47.32095085281453</c:v>
                </c:pt>
                <c:pt idx="35">
                  <c:v>50.6417193337138</c:v>
                </c:pt>
                <c:pt idx="36">
                  <c:v>53.96248781461307</c:v>
                </c:pt>
                <c:pt idx="37">
                  <c:v>57.28325629551233</c:v>
                </c:pt>
                <c:pt idx="38">
                  <c:v>60.60402477641161</c:v>
                </c:pt>
                <c:pt idx="39">
                  <c:v>63.92479325731087</c:v>
                </c:pt>
                <c:pt idx="40">
                  <c:v>67.24556173821012</c:v>
                </c:pt>
                <c:pt idx="41">
                  <c:v>70.5663302191094</c:v>
                </c:pt>
                <c:pt idx="42">
                  <c:v>73.88709870000866</c:v>
                </c:pt>
                <c:pt idx="43">
                  <c:v>77.20786718090792</c:v>
                </c:pt>
                <c:pt idx="44">
                  <c:v>80.52863566180718</c:v>
                </c:pt>
                <c:pt idx="45">
                  <c:v>83.84940414270646</c:v>
                </c:pt>
                <c:pt idx="46">
                  <c:v>87.17017262360572</c:v>
                </c:pt>
                <c:pt idx="47">
                  <c:v>90.49094110450498</c:v>
                </c:pt>
                <c:pt idx="48">
                  <c:v>93.81170958540425</c:v>
                </c:pt>
                <c:pt idx="49">
                  <c:v>97.13247806630352</c:v>
                </c:pt>
                <c:pt idx="50">
                  <c:v>100.4532465472028</c:v>
                </c:pt>
                <c:pt idx="51">
                  <c:v>103.7740150281021</c:v>
                </c:pt>
                <c:pt idx="52">
                  <c:v>107.0947835090013</c:v>
                </c:pt>
                <c:pt idx="53">
                  <c:v>110.4155519899006</c:v>
                </c:pt>
                <c:pt idx="54">
                  <c:v>113.7363204707999</c:v>
                </c:pt>
                <c:pt idx="55">
                  <c:v>117.0570889516991</c:v>
                </c:pt>
                <c:pt idx="56">
                  <c:v>120.3778574325984</c:v>
                </c:pt>
                <c:pt idx="57">
                  <c:v>120.125319821194</c:v>
                </c:pt>
                <c:pt idx="58">
                  <c:v>118.6816801790218</c:v>
                </c:pt>
                <c:pt idx="59">
                  <c:v>117.2380405368496</c:v>
                </c:pt>
                <c:pt idx="60">
                  <c:v>115.7944008946774</c:v>
                </c:pt>
                <c:pt idx="61">
                  <c:v>114.3507612525052</c:v>
                </c:pt>
                <c:pt idx="62">
                  <c:v>112.907121610333</c:v>
                </c:pt>
                <c:pt idx="63">
                  <c:v>111.4634819681608</c:v>
                </c:pt>
                <c:pt idx="64">
                  <c:v>110.0198423259886</c:v>
                </c:pt>
                <c:pt idx="65">
                  <c:v>108.5762026838164</c:v>
                </c:pt>
                <c:pt idx="66">
                  <c:v>107.1325630416442</c:v>
                </c:pt>
                <c:pt idx="67">
                  <c:v>105.688923399472</c:v>
                </c:pt>
                <c:pt idx="68">
                  <c:v>104.2452837572998</c:v>
                </c:pt>
                <c:pt idx="69">
                  <c:v>102.8016441151276</c:v>
                </c:pt>
                <c:pt idx="70">
                  <c:v>101.3580044729554</c:v>
                </c:pt>
                <c:pt idx="71">
                  <c:v>99.91436483078318</c:v>
                </c:pt>
                <c:pt idx="72">
                  <c:v>98.47072518861098</c:v>
                </c:pt>
                <c:pt idx="73">
                  <c:v>97.02708554643877</c:v>
                </c:pt>
                <c:pt idx="74">
                  <c:v>95.58344590426657</c:v>
                </c:pt>
                <c:pt idx="75">
                  <c:v>94.13980626209437</c:v>
                </c:pt>
                <c:pt idx="76">
                  <c:v>92.69616661992216</c:v>
                </c:pt>
                <c:pt idx="77">
                  <c:v>91.25252697774997</c:v>
                </c:pt>
                <c:pt idx="78">
                  <c:v>89.80888733557775</c:v>
                </c:pt>
                <c:pt idx="79">
                  <c:v>88.36524769340555</c:v>
                </c:pt>
                <c:pt idx="80">
                  <c:v>86.92160805123334</c:v>
                </c:pt>
                <c:pt idx="81">
                  <c:v>85.47796840906113</c:v>
                </c:pt>
                <c:pt idx="82">
                  <c:v>80.38833302637819</c:v>
                </c:pt>
                <c:pt idx="83">
                  <c:v>74.08336573019167</c:v>
                </c:pt>
                <c:pt idx="84">
                  <c:v>67.77839843400514</c:v>
                </c:pt>
                <c:pt idx="85">
                  <c:v>61.47343113781862</c:v>
                </c:pt>
                <c:pt idx="86">
                  <c:v>55.16846384163209</c:v>
                </c:pt>
                <c:pt idx="87">
                  <c:v>48.86349654544557</c:v>
                </c:pt>
                <c:pt idx="88">
                  <c:v>42.55852924925904</c:v>
                </c:pt>
                <c:pt idx="89">
                  <c:v>36.25356195307252</c:v>
                </c:pt>
                <c:pt idx="90">
                  <c:v>29.94859465688599</c:v>
                </c:pt>
                <c:pt idx="91">
                  <c:v>23.64362736069947</c:v>
                </c:pt>
                <c:pt idx="92">
                  <c:v>17.33866006451295</c:v>
                </c:pt>
                <c:pt idx="93">
                  <c:v>11.03369276832642</c:v>
                </c:pt>
                <c:pt idx="94">
                  <c:v>4.728725472139885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Percentiles!$A$31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invertIfNegative val="0"/>
          <c:val>
            <c:numRef>
              <c:f>Percentiles!$F$31:$DA$31</c:f>
              <c:numCache>
                <c:formatCode>0.00</c:formatCode>
                <c:ptCount val="100"/>
                <c:pt idx="0">
                  <c:v>5317.155575988115</c:v>
                </c:pt>
                <c:pt idx="1">
                  <c:v>5317.155575988115</c:v>
                </c:pt>
                <c:pt idx="2">
                  <c:v>5317.155575988115</c:v>
                </c:pt>
                <c:pt idx="3">
                  <c:v>5317.155575988115</c:v>
                </c:pt>
                <c:pt idx="4">
                  <c:v>5317.155575988115</c:v>
                </c:pt>
                <c:pt idx="5">
                  <c:v>5317.155575988115</c:v>
                </c:pt>
                <c:pt idx="6">
                  <c:v>5317.155575988115</c:v>
                </c:pt>
                <c:pt idx="7">
                  <c:v>5317.155575988115</c:v>
                </c:pt>
                <c:pt idx="8">
                  <c:v>5317.155575988115</c:v>
                </c:pt>
                <c:pt idx="9">
                  <c:v>5317.155575988115</c:v>
                </c:pt>
                <c:pt idx="10">
                  <c:v>5317.155575988115</c:v>
                </c:pt>
                <c:pt idx="11">
                  <c:v>5317.155575988115</c:v>
                </c:pt>
                <c:pt idx="12">
                  <c:v>5317.155575988115</c:v>
                </c:pt>
                <c:pt idx="13">
                  <c:v>5317.155575988115</c:v>
                </c:pt>
                <c:pt idx="14">
                  <c:v>5317.155575988115</c:v>
                </c:pt>
                <c:pt idx="15">
                  <c:v>5317.155575988115</c:v>
                </c:pt>
                <c:pt idx="16">
                  <c:v>5317.155575988115</c:v>
                </c:pt>
                <c:pt idx="17">
                  <c:v>5317.155575988115</c:v>
                </c:pt>
                <c:pt idx="18">
                  <c:v>5317.155575988115</c:v>
                </c:pt>
                <c:pt idx="19">
                  <c:v>5317.155575988115</c:v>
                </c:pt>
                <c:pt idx="20">
                  <c:v>5297.704978343169</c:v>
                </c:pt>
                <c:pt idx="21">
                  <c:v>5219.902587763388</c:v>
                </c:pt>
                <c:pt idx="22">
                  <c:v>5142.100197183607</c:v>
                </c:pt>
                <c:pt idx="23">
                  <c:v>5064.297806603826</c:v>
                </c:pt>
                <c:pt idx="24">
                  <c:v>4986.495416024046</c:v>
                </c:pt>
                <c:pt idx="25">
                  <c:v>4908.693025444266</c:v>
                </c:pt>
                <c:pt idx="26">
                  <c:v>4830.890634864485</c:v>
                </c:pt>
                <c:pt idx="27">
                  <c:v>4753.088244284704</c:v>
                </c:pt>
                <c:pt idx="28">
                  <c:v>4675.285853704923</c:v>
                </c:pt>
                <c:pt idx="29">
                  <c:v>4597.483463125142</c:v>
                </c:pt>
                <c:pt idx="30">
                  <c:v>4519.681072545361</c:v>
                </c:pt>
                <c:pt idx="31">
                  <c:v>4441.87868196558</c:v>
                </c:pt>
                <c:pt idx="32">
                  <c:v>4364.0762913858</c:v>
                </c:pt>
                <c:pt idx="33">
                  <c:v>4286.273900806019</c:v>
                </c:pt>
                <c:pt idx="34">
                  <c:v>4208.471510226238</c:v>
                </c:pt>
                <c:pt idx="35">
                  <c:v>4130.669119646457</c:v>
                </c:pt>
                <c:pt idx="36">
                  <c:v>4052.866729066676</c:v>
                </c:pt>
                <c:pt idx="37">
                  <c:v>3975.064338486895</c:v>
                </c:pt>
                <c:pt idx="38">
                  <c:v>3897.261947907115</c:v>
                </c:pt>
                <c:pt idx="39">
                  <c:v>3819.459557327333</c:v>
                </c:pt>
                <c:pt idx="40">
                  <c:v>3741.657166747553</c:v>
                </c:pt>
                <c:pt idx="41">
                  <c:v>3663.854776167772</c:v>
                </c:pt>
                <c:pt idx="42">
                  <c:v>3586.052385587991</c:v>
                </c:pt>
                <c:pt idx="43">
                  <c:v>3508.249995008211</c:v>
                </c:pt>
                <c:pt idx="44">
                  <c:v>3430.44760442843</c:v>
                </c:pt>
                <c:pt idx="45">
                  <c:v>3352.645213848649</c:v>
                </c:pt>
                <c:pt idx="46">
                  <c:v>3274.842823268868</c:v>
                </c:pt>
                <c:pt idx="47">
                  <c:v>3197.040432689088</c:v>
                </c:pt>
                <c:pt idx="48">
                  <c:v>3119.238042109307</c:v>
                </c:pt>
                <c:pt idx="49">
                  <c:v>3041.435651529526</c:v>
                </c:pt>
                <c:pt idx="50">
                  <c:v>2963.633260949745</c:v>
                </c:pt>
                <c:pt idx="51">
                  <c:v>2885.830870369964</c:v>
                </c:pt>
                <c:pt idx="52">
                  <c:v>2808.028479790183</c:v>
                </c:pt>
                <c:pt idx="53">
                  <c:v>2730.226089210402</c:v>
                </c:pt>
                <c:pt idx="54">
                  <c:v>2652.423698630621</c:v>
                </c:pt>
                <c:pt idx="55">
                  <c:v>2574.621308050841</c:v>
                </c:pt>
                <c:pt idx="56">
                  <c:v>2496.81891747106</c:v>
                </c:pt>
                <c:pt idx="57">
                  <c:v>4191.81501071505</c:v>
                </c:pt>
                <c:pt idx="58">
                  <c:v>6477.743931900299</c:v>
                </c:pt>
                <c:pt idx="59">
                  <c:v>8763.672853085547</c:v>
                </c:pt>
                <c:pt idx="60">
                  <c:v>11049.6017742708</c:v>
                </c:pt>
                <c:pt idx="61">
                  <c:v>13335.53069545604</c:v>
                </c:pt>
                <c:pt idx="62">
                  <c:v>15621.45961664129</c:v>
                </c:pt>
                <c:pt idx="63">
                  <c:v>17907.38853782654</c:v>
                </c:pt>
                <c:pt idx="64">
                  <c:v>20193.31745901179</c:v>
                </c:pt>
                <c:pt idx="65">
                  <c:v>22479.24638019703</c:v>
                </c:pt>
                <c:pt idx="66">
                  <c:v>24765.17530138228</c:v>
                </c:pt>
                <c:pt idx="67">
                  <c:v>27051.10422256753</c:v>
                </c:pt>
                <c:pt idx="68">
                  <c:v>29337.03314375278</c:v>
                </c:pt>
                <c:pt idx="69">
                  <c:v>31622.96206493802</c:v>
                </c:pt>
                <c:pt idx="70">
                  <c:v>33908.89098612328</c:v>
                </c:pt>
                <c:pt idx="71">
                  <c:v>36194.81990730851</c:v>
                </c:pt>
                <c:pt idx="72">
                  <c:v>38480.74882849376</c:v>
                </c:pt>
                <c:pt idx="73">
                  <c:v>40766.67774967902</c:v>
                </c:pt>
                <c:pt idx="74">
                  <c:v>43052.60667086426</c:v>
                </c:pt>
                <c:pt idx="75">
                  <c:v>45338.53559204951</c:v>
                </c:pt>
                <c:pt idx="76">
                  <c:v>47624.46451323476</c:v>
                </c:pt>
                <c:pt idx="77">
                  <c:v>49910.39343442001</c:v>
                </c:pt>
                <c:pt idx="78">
                  <c:v>52196.32235560525</c:v>
                </c:pt>
                <c:pt idx="79">
                  <c:v>54482.2512767905</c:v>
                </c:pt>
                <c:pt idx="80">
                  <c:v>56768.18019797575</c:v>
                </c:pt>
                <c:pt idx="81">
                  <c:v>59054.109119161</c:v>
                </c:pt>
                <c:pt idx="82">
                  <c:v>56313.05849670968</c:v>
                </c:pt>
                <c:pt idx="83">
                  <c:v>51896.3480263795</c:v>
                </c:pt>
                <c:pt idx="84">
                  <c:v>47479.63755604934</c:v>
                </c:pt>
                <c:pt idx="85">
                  <c:v>43062.92708571917</c:v>
                </c:pt>
                <c:pt idx="86">
                  <c:v>38646.216615389</c:v>
                </c:pt>
                <c:pt idx="87">
                  <c:v>34229.50614505882</c:v>
                </c:pt>
                <c:pt idx="88">
                  <c:v>29812.79567472865</c:v>
                </c:pt>
                <c:pt idx="89">
                  <c:v>25396.08520439849</c:v>
                </c:pt>
                <c:pt idx="90">
                  <c:v>20979.37473406831</c:v>
                </c:pt>
                <c:pt idx="91">
                  <c:v>16562.66426373814</c:v>
                </c:pt>
                <c:pt idx="92">
                  <c:v>12145.95379340797</c:v>
                </c:pt>
                <c:pt idx="93">
                  <c:v>7729.243323077796</c:v>
                </c:pt>
                <c:pt idx="94">
                  <c:v>3312.53285274763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Percentiles!$A$32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val>
            <c:numRef>
              <c:f>Percentiles!$F$32:$DA$32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846.2896432571558</c:v>
                </c:pt>
                <c:pt idx="58">
                  <c:v>1974.675834266697</c:v>
                </c:pt>
                <c:pt idx="59">
                  <c:v>3103.062025276238</c:v>
                </c:pt>
                <c:pt idx="60">
                  <c:v>4231.448216285778</c:v>
                </c:pt>
                <c:pt idx="61">
                  <c:v>5359.83440729532</c:v>
                </c:pt>
                <c:pt idx="62">
                  <c:v>6488.220598304861</c:v>
                </c:pt>
                <c:pt idx="63">
                  <c:v>7616.606789314403</c:v>
                </c:pt>
                <c:pt idx="64">
                  <c:v>8744.992980323943</c:v>
                </c:pt>
                <c:pt idx="65">
                  <c:v>9873.379171333485</c:v>
                </c:pt>
                <c:pt idx="66">
                  <c:v>11001.76536234303</c:v>
                </c:pt>
                <c:pt idx="67">
                  <c:v>12130.15155335257</c:v>
                </c:pt>
                <c:pt idx="68">
                  <c:v>13258.53774436211</c:v>
                </c:pt>
                <c:pt idx="69">
                  <c:v>14386.92393537165</c:v>
                </c:pt>
                <c:pt idx="70">
                  <c:v>15515.31012638119</c:v>
                </c:pt>
                <c:pt idx="71">
                  <c:v>16643.69631739073</c:v>
                </c:pt>
                <c:pt idx="72">
                  <c:v>17772.08250840027</c:v>
                </c:pt>
                <c:pt idx="73">
                  <c:v>18900.46869940981</c:v>
                </c:pt>
                <c:pt idx="74">
                  <c:v>20028.85489041936</c:v>
                </c:pt>
                <c:pt idx="75">
                  <c:v>21157.2410814289</c:v>
                </c:pt>
                <c:pt idx="76">
                  <c:v>22285.62727243844</c:v>
                </c:pt>
                <c:pt idx="77">
                  <c:v>23414.01346344798</c:v>
                </c:pt>
                <c:pt idx="78">
                  <c:v>24542.39965445752</c:v>
                </c:pt>
                <c:pt idx="79">
                  <c:v>25670.78584546705</c:v>
                </c:pt>
                <c:pt idx="80">
                  <c:v>26799.1720364766</c:v>
                </c:pt>
                <c:pt idx="81">
                  <c:v>27927.55822748614</c:v>
                </c:pt>
                <c:pt idx="82">
                  <c:v>35220.71052593852</c:v>
                </c:pt>
                <c:pt idx="83">
                  <c:v>44568.78486020517</c:v>
                </c:pt>
                <c:pt idx="84">
                  <c:v>53916.85919447182</c:v>
                </c:pt>
                <c:pt idx="85">
                  <c:v>63264.93352873849</c:v>
                </c:pt>
                <c:pt idx="86">
                  <c:v>72613.00786300514</c:v>
                </c:pt>
                <c:pt idx="87">
                  <c:v>81961.0821972718</c:v>
                </c:pt>
                <c:pt idx="88">
                  <c:v>91309.15653153845</c:v>
                </c:pt>
                <c:pt idx="89">
                  <c:v>100657.2308658051</c:v>
                </c:pt>
                <c:pt idx="90">
                  <c:v>110005.3052000718</c:v>
                </c:pt>
                <c:pt idx="91">
                  <c:v>119353.3795343384</c:v>
                </c:pt>
                <c:pt idx="92">
                  <c:v>128701.4538686051</c:v>
                </c:pt>
                <c:pt idx="93">
                  <c:v>138049.5282028717</c:v>
                </c:pt>
                <c:pt idx="94">
                  <c:v>147397.6025371384</c:v>
                </c:pt>
                <c:pt idx="95">
                  <c:v>154408.6582878384</c:v>
                </c:pt>
                <c:pt idx="96">
                  <c:v>154408.6582878384</c:v>
                </c:pt>
                <c:pt idx="97">
                  <c:v>154408.6582878384</c:v>
                </c:pt>
                <c:pt idx="98">
                  <c:v>154408.6582878384</c:v>
                </c:pt>
                <c:pt idx="99">
                  <c:v>154408.6582878384</c:v>
                </c:pt>
              </c:numCache>
            </c:numRef>
          </c:val>
        </c:ser>
        <c:ser>
          <c:idx val="8"/>
          <c:order val="8"/>
          <c:tx>
            <c:strRef>
              <c:f>Percentiles!$A$33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invertIfNegative val="0"/>
          <c:val>
            <c:numRef>
              <c:f>Percentiles!$F$33:$DA$33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9"/>
          <c:order val="9"/>
          <c:tx>
            <c:strRef>
              <c:f>Percentiles!$A$34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invertIfNegative val="0"/>
          <c:val>
            <c:numRef>
              <c:f>Percentiles!$F$34:$DA$34</c:f>
              <c:numCache>
                <c:formatCode>0.00</c:formatCode>
                <c:ptCount val="100"/>
                <c:pt idx="0">
                  <c:v>1575.015620551702</c:v>
                </c:pt>
                <c:pt idx="1">
                  <c:v>1575.015620551702</c:v>
                </c:pt>
                <c:pt idx="2">
                  <c:v>1575.015620551702</c:v>
                </c:pt>
                <c:pt idx="3">
                  <c:v>1575.015620551702</c:v>
                </c:pt>
                <c:pt idx="4">
                  <c:v>1575.015620551702</c:v>
                </c:pt>
                <c:pt idx="5">
                  <c:v>1575.015620551702</c:v>
                </c:pt>
                <c:pt idx="6">
                  <c:v>1575.015620551702</c:v>
                </c:pt>
                <c:pt idx="7">
                  <c:v>1575.015620551702</c:v>
                </c:pt>
                <c:pt idx="8">
                  <c:v>1575.015620551702</c:v>
                </c:pt>
                <c:pt idx="9">
                  <c:v>1575.015620551702</c:v>
                </c:pt>
                <c:pt idx="10">
                  <c:v>1575.015620551702</c:v>
                </c:pt>
                <c:pt idx="11">
                  <c:v>1575.015620551702</c:v>
                </c:pt>
                <c:pt idx="12">
                  <c:v>1575.015620551702</c:v>
                </c:pt>
                <c:pt idx="13">
                  <c:v>1575.015620551702</c:v>
                </c:pt>
                <c:pt idx="14">
                  <c:v>1575.015620551702</c:v>
                </c:pt>
                <c:pt idx="15">
                  <c:v>1575.015620551702</c:v>
                </c:pt>
                <c:pt idx="16">
                  <c:v>1575.015620551702</c:v>
                </c:pt>
                <c:pt idx="17">
                  <c:v>1575.015620551702</c:v>
                </c:pt>
                <c:pt idx="18">
                  <c:v>1575.015620551702</c:v>
                </c:pt>
                <c:pt idx="19">
                  <c:v>1575.015620551702</c:v>
                </c:pt>
                <c:pt idx="20">
                  <c:v>1572.093930616318</c:v>
                </c:pt>
                <c:pt idx="21">
                  <c:v>1560.407170874781</c:v>
                </c:pt>
                <c:pt idx="22">
                  <c:v>1548.720411133245</c:v>
                </c:pt>
                <c:pt idx="23">
                  <c:v>1537.033651391708</c:v>
                </c:pt>
                <c:pt idx="24">
                  <c:v>1525.346891650171</c:v>
                </c:pt>
                <c:pt idx="25">
                  <c:v>1513.660131908635</c:v>
                </c:pt>
                <c:pt idx="26">
                  <c:v>1501.973372167098</c:v>
                </c:pt>
                <c:pt idx="27">
                  <c:v>1490.286612425562</c:v>
                </c:pt>
                <c:pt idx="28">
                  <c:v>1478.599852684025</c:v>
                </c:pt>
                <c:pt idx="29">
                  <c:v>1466.913092942488</c:v>
                </c:pt>
                <c:pt idx="30">
                  <c:v>1455.226333200952</c:v>
                </c:pt>
                <c:pt idx="31">
                  <c:v>1443.539573459415</c:v>
                </c:pt>
                <c:pt idx="32">
                  <c:v>1431.852813717878</c:v>
                </c:pt>
                <c:pt idx="33">
                  <c:v>1420.166053976342</c:v>
                </c:pt>
                <c:pt idx="34">
                  <c:v>1408.479294234805</c:v>
                </c:pt>
                <c:pt idx="35">
                  <c:v>1396.792534493269</c:v>
                </c:pt>
                <c:pt idx="36">
                  <c:v>1385.105774751732</c:v>
                </c:pt>
                <c:pt idx="37">
                  <c:v>1373.419015010196</c:v>
                </c:pt>
                <c:pt idx="38">
                  <c:v>1361.732255268659</c:v>
                </c:pt>
                <c:pt idx="39">
                  <c:v>1350.045495527122</c:v>
                </c:pt>
                <c:pt idx="40">
                  <c:v>1338.358735785586</c:v>
                </c:pt>
                <c:pt idx="41">
                  <c:v>1326.671976044049</c:v>
                </c:pt>
                <c:pt idx="42">
                  <c:v>1314.985216302513</c:v>
                </c:pt>
                <c:pt idx="43">
                  <c:v>1303.298456560976</c:v>
                </c:pt>
                <c:pt idx="44">
                  <c:v>1291.611696819439</c:v>
                </c:pt>
                <c:pt idx="45">
                  <c:v>1279.924937077903</c:v>
                </c:pt>
                <c:pt idx="46">
                  <c:v>1268.238177336366</c:v>
                </c:pt>
                <c:pt idx="47">
                  <c:v>1256.55141759483</c:v>
                </c:pt>
                <c:pt idx="48">
                  <c:v>1244.864657853293</c:v>
                </c:pt>
                <c:pt idx="49">
                  <c:v>1233.177898111756</c:v>
                </c:pt>
                <c:pt idx="50">
                  <c:v>1221.49113837022</c:v>
                </c:pt>
                <c:pt idx="51">
                  <c:v>1209.804378628683</c:v>
                </c:pt>
                <c:pt idx="52">
                  <c:v>1198.117618887147</c:v>
                </c:pt>
                <c:pt idx="53">
                  <c:v>1186.43085914561</c:v>
                </c:pt>
                <c:pt idx="54">
                  <c:v>1174.744099404073</c:v>
                </c:pt>
                <c:pt idx="55">
                  <c:v>1163.057339662537</c:v>
                </c:pt>
                <c:pt idx="56">
                  <c:v>1151.370579921</c:v>
                </c:pt>
                <c:pt idx="57">
                  <c:v>1113.995423286048</c:v>
                </c:pt>
                <c:pt idx="58">
                  <c:v>1068.057467686623</c:v>
                </c:pt>
                <c:pt idx="59">
                  <c:v>1022.119512087198</c:v>
                </c:pt>
                <c:pt idx="60">
                  <c:v>976.1815564877736</c:v>
                </c:pt>
                <c:pt idx="61">
                  <c:v>930.243600888349</c:v>
                </c:pt>
                <c:pt idx="62">
                  <c:v>884.3056452889243</c:v>
                </c:pt>
                <c:pt idx="63">
                  <c:v>838.3676896894997</c:v>
                </c:pt>
                <c:pt idx="64">
                  <c:v>792.429734090075</c:v>
                </c:pt>
                <c:pt idx="65">
                  <c:v>746.4917784906504</c:v>
                </c:pt>
                <c:pt idx="66">
                  <c:v>700.5538228912258</c:v>
                </c:pt>
                <c:pt idx="67">
                  <c:v>654.6158672918011</c:v>
                </c:pt>
                <c:pt idx="68">
                  <c:v>608.6779116923764</c:v>
                </c:pt>
                <c:pt idx="69">
                  <c:v>562.7399560929518</c:v>
                </c:pt>
                <c:pt idx="70">
                  <c:v>516.8020004935272</c:v>
                </c:pt>
                <c:pt idx="71">
                  <c:v>470.8640448941025</c:v>
                </c:pt>
                <c:pt idx="72">
                  <c:v>424.926089294678</c:v>
                </c:pt>
                <c:pt idx="73">
                  <c:v>378.9881336952533</c:v>
                </c:pt>
                <c:pt idx="74">
                  <c:v>333.0501780958286</c:v>
                </c:pt>
                <c:pt idx="75">
                  <c:v>287.112222496404</c:v>
                </c:pt>
                <c:pt idx="76">
                  <c:v>241.1742668969795</c:v>
                </c:pt>
                <c:pt idx="77">
                  <c:v>195.2363112975547</c:v>
                </c:pt>
                <c:pt idx="78">
                  <c:v>149.2983556981301</c:v>
                </c:pt>
                <c:pt idx="79">
                  <c:v>103.3604000987054</c:v>
                </c:pt>
                <c:pt idx="80">
                  <c:v>57.4224444992808</c:v>
                </c:pt>
                <c:pt idx="81">
                  <c:v>11.48448889985616</c:v>
                </c:pt>
                <c:pt idx="82">
                  <c:v>3386.771572949703</c:v>
                </c:pt>
                <c:pt idx="83">
                  <c:v>7902.467003549307</c:v>
                </c:pt>
                <c:pt idx="84">
                  <c:v>12418.16243414891</c:v>
                </c:pt>
                <c:pt idx="85">
                  <c:v>16933.85786474852</c:v>
                </c:pt>
                <c:pt idx="86">
                  <c:v>21449.55329534812</c:v>
                </c:pt>
                <c:pt idx="87">
                  <c:v>25965.24872594772</c:v>
                </c:pt>
                <c:pt idx="88">
                  <c:v>30480.94415654733</c:v>
                </c:pt>
                <c:pt idx="89">
                  <c:v>34996.63958714693</c:v>
                </c:pt>
                <c:pt idx="90">
                  <c:v>39512.33501774653</c:v>
                </c:pt>
                <c:pt idx="91">
                  <c:v>44028.03044834613</c:v>
                </c:pt>
                <c:pt idx="92">
                  <c:v>48543.72587894574</c:v>
                </c:pt>
                <c:pt idx="93">
                  <c:v>53059.42130954535</c:v>
                </c:pt>
                <c:pt idx="94">
                  <c:v>57575.11674014495</c:v>
                </c:pt>
                <c:pt idx="95">
                  <c:v>60961.88831309465</c:v>
                </c:pt>
                <c:pt idx="96">
                  <c:v>60961.88831309465</c:v>
                </c:pt>
                <c:pt idx="97">
                  <c:v>60961.88831309465</c:v>
                </c:pt>
                <c:pt idx="98">
                  <c:v>60961.88831309465</c:v>
                </c:pt>
                <c:pt idx="99">
                  <c:v>60961.88831309465</c:v>
                </c:pt>
              </c:numCache>
            </c:numRef>
          </c:val>
        </c:ser>
        <c:ser>
          <c:idx val="10"/>
          <c:order val="10"/>
          <c:tx>
            <c:strRef>
              <c:f>Percentiles!$A$35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invertIfNegative val="0"/>
          <c:val>
            <c:numRef>
              <c:f>Percentiles!$F$35:$DA$35</c:f>
              <c:numCache>
                <c:formatCode>0.00</c:formatCode>
                <c:ptCount val="100"/>
                <c:pt idx="0">
                  <c:v>2542.666846672839</c:v>
                </c:pt>
                <c:pt idx="1">
                  <c:v>2542.666846672839</c:v>
                </c:pt>
                <c:pt idx="2">
                  <c:v>2542.666846672839</c:v>
                </c:pt>
                <c:pt idx="3">
                  <c:v>2542.666846672839</c:v>
                </c:pt>
                <c:pt idx="4">
                  <c:v>2542.666846672839</c:v>
                </c:pt>
                <c:pt idx="5">
                  <c:v>2542.666846672839</c:v>
                </c:pt>
                <c:pt idx="6">
                  <c:v>2542.666846672839</c:v>
                </c:pt>
                <c:pt idx="7">
                  <c:v>2542.666846672839</c:v>
                </c:pt>
                <c:pt idx="8">
                  <c:v>2542.666846672839</c:v>
                </c:pt>
                <c:pt idx="9">
                  <c:v>2542.666846672839</c:v>
                </c:pt>
                <c:pt idx="10">
                  <c:v>2542.666846672839</c:v>
                </c:pt>
                <c:pt idx="11">
                  <c:v>2542.666846672839</c:v>
                </c:pt>
                <c:pt idx="12">
                  <c:v>2542.666846672839</c:v>
                </c:pt>
                <c:pt idx="13">
                  <c:v>2542.666846672839</c:v>
                </c:pt>
                <c:pt idx="14">
                  <c:v>2542.666846672839</c:v>
                </c:pt>
                <c:pt idx="15">
                  <c:v>2542.666846672839</c:v>
                </c:pt>
                <c:pt idx="16">
                  <c:v>2542.666846672839</c:v>
                </c:pt>
                <c:pt idx="17">
                  <c:v>2542.666846672839</c:v>
                </c:pt>
                <c:pt idx="18">
                  <c:v>2542.666846672839</c:v>
                </c:pt>
                <c:pt idx="19">
                  <c:v>2542.666846672839</c:v>
                </c:pt>
                <c:pt idx="20">
                  <c:v>2543.009121234062</c:v>
                </c:pt>
                <c:pt idx="21">
                  <c:v>2544.378219478955</c:v>
                </c:pt>
                <c:pt idx="22">
                  <c:v>2545.747317723848</c:v>
                </c:pt>
                <c:pt idx="23">
                  <c:v>2547.116415968741</c:v>
                </c:pt>
                <c:pt idx="24">
                  <c:v>2548.485514213633</c:v>
                </c:pt>
                <c:pt idx="25">
                  <c:v>2549.854612458526</c:v>
                </c:pt>
                <c:pt idx="26">
                  <c:v>2551.223710703419</c:v>
                </c:pt>
                <c:pt idx="27">
                  <c:v>2552.592808948312</c:v>
                </c:pt>
                <c:pt idx="28">
                  <c:v>2553.961907193205</c:v>
                </c:pt>
                <c:pt idx="29">
                  <c:v>2555.331005438097</c:v>
                </c:pt>
                <c:pt idx="30">
                  <c:v>2556.70010368299</c:v>
                </c:pt>
                <c:pt idx="31">
                  <c:v>2558.069201927883</c:v>
                </c:pt>
                <c:pt idx="32">
                  <c:v>2559.438300172776</c:v>
                </c:pt>
                <c:pt idx="33">
                  <c:v>2560.807398417669</c:v>
                </c:pt>
                <c:pt idx="34">
                  <c:v>2562.176496662561</c:v>
                </c:pt>
                <c:pt idx="35">
                  <c:v>2563.545594907454</c:v>
                </c:pt>
                <c:pt idx="36">
                  <c:v>2564.914693152347</c:v>
                </c:pt>
                <c:pt idx="37">
                  <c:v>2566.28379139724</c:v>
                </c:pt>
                <c:pt idx="38">
                  <c:v>2567.652889642133</c:v>
                </c:pt>
                <c:pt idx="39">
                  <c:v>2569.021987887026</c:v>
                </c:pt>
                <c:pt idx="40">
                  <c:v>2570.391086131918</c:v>
                </c:pt>
                <c:pt idx="41">
                  <c:v>2571.760184376811</c:v>
                </c:pt>
                <c:pt idx="42">
                  <c:v>2573.129282621704</c:v>
                </c:pt>
                <c:pt idx="43">
                  <c:v>2574.498380866597</c:v>
                </c:pt>
                <c:pt idx="44">
                  <c:v>2575.86747911149</c:v>
                </c:pt>
                <c:pt idx="45">
                  <c:v>2577.236577356382</c:v>
                </c:pt>
                <c:pt idx="46">
                  <c:v>2578.605675601275</c:v>
                </c:pt>
                <c:pt idx="47">
                  <c:v>2579.974773846168</c:v>
                </c:pt>
                <c:pt idx="48">
                  <c:v>2581.343872091061</c:v>
                </c:pt>
                <c:pt idx="49">
                  <c:v>2582.712970335954</c:v>
                </c:pt>
                <c:pt idx="50">
                  <c:v>2584.082068580847</c:v>
                </c:pt>
                <c:pt idx="51">
                  <c:v>2585.45116682574</c:v>
                </c:pt>
                <c:pt idx="52">
                  <c:v>2586.820265070632</c:v>
                </c:pt>
                <c:pt idx="53">
                  <c:v>2588.189363315525</c:v>
                </c:pt>
                <c:pt idx="54">
                  <c:v>2589.558461560418</c:v>
                </c:pt>
                <c:pt idx="55">
                  <c:v>2590.927559805311</c:v>
                </c:pt>
                <c:pt idx="56">
                  <c:v>2592.296658050203</c:v>
                </c:pt>
                <c:pt idx="57">
                  <c:v>2584.081850181907</c:v>
                </c:pt>
                <c:pt idx="58">
                  <c:v>2572.672406942548</c:v>
                </c:pt>
                <c:pt idx="59">
                  <c:v>2561.262963703189</c:v>
                </c:pt>
                <c:pt idx="60">
                  <c:v>2549.85352046383</c:v>
                </c:pt>
                <c:pt idx="61">
                  <c:v>2538.44407722447</c:v>
                </c:pt>
                <c:pt idx="62">
                  <c:v>2527.03463398511</c:v>
                </c:pt>
                <c:pt idx="63">
                  <c:v>2515.625190745751</c:v>
                </c:pt>
                <c:pt idx="64">
                  <c:v>2504.215747506392</c:v>
                </c:pt>
                <c:pt idx="65">
                  <c:v>2492.806304267032</c:v>
                </c:pt>
                <c:pt idx="66">
                  <c:v>2481.396861027673</c:v>
                </c:pt>
                <c:pt idx="67">
                  <c:v>2469.987417788313</c:v>
                </c:pt>
                <c:pt idx="68">
                  <c:v>2458.577974548954</c:v>
                </c:pt>
                <c:pt idx="69">
                  <c:v>2447.168531309595</c:v>
                </c:pt>
                <c:pt idx="70">
                  <c:v>2435.759088070236</c:v>
                </c:pt>
                <c:pt idx="71">
                  <c:v>2424.349644830876</c:v>
                </c:pt>
                <c:pt idx="72">
                  <c:v>2412.940201591517</c:v>
                </c:pt>
                <c:pt idx="73">
                  <c:v>2401.530758352157</c:v>
                </c:pt>
                <c:pt idx="74">
                  <c:v>2390.121315112798</c:v>
                </c:pt>
                <c:pt idx="75">
                  <c:v>2378.711871873438</c:v>
                </c:pt>
                <c:pt idx="76">
                  <c:v>2367.30242863408</c:v>
                </c:pt>
                <c:pt idx="77">
                  <c:v>2355.89298539472</c:v>
                </c:pt>
                <c:pt idx="78">
                  <c:v>2344.48354215536</c:v>
                </c:pt>
                <c:pt idx="79">
                  <c:v>2333.074098916001</c:v>
                </c:pt>
                <c:pt idx="80">
                  <c:v>2321.664655676642</c:v>
                </c:pt>
                <c:pt idx="81">
                  <c:v>2310.255212437282</c:v>
                </c:pt>
                <c:pt idx="82">
                  <c:v>2201.65581447483</c:v>
                </c:pt>
                <c:pt idx="83">
                  <c:v>2060.659764938013</c:v>
                </c:pt>
                <c:pt idx="84">
                  <c:v>1919.663715401196</c:v>
                </c:pt>
                <c:pt idx="85">
                  <c:v>1778.667665864379</c:v>
                </c:pt>
                <c:pt idx="86">
                  <c:v>1637.671616327562</c:v>
                </c:pt>
                <c:pt idx="87">
                  <c:v>1496.675566790745</c:v>
                </c:pt>
                <c:pt idx="88">
                  <c:v>1355.679517253928</c:v>
                </c:pt>
                <c:pt idx="89">
                  <c:v>1214.68346771711</c:v>
                </c:pt>
                <c:pt idx="90">
                  <c:v>1073.687418180294</c:v>
                </c:pt>
                <c:pt idx="91">
                  <c:v>932.6913686434766</c:v>
                </c:pt>
                <c:pt idx="92">
                  <c:v>791.6953191066595</c:v>
                </c:pt>
                <c:pt idx="93">
                  <c:v>650.6992695698424</c:v>
                </c:pt>
                <c:pt idx="94">
                  <c:v>509.7032200330256</c:v>
                </c:pt>
                <c:pt idx="95">
                  <c:v>403.9561828804129</c:v>
                </c:pt>
                <c:pt idx="96">
                  <c:v>403.9561828804129</c:v>
                </c:pt>
                <c:pt idx="97">
                  <c:v>403.9561828804129</c:v>
                </c:pt>
                <c:pt idx="98">
                  <c:v>403.9561828804129</c:v>
                </c:pt>
                <c:pt idx="99">
                  <c:v>403.9561828804129</c:v>
                </c:pt>
              </c:numCache>
            </c:numRef>
          </c:val>
        </c:ser>
        <c:ser>
          <c:idx val="11"/>
          <c:order val="11"/>
          <c:tx>
            <c:strRef>
              <c:f>Percentiles!$A$36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invertIfNegative val="0"/>
          <c:val>
            <c:numRef>
              <c:f>Percentiles!$F$36:$DA$36</c:f>
              <c:numCache>
                <c:formatCode>0.00</c:formatCode>
                <c:ptCount val="100"/>
                <c:pt idx="0">
                  <c:v>23585.85891776174</c:v>
                </c:pt>
                <c:pt idx="1">
                  <c:v>23585.85891776174</c:v>
                </c:pt>
                <c:pt idx="2">
                  <c:v>23585.85891776174</c:v>
                </c:pt>
                <c:pt idx="3">
                  <c:v>23585.85891776174</c:v>
                </c:pt>
                <c:pt idx="4">
                  <c:v>23585.85891776174</c:v>
                </c:pt>
                <c:pt idx="5">
                  <c:v>23585.85891776174</c:v>
                </c:pt>
                <c:pt idx="6">
                  <c:v>23585.85891776174</c:v>
                </c:pt>
                <c:pt idx="7">
                  <c:v>23585.85891776174</c:v>
                </c:pt>
                <c:pt idx="8">
                  <c:v>23585.85891776174</c:v>
                </c:pt>
                <c:pt idx="9">
                  <c:v>23585.85891776174</c:v>
                </c:pt>
                <c:pt idx="10">
                  <c:v>23585.85891776174</c:v>
                </c:pt>
                <c:pt idx="11">
                  <c:v>23585.85891776174</c:v>
                </c:pt>
                <c:pt idx="12">
                  <c:v>23585.85891776174</c:v>
                </c:pt>
                <c:pt idx="13">
                  <c:v>23585.85891776174</c:v>
                </c:pt>
                <c:pt idx="14">
                  <c:v>23585.85891776174</c:v>
                </c:pt>
                <c:pt idx="15">
                  <c:v>23585.85891776174</c:v>
                </c:pt>
                <c:pt idx="16">
                  <c:v>23585.85891776174</c:v>
                </c:pt>
                <c:pt idx="17">
                  <c:v>23585.85891776174</c:v>
                </c:pt>
                <c:pt idx="18">
                  <c:v>23585.85891776174</c:v>
                </c:pt>
                <c:pt idx="19">
                  <c:v>23585.85891776174</c:v>
                </c:pt>
                <c:pt idx="20">
                  <c:v>23638.49990430907</c:v>
                </c:pt>
                <c:pt idx="21">
                  <c:v>23849.06385049841</c:v>
                </c:pt>
                <c:pt idx="22">
                  <c:v>24059.62779668775</c:v>
                </c:pt>
                <c:pt idx="23">
                  <c:v>24270.19174287709</c:v>
                </c:pt>
                <c:pt idx="24">
                  <c:v>24480.75568906643</c:v>
                </c:pt>
                <c:pt idx="25">
                  <c:v>24691.31963525577</c:v>
                </c:pt>
                <c:pt idx="26">
                  <c:v>24901.8835814451</c:v>
                </c:pt>
                <c:pt idx="27">
                  <c:v>25112.44752763445</c:v>
                </c:pt>
                <c:pt idx="28">
                  <c:v>25323.01147382378</c:v>
                </c:pt>
                <c:pt idx="29">
                  <c:v>25533.57542001312</c:v>
                </c:pt>
                <c:pt idx="30">
                  <c:v>25744.13936620246</c:v>
                </c:pt>
                <c:pt idx="31">
                  <c:v>25954.7033123918</c:v>
                </c:pt>
                <c:pt idx="32">
                  <c:v>26165.26725858114</c:v>
                </c:pt>
                <c:pt idx="33">
                  <c:v>26375.83120477048</c:v>
                </c:pt>
                <c:pt idx="34">
                  <c:v>26586.39515095982</c:v>
                </c:pt>
                <c:pt idx="35">
                  <c:v>26796.95909714916</c:v>
                </c:pt>
                <c:pt idx="36">
                  <c:v>27007.5230433385</c:v>
                </c:pt>
                <c:pt idx="37">
                  <c:v>27218.08698952784</c:v>
                </c:pt>
                <c:pt idx="38">
                  <c:v>27428.65093571718</c:v>
                </c:pt>
                <c:pt idx="39">
                  <c:v>27639.21488190652</c:v>
                </c:pt>
                <c:pt idx="40">
                  <c:v>27849.77882809586</c:v>
                </c:pt>
                <c:pt idx="41">
                  <c:v>28060.34277428519</c:v>
                </c:pt>
                <c:pt idx="42">
                  <c:v>28270.90672047453</c:v>
                </c:pt>
                <c:pt idx="43">
                  <c:v>28481.47066666387</c:v>
                </c:pt>
                <c:pt idx="44">
                  <c:v>28692.03461285321</c:v>
                </c:pt>
                <c:pt idx="45">
                  <c:v>28902.59855904255</c:v>
                </c:pt>
                <c:pt idx="46">
                  <c:v>29113.1625052319</c:v>
                </c:pt>
                <c:pt idx="47">
                  <c:v>29323.72645142123</c:v>
                </c:pt>
                <c:pt idx="48">
                  <c:v>29534.29039761057</c:v>
                </c:pt>
                <c:pt idx="49">
                  <c:v>29744.85434379991</c:v>
                </c:pt>
                <c:pt idx="50">
                  <c:v>29955.41828998925</c:v>
                </c:pt>
                <c:pt idx="51">
                  <c:v>30165.98223617858</c:v>
                </c:pt>
                <c:pt idx="52">
                  <c:v>30376.54618236793</c:v>
                </c:pt>
                <c:pt idx="53">
                  <c:v>30587.11012855727</c:v>
                </c:pt>
                <c:pt idx="54">
                  <c:v>30797.6740747466</c:v>
                </c:pt>
                <c:pt idx="55">
                  <c:v>31008.23802093594</c:v>
                </c:pt>
                <c:pt idx="56">
                  <c:v>31218.80196712528</c:v>
                </c:pt>
                <c:pt idx="57">
                  <c:v>30613.59619496276</c:v>
                </c:pt>
                <c:pt idx="58">
                  <c:v>29736.46718334963</c:v>
                </c:pt>
                <c:pt idx="59">
                  <c:v>28859.3381717365</c:v>
                </c:pt>
                <c:pt idx="60">
                  <c:v>27982.20916012336</c:v>
                </c:pt>
                <c:pt idx="61">
                  <c:v>27105.08014851022</c:v>
                </c:pt>
                <c:pt idx="62">
                  <c:v>26227.95113689708</c:v>
                </c:pt>
                <c:pt idx="63">
                  <c:v>25350.82212528395</c:v>
                </c:pt>
                <c:pt idx="64">
                  <c:v>24473.69311367081</c:v>
                </c:pt>
                <c:pt idx="65">
                  <c:v>23596.56410205767</c:v>
                </c:pt>
                <c:pt idx="66">
                  <c:v>22719.43509044454</c:v>
                </c:pt>
                <c:pt idx="67">
                  <c:v>21842.3060788314</c:v>
                </c:pt>
                <c:pt idx="68">
                  <c:v>20965.17706721826</c:v>
                </c:pt>
                <c:pt idx="69">
                  <c:v>20088.04805560513</c:v>
                </c:pt>
                <c:pt idx="70">
                  <c:v>19210.91904399199</c:v>
                </c:pt>
                <c:pt idx="71">
                  <c:v>18333.79003237886</c:v>
                </c:pt>
                <c:pt idx="72">
                  <c:v>17456.66102076572</c:v>
                </c:pt>
                <c:pt idx="73">
                  <c:v>16579.53200915258</c:v>
                </c:pt>
                <c:pt idx="74">
                  <c:v>15702.40299753945</c:v>
                </c:pt>
                <c:pt idx="75">
                  <c:v>14825.27398592631</c:v>
                </c:pt>
                <c:pt idx="76">
                  <c:v>13948.14497431317</c:v>
                </c:pt>
                <c:pt idx="77">
                  <c:v>13071.01596270004</c:v>
                </c:pt>
                <c:pt idx="78">
                  <c:v>12193.8869510869</c:v>
                </c:pt>
                <c:pt idx="79">
                  <c:v>11316.75793947376</c:v>
                </c:pt>
                <c:pt idx="80">
                  <c:v>10439.62892786063</c:v>
                </c:pt>
                <c:pt idx="81">
                  <c:v>9562.499916247492</c:v>
                </c:pt>
                <c:pt idx="82">
                  <c:v>9449.941025745738</c:v>
                </c:pt>
                <c:pt idx="83">
                  <c:v>9592.238842281118</c:v>
                </c:pt>
                <c:pt idx="84">
                  <c:v>9734.536658816496</c:v>
                </c:pt>
                <c:pt idx="85">
                  <c:v>9876.834475351874</c:v>
                </c:pt>
                <c:pt idx="86">
                  <c:v>10019.13229188725</c:v>
                </c:pt>
                <c:pt idx="87">
                  <c:v>10161.43010842263</c:v>
                </c:pt>
                <c:pt idx="88">
                  <c:v>10303.72792495801</c:v>
                </c:pt>
                <c:pt idx="89">
                  <c:v>10446.02574149339</c:v>
                </c:pt>
                <c:pt idx="90">
                  <c:v>10588.32355802877</c:v>
                </c:pt>
                <c:pt idx="91">
                  <c:v>10730.62137456415</c:v>
                </c:pt>
                <c:pt idx="92">
                  <c:v>10872.91919109952</c:v>
                </c:pt>
                <c:pt idx="93">
                  <c:v>11015.2170076349</c:v>
                </c:pt>
                <c:pt idx="94">
                  <c:v>11157.51482417028</c:v>
                </c:pt>
                <c:pt idx="95">
                  <c:v>11264.23818657181</c:v>
                </c:pt>
                <c:pt idx="96">
                  <c:v>11264.23818657181</c:v>
                </c:pt>
                <c:pt idx="97">
                  <c:v>11264.23818657181</c:v>
                </c:pt>
                <c:pt idx="98">
                  <c:v>11264.23818657181</c:v>
                </c:pt>
                <c:pt idx="99">
                  <c:v>11264.23818657181</c:v>
                </c:pt>
              </c:numCache>
            </c:numRef>
          </c:val>
        </c:ser>
        <c:ser>
          <c:idx val="13"/>
          <c:order val="12"/>
          <c:tx>
            <c:strRef>
              <c:f>Percentiles!$A$37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Percentiles!$F$37:$DA$37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2.38791965872743</c:v>
                </c:pt>
                <c:pt idx="21">
                  <c:v>11.93959829363715</c:v>
                </c:pt>
                <c:pt idx="22">
                  <c:v>21.49127692854687</c:v>
                </c:pt>
                <c:pt idx="23">
                  <c:v>31.0429555634566</c:v>
                </c:pt>
                <c:pt idx="24">
                  <c:v>40.59463419836631</c:v>
                </c:pt>
                <c:pt idx="25">
                  <c:v>50.14631283327603</c:v>
                </c:pt>
                <c:pt idx="26">
                  <c:v>59.69799146818576</c:v>
                </c:pt>
                <c:pt idx="27">
                  <c:v>69.24967010309547</c:v>
                </c:pt>
                <c:pt idx="28">
                  <c:v>78.8013487380052</c:v>
                </c:pt>
                <c:pt idx="29">
                  <c:v>88.35302737291492</c:v>
                </c:pt>
                <c:pt idx="30">
                  <c:v>97.90470600782464</c:v>
                </c:pt>
                <c:pt idx="31">
                  <c:v>107.4563846427344</c:v>
                </c:pt>
                <c:pt idx="32">
                  <c:v>117.0080632776441</c:v>
                </c:pt>
                <c:pt idx="33">
                  <c:v>126.5597419125538</c:v>
                </c:pt>
                <c:pt idx="34">
                  <c:v>136.1114205474635</c:v>
                </c:pt>
                <c:pt idx="35">
                  <c:v>145.6630991823732</c:v>
                </c:pt>
                <c:pt idx="36">
                  <c:v>155.214777817283</c:v>
                </c:pt>
                <c:pt idx="37">
                  <c:v>164.7664564521927</c:v>
                </c:pt>
                <c:pt idx="38">
                  <c:v>174.3181350871024</c:v>
                </c:pt>
                <c:pt idx="39">
                  <c:v>183.8698137220121</c:v>
                </c:pt>
                <c:pt idx="40">
                  <c:v>193.4214923569218</c:v>
                </c:pt>
                <c:pt idx="41">
                  <c:v>202.9731709918316</c:v>
                </c:pt>
                <c:pt idx="42">
                  <c:v>212.5248496267413</c:v>
                </c:pt>
                <c:pt idx="43">
                  <c:v>222.076528261651</c:v>
                </c:pt>
                <c:pt idx="44">
                  <c:v>231.6282068965607</c:v>
                </c:pt>
                <c:pt idx="45">
                  <c:v>241.1798855314705</c:v>
                </c:pt>
                <c:pt idx="46">
                  <c:v>250.7315641663801</c:v>
                </c:pt>
                <c:pt idx="47">
                  <c:v>260.2832428012899</c:v>
                </c:pt>
                <c:pt idx="48">
                  <c:v>269.8349214361996</c:v>
                </c:pt>
                <c:pt idx="49">
                  <c:v>279.3866000711093</c:v>
                </c:pt>
                <c:pt idx="50">
                  <c:v>288.938278706019</c:v>
                </c:pt>
                <c:pt idx="51">
                  <c:v>298.4899573409288</c:v>
                </c:pt>
                <c:pt idx="52">
                  <c:v>308.0416359758385</c:v>
                </c:pt>
                <c:pt idx="53">
                  <c:v>317.5933146107482</c:v>
                </c:pt>
                <c:pt idx="54">
                  <c:v>327.144993245658</c:v>
                </c:pt>
                <c:pt idx="55">
                  <c:v>336.6966718805676</c:v>
                </c:pt>
                <c:pt idx="56">
                  <c:v>346.2483505154774</c:v>
                </c:pt>
                <c:pt idx="57">
                  <c:v>525.9134189829539</c:v>
                </c:pt>
                <c:pt idx="58">
                  <c:v>762.2829507279526</c:v>
                </c:pt>
                <c:pt idx="59">
                  <c:v>998.6524824729515</c:v>
                </c:pt>
                <c:pt idx="60">
                  <c:v>1235.02201421795</c:v>
                </c:pt>
                <c:pt idx="61">
                  <c:v>1471.39154596295</c:v>
                </c:pt>
                <c:pt idx="62">
                  <c:v>1707.761077707948</c:v>
                </c:pt>
                <c:pt idx="63">
                  <c:v>1944.130609452947</c:v>
                </c:pt>
                <c:pt idx="64">
                  <c:v>2180.500141197946</c:v>
                </c:pt>
                <c:pt idx="65">
                  <c:v>2416.869672942944</c:v>
                </c:pt>
                <c:pt idx="66">
                  <c:v>2653.239204687943</c:v>
                </c:pt>
                <c:pt idx="67">
                  <c:v>2889.608736432941</c:v>
                </c:pt>
                <c:pt idx="68">
                  <c:v>3125.978268177941</c:v>
                </c:pt>
                <c:pt idx="69">
                  <c:v>3362.347799922939</c:v>
                </c:pt>
                <c:pt idx="70">
                  <c:v>3598.717331667938</c:v>
                </c:pt>
                <c:pt idx="71">
                  <c:v>3835.086863412937</c:v>
                </c:pt>
                <c:pt idx="72">
                  <c:v>4071.456395157936</c:v>
                </c:pt>
                <c:pt idx="73">
                  <c:v>4307.825926902934</c:v>
                </c:pt>
                <c:pt idx="74">
                  <c:v>4544.195458647933</c:v>
                </c:pt>
                <c:pt idx="75">
                  <c:v>4780.564990392932</c:v>
                </c:pt>
                <c:pt idx="76">
                  <c:v>5016.934522137931</c:v>
                </c:pt>
                <c:pt idx="77">
                  <c:v>5253.30405388293</c:v>
                </c:pt>
                <c:pt idx="78">
                  <c:v>5489.673585627928</c:v>
                </c:pt>
                <c:pt idx="79">
                  <c:v>5726.043117372927</c:v>
                </c:pt>
                <c:pt idx="80">
                  <c:v>5962.412649117925</c:v>
                </c:pt>
                <c:pt idx="81">
                  <c:v>6198.782180862925</c:v>
                </c:pt>
                <c:pt idx="82">
                  <c:v>7185.234752097278</c:v>
                </c:pt>
                <c:pt idx="83">
                  <c:v>8421.715003161416</c:v>
                </c:pt>
                <c:pt idx="84">
                  <c:v>9658.195254225557</c:v>
                </c:pt>
                <c:pt idx="85">
                  <c:v>10894.6755052897</c:v>
                </c:pt>
                <c:pt idx="86">
                  <c:v>12131.15575635383</c:v>
                </c:pt>
                <c:pt idx="87">
                  <c:v>13367.63600741797</c:v>
                </c:pt>
                <c:pt idx="88">
                  <c:v>14604.11625848211</c:v>
                </c:pt>
                <c:pt idx="89">
                  <c:v>15840.59650954625</c:v>
                </c:pt>
                <c:pt idx="90">
                  <c:v>17077.07676061039</c:v>
                </c:pt>
                <c:pt idx="91">
                  <c:v>18313.55701167453</c:v>
                </c:pt>
                <c:pt idx="92">
                  <c:v>19550.03726273866</c:v>
                </c:pt>
                <c:pt idx="93">
                  <c:v>20786.51751380281</c:v>
                </c:pt>
                <c:pt idx="94">
                  <c:v>22022.99776486694</c:v>
                </c:pt>
                <c:pt idx="95">
                  <c:v>22950.35795316505</c:v>
                </c:pt>
                <c:pt idx="96">
                  <c:v>22950.35795316505</c:v>
                </c:pt>
                <c:pt idx="97">
                  <c:v>22950.35795316505</c:v>
                </c:pt>
                <c:pt idx="98">
                  <c:v>22950.35795316505</c:v>
                </c:pt>
                <c:pt idx="99">
                  <c:v>22950.35795316505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85009400"/>
        <c:axId val="-2085006024"/>
      </c:barChart>
      <c:lineChart>
        <c:grouping val="standard"/>
        <c:varyColors val="0"/>
        <c:ser>
          <c:idx val="12"/>
          <c:order val="13"/>
          <c:tx>
            <c:strRef>
              <c:f>Percentiles!$A$39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Percentiles!$F$39:$DA$39</c:f>
              <c:numCache>
                <c:formatCode>0</c:formatCode>
                <c:ptCount val="100"/>
                <c:pt idx="0">
                  <c:v>31035.99249196373</c:v>
                </c:pt>
                <c:pt idx="1">
                  <c:v>31035.99249196373</c:v>
                </c:pt>
                <c:pt idx="2">
                  <c:v>31035.99249196373</c:v>
                </c:pt>
                <c:pt idx="3">
                  <c:v>31035.99249196373</c:v>
                </c:pt>
                <c:pt idx="4">
                  <c:v>31035.99249196373</c:v>
                </c:pt>
                <c:pt idx="5">
                  <c:v>31035.99249196373</c:v>
                </c:pt>
                <c:pt idx="6">
                  <c:v>31035.99249196373</c:v>
                </c:pt>
                <c:pt idx="7">
                  <c:v>31035.99249196373</c:v>
                </c:pt>
                <c:pt idx="8">
                  <c:v>31035.99249196373</c:v>
                </c:pt>
                <c:pt idx="9">
                  <c:v>31035.99249196373</c:v>
                </c:pt>
                <c:pt idx="10">
                  <c:v>31035.99249196373</c:v>
                </c:pt>
                <c:pt idx="11">
                  <c:v>31035.99249196373</c:v>
                </c:pt>
                <c:pt idx="12">
                  <c:v>31035.99249196373</c:v>
                </c:pt>
                <c:pt idx="13">
                  <c:v>31035.99249196373</c:v>
                </c:pt>
                <c:pt idx="14">
                  <c:v>31035.99249196373</c:v>
                </c:pt>
                <c:pt idx="15">
                  <c:v>31035.99249196373</c:v>
                </c:pt>
                <c:pt idx="16">
                  <c:v>31035.99249196373</c:v>
                </c:pt>
                <c:pt idx="17">
                  <c:v>31035.99249196373</c:v>
                </c:pt>
                <c:pt idx="18">
                  <c:v>31035.99249196373</c:v>
                </c:pt>
                <c:pt idx="19">
                  <c:v>31035.99249196373</c:v>
                </c:pt>
                <c:pt idx="20">
                  <c:v>31035.99249196373</c:v>
                </c:pt>
                <c:pt idx="21">
                  <c:v>31035.99249196373</c:v>
                </c:pt>
                <c:pt idx="22">
                  <c:v>31035.99249196373</c:v>
                </c:pt>
                <c:pt idx="23">
                  <c:v>31035.99249196373</c:v>
                </c:pt>
                <c:pt idx="24">
                  <c:v>31035.99249196373</c:v>
                </c:pt>
                <c:pt idx="25">
                  <c:v>31035.99249196373</c:v>
                </c:pt>
                <c:pt idx="26">
                  <c:v>31035.99249196373</c:v>
                </c:pt>
                <c:pt idx="27">
                  <c:v>31035.99249196373</c:v>
                </c:pt>
                <c:pt idx="28">
                  <c:v>31035.99249196373</c:v>
                </c:pt>
                <c:pt idx="29">
                  <c:v>31035.99249196373</c:v>
                </c:pt>
                <c:pt idx="30">
                  <c:v>31035.99249196373</c:v>
                </c:pt>
                <c:pt idx="31">
                  <c:v>31035.99249196373</c:v>
                </c:pt>
                <c:pt idx="32">
                  <c:v>31035.99249196373</c:v>
                </c:pt>
                <c:pt idx="33">
                  <c:v>31035.99249196373</c:v>
                </c:pt>
                <c:pt idx="34">
                  <c:v>31035.99249196373</c:v>
                </c:pt>
                <c:pt idx="35">
                  <c:v>31035.99249196373</c:v>
                </c:pt>
                <c:pt idx="36">
                  <c:v>31035.99249196373</c:v>
                </c:pt>
                <c:pt idx="37">
                  <c:v>31035.99249196373</c:v>
                </c:pt>
                <c:pt idx="38">
                  <c:v>31035.99249196373</c:v>
                </c:pt>
                <c:pt idx="39">
                  <c:v>31035.99249196373</c:v>
                </c:pt>
                <c:pt idx="40">
                  <c:v>31035.99249196373</c:v>
                </c:pt>
                <c:pt idx="41">
                  <c:v>31035.99249196373</c:v>
                </c:pt>
                <c:pt idx="42">
                  <c:v>31035.99249196373</c:v>
                </c:pt>
                <c:pt idx="43">
                  <c:v>31035.99249196373</c:v>
                </c:pt>
                <c:pt idx="44">
                  <c:v>31035.99249196373</c:v>
                </c:pt>
                <c:pt idx="45">
                  <c:v>31035.99249196373</c:v>
                </c:pt>
                <c:pt idx="46">
                  <c:v>31035.99249196373</c:v>
                </c:pt>
                <c:pt idx="47">
                  <c:v>31035.99249196373</c:v>
                </c:pt>
                <c:pt idx="48">
                  <c:v>31035.99249196373</c:v>
                </c:pt>
                <c:pt idx="49">
                  <c:v>31035.99249196373</c:v>
                </c:pt>
                <c:pt idx="50">
                  <c:v>31035.99249196373</c:v>
                </c:pt>
                <c:pt idx="51">
                  <c:v>31035.99249196373</c:v>
                </c:pt>
                <c:pt idx="52">
                  <c:v>31035.99249196373</c:v>
                </c:pt>
                <c:pt idx="53">
                  <c:v>31035.99249196373</c:v>
                </c:pt>
                <c:pt idx="54">
                  <c:v>31035.99249196373</c:v>
                </c:pt>
                <c:pt idx="55">
                  <c:v>31035.99249196373</c:v>
                </c:pt>
                <c:pt idx="56">
                  <c:v>31035.99249196373</c:v>
                </c:pt>
                <c:pt idx="57">
                  <c:v>31035.99249196373</c:v>
                </c:pt>
                <c:pt idx="58">
                  <c:v>31035.99249196373</c:v>
                </c:pt>
                <c:pt idx="59">
                  <c:v>31035.99249196373</c:v>
                </c:pt>
                <c:pt idx="60">
                  <c:v>31035.99249196373</c:v>
                </c:pt>
                <c:pt idx="61">
                  <c:v>31035.99249196373</c:v>
                </c:pt>
                <c:pt idx="62">
                  <c:v>31035.99249196373</c:v>
                </c:pt>
                <c:pt idx="63">
                  <c:v>31035.99249196373</c:v>
                </c:pt>
                <c:pt idx="64">
                  <c:v>31035.99249196373</c:v>
                </c:pt>
                <c:pt idx="65">
                  <c:v>31035.99249196373</c:v>
                </c:pt>
                <c:pt idx="66">
                  <c:v>31035.99249196373</c:v>
                </c:pt>
                <c:pt idx="67">
                  <c:v>31035.99249196373</c:v>
                </c:pt>
                <c:pt idx="68">
                  <c:v>31035.99249196373</c:v>
                </c:pt>
                <c:pt idx="69">
                  <c:v>31035.99249196373</c:v>
                </c:pt>
                <c:pt idx="70">
                  <c:v>31035.99249196373</c:v>
                </c:pt>
                <c:pt idx="71">
                  <c:v>31035.99249196373</c:v>
                </c:pt>
                <c:pt idx="72">
                  <c:v>31035.99249196373</c:v>
                </c:pt>
                <c:pt idx="73">
                  <c:v>31035.99249196376</c:v>
                </c:pt>
                <c:pt idx="74">
                  <c:v>31035.99249196376</c:v>
                </c:pt>
                <c:pt idx="75">
                  <c:v>31035.99249196376</c:v>
                </c:pt>
                <c:pt idx="76">
                  <c:v>31035.99249196376</c:v>
                </c:pt>
                <c:pt idx="77">
                  <c:v>31035.99249196376</c:v>
                </c:pt>
                <c:pt idx="78">
                  <c:v>31035.99249196376</c:v>
                </c:pt>
                <c:pt idx="79">
                  <c:v>31035.99249196376</c:v>
                </c:pt>
                <c:pt idx="80">
                  <c:v>31035.99249196376</c:v>
                </c:pt>
                <c:pt idx="81">
                  <c:v>31035.99249196376</c:v>
                </c:pt>
                <c:pt idx="82">
                  <c:v>31035.99249196376</c:v>
                </c:pt>
                <c:pt idx="83">
                  <c:v>31035.99249196376</c:v>
                </c:pt>
                <c:pt idx="84">
                  <c:v>31035.99249196376</c:v>
                </c:pt>
                <c:pt idx="85">
                  <c:v>31035.99249196376</c:v>
                </c:pt>
                <c:pt idx="86">
                  <c:v>31035.99249196376</c:v>
                </c:pt>
                <c:pt idx="87">
                  <c:v>31035.99249196376</c:v>
                </c:pt>
                <c:pt idx="88">
                  <c:v>31035.99249196376</c:v>
                </c:pt>
                <c:pt idx="89">
                  <c:v>31035.22776537979</c:v>
                </c:pt>
                <c:pt idx="90">
                  <c:v>31035.22776537979</c:v>
                </c:pt>
                <c:pt idx="91">
                  <c:v>31035.22776537979</c:v>
                </c:pt>
                <c:pt idx="92">
                  <c:v>31035.22776537979</c:v>
                </c:pt>
                <c:pt idx="93">
                  <c:v>31035.22776537979</c:v>
                </c:pt>
                <c:pt idx="94">
                  <c:v>31035.22776537979</c:v>
                </c:pt>
                <c:pt idx="95">
                  <c:v>31035.22776537979</c:v>
                </c:pt>
                <c:pt idx="96">
                  <c:v>31035.22776537979</c:v>
                </c:pt>
                <c:pt idx="97">
                  <c:v>31035.22776537979</c:v>
                </c:pt>
                <c:pt idx="98">
                  <c:v>31035.22776537979</c:v>
                </c:pt>
                <c:pt idx="99">
                  <c:v>31035.22776537979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5009400"/>
        <c:axId val="-2085006024"/>
      </c:lineChart>
      <c:catAx>
        <c:axId val="-2085009400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8500602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-208500602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85009400"/>
        <c:crossesAt val="1.0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26816082347248"/>
          <c:y val="0.1875"/>
          <c:w val="0.166201227290723"/>
          <c:h val="0.6041664323209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Percentiles!$A$108</c:f>
              <c:strCache>
                <c:ptCount val="1"/>
                <c:pt idx="0">
                  <c:v>Own crops Consumed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33996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41164049920852"/>
                  <c:y val="-0.043055869324632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33996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Percentiles!$C$108:$E$108</c:f>
              <c:numCache>
                <c:formatCode>0.000</c:formatCode>
                <c:ptCount val="3"/>
                <c:pt idx="0">
                  <c:v>45.83618133029097</c:v>
                </c:pt>
                <c:pt idx="1">
                  <c:v>-16.80585121371196</c:v>
                </c:pt>
                <c:pt idx="2">
                  <c:v>-78.91272006325723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Percentiles!$A$109</c:f>
              <c:strCache>
                <c:ptCount val="1"/>
                <c:pt idx="0">
                  <c:v>Own crops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92D05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9CC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0270829455205071"/>
                  <c:y val="-0.099956104103336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9CC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Percentiles!$C$109:$E$109</c:f>
              <c:numCache>
                <c:formatCode>0.000</c:formatCode>
                <c:ptCount val="3"/>
                <c:pt idx="0">
                  <c:v>41.10592993705854</c:v>
                </c:pt>
                <c:pt idx="1">
                  <c:v>373.393546959752</c:v>
                </c:pt>
                <c:pt idx="2">
                  <c:v>833.7328503655504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Percentiles!$A$113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B3A2C7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99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760347252265127"/>
                  <c:y val="-0.037144945381528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808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Percentiles!$C$113:$E$113</c:f>
              <c:numCache>
                <c:formatCode>0.000</c:formatCode>
                <c:ptCount val="3"/>
                <c:pt idx="0">
                  <c:v>3.320768480899266</c:v>
                </c:pt>
                <c:pt idx="1">
                  <c:v>-1.443639642172204</c:v>
                </c:pt>
                <c:pt idx="2">
                  <c:v>-6.304967296186525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Percentiles!$A$116</c:f>
              <c:strCache>
                <c:ptCount val="1"/>
                <c:pt idx="0">
                  <c:v>Self - employment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CCFF"/>
              </a:solidFill>
              <a:ln>
                <a:solidFill>
                  <a:srgbClr val="CCCC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CC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174252973109329"/>
                  <c:y val="-0.0007532842693702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CC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Percentiles!$C$116:$E$116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Percentiles!$A$118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558ED5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3366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175841005402218"/>
                  <c:y val="0.10244332435476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CC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Percentiles!$C$118:$E$118</c:f>
              <c:numCache>
                <c:formatCode>0.000</c:formatCode>
                <c:ptCount val="3"/>
                <c:pt idx="0">
                  <c:v>1.369098244892821</c:v>
                </c:pt>
                <c:pt idx="1">
                  <c:v>-11.40944323935937</c:v>
                </c:pt>
                <c:pt idx="2">
                  <c:v>-140.996049536817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Percentiles!$A$119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A6A6A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6969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00302772550325083"/>
                  <c:y val="0.0030829599084143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6969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Percentiles!$C$119:$E$119</c:f>
              <c:numCache>
                <c:formatCode>0.000</c:formatCode>
                <c:ptCount val="3"/>
                <c:pt idx="0">
                  <c:v>210.5639461893392</c:v>
                </c:pt>
                <c:pt idx="1">
                  <c:v>-877.1290116131364</c:v>
                </c:pt>
                <c:pt idx="2">
                  <c:v>142.2978165353785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4829256"/>
        <c:axId val="-2084825912"/>
      </c:scatterChart>
      <c:scatterChart>
        <c:scatterStyle val="lineMarker"/>
        <c:varyColors val="0"/>
        <c:ser>
          <c:idx val="2"/>
          <c:order val="2"/>
          <c:tx>
            <c:strRef>
              <c:f>Percentiles!$A$110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30706759152949"/>
                  <c:y val="0.057628258472003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Percentiles!$C$110:$E$110</c:f>
              <c:numCache>
                <c:formatCode>0.000</c:formatCode>
                <c:ptCount val="3"/>
                <c:pt idx="0">
                  <c:v>13.55088641971615</c:v>
                </c:pt>
                <c:pt idx="1">
                  <c:v>32.84259710308948</c:v>
                </c:pt>
                <c:pt idx="2">
                  <c:v>20.41864663283727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Percentiles!$A$111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trendline>
            <c:spPr>
              <a:ln w="3175">
                <a:solidFill>
                  <a:srgbClr val="FCF305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0202835732677505"/>
                  <c:y val="-0.062269975492649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CF305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Percentiles!$C$111:$E$111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Percentiles!$A$112</c:f>
              <c:strCache>
                <c:ptCount val="1"/>
                <c:pt idx="0">
                  <c:v>Animals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AC090"/>
              </a:solidFill>
              <a:ln>
                <a:solidFill>
                  <a:srgbClr val="FFCC99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FF66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816964055750752"/>
                  <c:y val="-0.056227273084731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66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Percentiles!$C$112:$E$112</c:f>
              <c:numCache>
                <c:formatCode>0.000</c:formatCode>
                <c:ptCount val="3"/>
                <c:pt idx="0">
                  <c:v>191.8651306028807</c:v>
                </c:pt>
                <c:pt idx="1">
                  <c:v>469.9429420088694</c:v>
                </c:pt>
                <c:pt idx="2">
                  <c:v>705.7493436527508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Percentiles!$A$114</c:f>
              <c:strCache>
                <c:ptCount val="1"/>
                <c:pt idx="0">
                  <c:v>Labour - casual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D99694"/>
              </a:solidFill>
              <a:ln>
                <a:solidFill>
                  <a:srgbClr val="FF808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FF808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78549659290863"/>
                  <c:y val="-0.36691679225373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808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Percentiles!$C$114:$E$114</c:f>
              <c:numCache>
                <c:formatCode>0.000</c:formatCode>
                <c:ptCount val="3"/>
                <c:pt idx="0">
                  <c:v>-77.80239057978082</c:v>
                </c:pt>
                <c:pt idx="1">
                  <c:v>2285.928921185248</c:v>
                </c:pt>
                <c:pt idx="2">
                  <c:v>-4416.710470330171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Percentiles!$A$115</c:f>
              <c:strCache>
                <c:ptCount val="1"/>
                <c:pt idx="0">
                  <c:v>Labour - formal emp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C0504D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9336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476769435143113"/>
                  <c:y val="0.30236643271770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9336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Percentiles!$C$115:$E$115</c:f>
              <c:numCache>
                <c:formatCode>0.000</c:formatCode>
                <c:ptCount val="3"/>
                <c:pt idx="0">
                  <c:v>0.0</c:v>
                </c:pt>
                <c:pt idx="1">
                  <c:v>1128.386191009541</c:v>
                </c:pt>
                <c:pt idx="2">
                  <c:v>9348.074334266656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Percentiles!$A$117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CC66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99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176797809678449"/>
                  <c:y val="0.2010107971513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99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Percentiles!$C$117:$E$117</c:f>
              <c:numCache>
                <c:formatCode>0.000</c:formatCode>
                <c:ptCount val="3"/>
                <c:pt idx="0">
                  <c:v>-11.6867597415366</c:v>
                </c:pt>
                <c:pt idx="1">
                  <c:v>-45.93795559942464</c:v>
                </c:pt>
                <c:pt idx="2">
                  <c:v>4515.695430599604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Percentiles!$A$120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D9D9D9"/>
              </a:solidFill>
              <a:ln>
                <a:solidFill>
                  <a:srgbClr val="C0C0C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0C0C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32777509800058"/>
                  <c:y val="0.18976205659663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0C0C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Percentiles!$C$120:$E$120</c:f>
              <c:numCache>
                <c:formatCode>0.000</c:formatCode>
                <c:ptCount val="3"/>
                <c:pt idx="0">
                  <c:v>9.55167863490972</c:v>
                </c:pt>
                <c:pt idx="1">
                  <c:v>236.3695317449988</c:v>
                </c:pt>
                <c:pt idx="2">
                  <c:v>1236.480251064139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4822296"/>
        <c:axId val="-2084819400"/>
      </c:scatterChart>
      <c:valAx>
        <c:axId val="-2084829256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numFmt formatCode="0.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84825912"/>
        <c:crosses val="autoZero"/>
        <c:crossBetween val="midCat"/>
      </c:valAx>
      <c:valAx>
        <c:axId val="-208482591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ysDash"/>
            </a:ln>
          </c:spPr>
        </c:minorGridlines>
        <c:numFmt formatCode="0.000" sourceLinked="1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84829256"/>
        <c:crosses val="autoZero"/>
        <c:crossBetween val="midCat"/>
      </c:valAx>
      <c:valAx>
        <c:axId val="-2084822296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one"/>
        <c:crossAx val="-2084819400"/>
        <c:crosses val="autoZero"/>
        <c:crossBetween val="midCat"/>
      </c:valAx>
      <c:valAx>
        <c:axId val="-2084819400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84822296"/>
        <c:crosses val="max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750000651822496"/>
          <c:y val="0.0385852090032154"/>
          <c:w val="0.231788209834698"/>
          <c:h val="0.90353799022710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Percentiles!$A$59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Percentiles!$F$59:$DA$59</c:f>
              <c:numCache>
                <c:formatCode>0</c:formatCode>
                <c:ptCount val="100"/>
                <c:pt idx="0">
                  <c:v>1637.861248379045</c:v>
                </c:pt>
                <c:pt idx="1">
                  <c:v>1637.861248379045</c:v>
                </c:pt>
                <c:pt idx="2">
                  <c:v>1637.861248379045</c:v>
                </c:pt>
                <c:pt idx="3">
                  <c:v>1637.861248379045</c:v>
                </c:pt>
                <c:pt idx="4">
                  <c:v>1637.861248379045</c:v>
                </c:pt>
                <c:pt idx="5">
                  <c:v>1637.861248379045</c:v>
                </c:pt>
                <c:pt idx="6">
                  <c:v>1637.861248379045</c:v>
                </c:pt>
                <c:pt idx="7">
                  <c:v>1637.861248379045</c:v>
                </c:pt>
                <c:pt idx="8">
                  <c:v>1637.861248379045</c:v>
                </c:pt>
                <c:pt idx="9">
                  <c:v>1637.861248379045</c:v>
                </c:pt>
                <c:pt idx="10">
                  <c:v>1637.861248379045</c:v>
                </c:pt>
                <c:pt idx="11">
                  <c:v>1637.861248379045</c:v>
                </c:pt>
                <c:pt idx="12">
                  <c:v>1637.861248379045</c:v>
                </c:pt>
                <c:pt idx="13">
                  <c:v>1637.861248379045</c:v>
                </c:pt>
                <c:pt idx="14">
                  <c:v>1637.861248379045</c:v>
                </c:pt>
                <c:pt idx="15">
                  <c:v>1637.861248379045</c:v>
                </c:pt>
                <c:pt idx="16">
                  <c:v>1637.861248379045</c:v>
                </c:pt>
                <c:pt idx="17">
                  <c:v>1637.861248379045</c:v>
                </c:pt>
                <c:pt idx="18">
                  <c:v>1637.861248379045</c:v>
                </c:pt>
                <c:pt idx="19">
                  <c:v>1637.861248379045</c:v>
                </c:pt>
                <c:pt idx="20">
                  <c:v>1649.320293711618</c:v>
                </c:pt>
                <c:pt idx="21">
                  <c:v>1695.15647504191</c:v>
                </c:pt>
                <c:pt idx="22">
                  <c:v>1740.9926563722</c:v>
                </c:pt>
                <c:pt idx="23">
                  <c:v>1786.828837702491</c:v>
                </c:pt>
                <c:pt idx="24">
                  <c:v>1832.665019032782</c:v>
                </c:pt>
                <c:pt idx="25">
                  <c:v>1878.501200363073</c:v>
                </c:pt>
                <c:pt idx="26">
                  <c:v>1924.337381693364</c:v>
                </c:pt>
                <c:pt idx="27">
                  <c:v>1970.173563023655</c:v>
                </c:pt>
                <c:pt idx="28">
                  <c:v>2016.009744353946</c:v>
                </c:pt>
                <c:pt idx="29">
                  <c:v>2061.845925684237</c:v>
                </c:pt>
                <c:pt idx="30">
                  <c:v>2107.682107014528</c:v>
                </c:pt>
                <c:pt idx="31">
                  <c:v>2153.518288344819</c:v>
                </c:pt>
                <c:pt idx="32">
                  <c:v>2199.35446967511</c:v>
                </c:pt>
                <c:pt idx="33">
                  <c:v>2245.1906510054</c:v>
                </c:pt>
                <c:pt idx="34">
                  <c:v>2291.026832335691</c:v>
                </c:pt>
                <c:pt idx="35">
                  <c:v>2336.863013665983</c:v>
                </c:pt>
                <c:pt idx="36">
                  <c:v>2382.699194996273</c:v>
                </c:pt>
                <c:pt idx="37">
                  <c:v>2428.535376326564</c:v>
                </c:pt>
                <c:pt idx="38">
                  <c:v>2474.371557656855</c:v>
                </c:pt>
                <c:pt idx="39">
                  <c:v>2520.207738987147</c:v>
                </c:pt>
                <c:pt idx="40">
                  <c:v>2566.043920317437</c:v>
                </c:pt>
                <c:pt idx="41">
                  <c:v>2611.880101647728</c:v>
                </c:pt>
                <c:pt idx="42">
                  <c:v>2657.71628297802</c:v>
                </c:pt>
                <c:pt idx="43">
                  <c:v>2703.55246430831</c:v>
                </c:pt>
                <c:pt idx="44">
                  <c:v>2749.388645638601</c:v>
                </c:pt>
                <c:pt idx="45">
                  <c:v>2795.224826968893</c:v>
                </c:pt>
                <c:pt idx="46">
                  <c:v>2841.061008299183</c:v>
                </c:pt>
                <c:pt idx="47">
                  <c:v>2886.897189629474</c:v>
                </c:pt>
                <c:pt idx="48">
                  <c:v>2932.733370959765</c:v>
                </c:pt>
                <c:pt idx="49">
                  <c:v>2978.569552290056</c:v>
                </c:pt>
                <c:pt idx="50">
                  <c:v>3024.405733620347</c:v>
                </c:pt>
                <c:pt idx="51">
                  <c:v>3070.241914950638</c:v>
                </c:pt>
                <c:pt idx="52">
                  <c:v>3116.07809628093</c:v>
                </c:pt>
                <c:pt idx="53">
                  <c:v>3161.91427761122</c:v>
                </c:pt>
                <c:pt idx="54">
                  <c:v>3207.750458941511</c:v>
                </c:pt>
                <c:pt idx="55">
                  <c:v>3253.586640271802</c:v>
                </c:pt>
                <c:pt idx="56">
                  <c:v>3299.422821602093</c:v>
                </c:pt>
                <c:pt idx="57">
                  <c:v>3298.277478524381</c:v>
                </c:pt>
                <c:pt idx="58">
                  <c:v>3281.47162731067</c:v>
                </c:pt>
                <c:pt idx="59">
                  <c:v>3264.665776096958</c:v>
                </c:pt>
                <c:pt idx="60">
                  <c:v>3247.859924883245</c:v>
                </c:pt>
                <c:pt idx="61">
                  <c:v>3231.054073669534</c:v>
                </c:pt>
                <c:pt idx="62">
                  <c:v>3214.248222455822</c:v>
                </c:pt>
                <c:pt idx="63">
                  <c:v>3197.44237124211</c:v>
                </c:pt>
                <c:pt idx="64">
                  <c:v>3180.636520028398</c:v>
                </c:pt>
                <c:pt idx="65">
                  <c:v>3163.830668814686</c:v>
                </c:pt>
                <c:pt idx="66">
                  <c:v>3147.024817600974</c:v>
                </c:pt>
                <c:pt idx="67">
                  <c:v>3130.218966387262</c:v>
                </c:pt>
                <c:pt idx="68">
                  <c:v>3113.41311517355</c:v>
                </c:pt>
                <c:pt idx="69">
                  <c:v>3096.607263959838</c:v>
                </c:pt>
                <c:pt idx="70">
                  <c:v>3079.801412746126</c:v>
                </c:pt>
                <c:pt idx="71">
                  <c:v>3062.995561532414</c:v>
                </c:pt>
                <c:pt idx="72">
                  <c:v>3046.189710318702</c:v>
                </c:pt>
                <c:pt idx="73">
                  <c:v>3029.38385910499</c:v>
                </c:pt>
                <c:pt idx="74">
                  <c:v>3012.578007891278</c:v>
                </c:pt>
                <c:pt idx="75">
                  <c:v>2995.772156677566</c:v>
                </c:pt>
                <c:pt idx="76">
                  <c:v>2978.966305463854</c:v>
                </c:pt>
                <c:pt idx="77">
                  <c:v>2962.160454250143</c:v>
                </c:pt>
                <c:pt idx="78">
                  <c:v>2945.35460303643</c:v>
                </c:pt>
                <c:pt idx="79">
                  <c:v>2928.548751822719</c:v>
                </c:pt>
                <c:pt idx="80">
                  <c:v>2911.742900609006</c:v>
                </c:pt>
                <c:pt idx="81">
                  <c:v>2894.937049395295</c:v>
                </c:pt>
                <c:pt idx="82">
                  <c:v>2831.551046544423</c:v>
                </c:pt>
                <c:pt idx="83">
                  <c:v>2752.638326481167</c:v>
                </c:pt>
                <c:pt idx="84">
                  <c:v>2673.725606417909</c:v>
                </c:pt>
                <c:pt idx="85">
                  <c:v>2594.812886354652</c:v>
                </c:pt>
                <c:pt idx="86">
                  <c:v>2515.900166291394</c:v>
                </c:pt>
                <c:pt idx="87">
                  <c:v>2436.987446228138</c:v>
                </c:pt>
                <c:pt idx="88">
                  <c:v>2358.07472616488</c:v>
                </c:pt>
                <c:pt idx="89">
                  <c:v>2279.162006101623</c:v>
                </c:pt>
                <c:pt idx="90">
                  <c:v>2200.249286038366</c:v>
                </c:pt>
                <c:pt idx="91">
                  <c:v>2121.336565975108</c:v>
                </c:pt>
                <c:pt idx="92">
                  <c:v>2042.423845911851</c:v>
                </c:pt>
                <c:pt idx="93">
                  <c:v>1963.511125848594</c:v>
                </c:pt>
                <c:pt idx="94">
                  <c:v>1884.598405785337</c:v>
                </c:pt>
                <c:pt idx="95">
                  <c:v>1852.003865737894</c:v>
                </c:pt>
                <c:pt idx="96">
                  <c:v>1958.363865737894</c:v>
                </c:pt>
                <c:pt idx="97">
                  <c:v>2064.723865737894</c:v>
                </c:pt>
                <c:pt idx="98">
                  <c:v>2171.083865737894</c:v>
                </c:pt>
                <c:pt idx="99">
                  <c:v>2277.443865737894</c:v>
                </c:pt>
              </c:numCache>
            </c:numRef>
          </c:val>
        </c:ser>
        <c:ser>
          <c:idx val="1"/>
          <c:order val="1"/>
          <c:tx>
            <c:strRef>
              <c:f>Percentiles!$A$60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Percentiles!$F$60:$DA$60</c:f>
              <c:numCache>
                <c:formatCode>0</c:formatCode>
                <c:ptCount val="100"/>
                <c:pt idx="0">
                  <c:v>6745.975100024677</c:v>
                </c:pt>
                <c:pt idx="1">
                  <c:v>6405.715100024676</c:v>
                </c:pt>
                <c:pt idx="2">
                  <c:v>6065.455100024676</c:v>
                </c:pt>
                <c:pt idx="3">
                  <c:v>5725.195100024676</c:v>
                </c:pt>
                <c:pt idx="4">
                  <c:v>5384.935100024677</c:v>
                </c:pt>
                <c:pt idx="5">
                  <c:v>5044.675100024676</c:v>
                </c:pt>
                <c:pt idx="6">
                  <c:v>4704.415100024676</c:v>
                </c:pt>
                <c:pt idx="7">
                  <c:v>4364.155100024676</c:v>
                </c:pt>
                <c:pt idx="8">
                  <c:v>4023.895100024676</c:v>
                </c:pt>
                <c:pt idx="9">
                  <c:v>3683.635100024676</c:v>
                </c:pt>
                <c:pt idx="10">
                  <c:v>3343.375100024676</c:v>
                </c:pt>
                <c:pt idx="11">
                  <c:v>3003.115100024676</c:v>
                </c:pt>
                <c:pt idx="12">
                  <c:v>2662.855100024676</c:v>
                </c:pt>
                <c:pt idx="13">
                  <c:v>2322.595100024676</c:v>
                </c:pt>
                <c:pt idx="14">
                  <c:v>1982.335100024676</c:v>
                </c:pt>
                <c:pt idx="15">
                  <c:v>1642.075100024676</c:v>
                </c:pt>
                <c:pt idx="16">
                  <c:v>1301.815100024676</c:v>
                </c:pt>
                <c:pt idx="17">
                  <c:v>961.5551000246762</c:v>
                </c:pt>
                <c:pt idx="18">
                  <c:v>621.2951000246762</c:v>
                </c:pt>
                <c:pt idx="19">
                  <c:v>281.0351000246764</c:v>
                </c:pt>
                <c:pt idx="20">
                  <c:v>36.116582508941</c:v>
                </c:pt>
                <c:pt idx="21">
                  <c:v>77.22251244599953</c:v>
                </c:pt>
                <c:pt idx="22">
                  <c:v>118.3284423830581</c:v>
                </c:pt>
                <c:pt idx="23">
                  <c:v>159.4343723201166</c:v>
                </c:pt>
                <c:pt idx="24">
                  <c:v>200.5403022571752</c:v>
                </c:pt>
                <c:pt idx="25">
                  <c:v>241.6462321942337</c:v>
                </c:pt>
                <c:pt idx="26">
                  <c:v>282.7521621312923</c:v>
                </c:pt>
                <c:pt idx="27">
                  <c:v>323.8580920683508</c:v>
                </c:pt>
                <c:pt idx="28">
                  <c:v>364.9640220054093</c:v>
                </c:pt>
                <c:pt idx="29">
                  <c:v>406.0699519424679</c:v>
                </c:pt>
                <c:pt idx="30">
                  <c:v>447.1758818795264</c:v>
                </c:pt>
                <c:pt idx="31">
                  <c:v>488.2818118165849</c:v>
                </c:pt>
                <c:pt idx="32">
                  <c:v>529.3877417536434</c:v>
                </c:pt>
                <c:pt idx="33">
                  <c:v>570.493671690702</c:v>
                </c:pt>
                <c:pt idx="34">
                  <c:v>611.5996016277605</c:v>
                </c:pt>
                <c:pt idx="35">
                  <c:v>652.705531564819</c:v>
                </c:pt>
                <c:pt idx="36">
                  <c:v>693.8114615018776</c:v>
                </c:pt>
                <c:pt idx="37">
                  <c:v>734.9173914389361</c:v>
                </c:pt>
                <c:pt idx="38">
                  <c:v>776.0233213759947</c:v>
                </c:pt>
                <c:pt idx="39">
                  <c:v>817.1292513130533</c:v>
                </c:pt>
                <c:pt idx="40">
                  <c:v>858.2351812501117</c:v>
                </c:pt>
                <c:pt idx="41">
                  <c:v>899.3411111871703</c:v>
                </c:pt>
                <c:pt idx="42">
                  <c:v>940.4470411242288</c:v>
                </c:pt>
                <c:pt idx="43">
                  <c:v>981.5529710612873</c:v>
                </c:pt>
                <c:pt idx="44">
                  <c:v>1022.658900998346</c:v>
                </c:pt>
                <c:pt idx="45">
                  <c:v>1063.764830935404</c:v>
                </c:pt>
                <c:pt idx="46">
                  <c:v>1104.870760872463</c:v>
                </c:pt>
                <c:pt idx="47">
                  <c:v>1145.976690809522</c:v>
                </c:pt>
                <c:pt idx="48">
                  <c:v>1187.08262074658</c:v>
                </c:pt>
                <c:pt idx="49">
                  <c:v>1228.188550683639</c:v>
                </c:pt>
                <c:pt idx="50">
                  <c:v>1269.294480620697</c:v>
                </c:pt>
                <c:pt idx="51">
                  <c:v>1310.400410557756</c:v>
                </c:pt>
                <c:pt idx="52">
                  <c:v>1351.506340494814</c:v>
                </c:pt>
                <c:pt idx="53">
                  <c:v>1392.612270431873</c:v>
                </c:pt>
                <c:pt idx="54">
                  <c:v>1433.718200368931</c:v>
                </c:pt>
                <c:pt idx="55">
                  <c:v>1474.82413030599</c:v>
                </c:pt>
                <c:pt idx="56">
                  <c:v>1515.930060243049</c:v>
                </c:pt>
                <c:pt idx="57">
                  <c:v>1806.251702947127</c:v>
                </c:pt>
                <c:pt idx="58">
                  <c:v>2179.645249906879</c:v>
                </c:pt>
                <c:pt idx="59">
                  <c:v>2553.038796866631</c:v>
                </c:pt>
                <c:pt idx="60">
                  <c:v>2926.432343826383</c:v>
                </c:pt>
                <c:pt idx="61">
                  <c:v>3299.825890786135</c:v>
                </c:pt>
                <c:pt idx="62">
                  <c:v>3673.219437745887</c:v>
                </c:pt>
                <c:pt idx="63">
                  <c:v>4046.612984705639</c:v>
                </c:pt>
                <c:pt idx="64">
                  <c:v>4420.00653166539</c:v>
                </c:pt>
                <c:pt idx="65">
                  <c:v>4793.400078625143</c:v>
                </c:pt>
                <c:pt idx="66">
                  <c:v>5166.793625584894</c:v>
                </c:pt>
                <c:pt idx="67">
                  <c:v>5540.187172544647</c:v>
                </c:pt>
                <c:pt idx="68">
                  <c:v>5913.580719504398</c:v>
                </c:pt>
                <c:pt idx="69">
                  <c:v>6286.97426646415</c:v>
                </c:pt>
                <c:pt idx="70">
                  <c:v>6660.367813423902</c:v>
                </c:pt>
                <c:pt idx="71">
                  <c:v>7033.761360383654</c:v>
                </c:pt>
                <c:pt idx="72">
                  <c:v>7407.154907343406</c:v>
                </c:pt>
                <c:pt idx="73">
                  <c:v>7780.548454303158</c:v>
                </c:pt>
                <c:pt idx="74">
                  <c:v>8153.94200126291</c:v>
                </c:pt>
                <c:pt idx="75">
                  <c:v>8527.335548222663</c:v>
                </c:pt>
                <c:pt idx="76">
                  <c:v>8900.729095182414</c:v>
                </c:pt>
                <c:pt idx="77">
                  <c:v>9274.122642142167</c:v>
                </c:pt>
                <c:pt idx="78">
                  <c:v>9647.516189101918</c:v>
                </c:pt>
                <c:pt idx="79">
                  <c:v>10020.90973606167</c:v>
                </c:pt>
                <c:pt idx="80">
                  <c:v>10394.30328302142</c:v>
                </c:pt>
                <c:pt idx="81">
                  <c:v>10767.69682998117</c:v>
                </c:pt>
                <c:pt idx="82">
                  <c:v>11486.34485449528</c:v>
                </c:pt>
                <c:pt idx="83">
                  <c:v>12320.07770486083</c:v>
                </c:pt>
                <c:pt idx="84">
                  <c:v>13153.81055522638</c:v>
                </c:pt>
                <c:pt idx="85">
                  <c:v>13987.54340559193</c:v>
                </c:pt>
                <c:pt idx="86">
                  <c:v>14821.27625595748</c:v>
                </c:pt>
                <c:pt idx="87">
                  <c:v>15655.00910632303</c:v>
                </c:pt>
                <c:pt idx="88">
                  <c:v>16488.74195668858</c:v>
                </c:pt>
                <c:pt idx="89">
                  <c:v>17322.47480705413</c:v>
                </c:pt>
                <c:pt idx="90">
                  <c:v>18156.20765741968</c:v>
                </c:pt>
                <c:pt idx="91">
                  <c:v>18989.94050778523</c:v>
                </c:pt>
                <c:pt idx="92">
                  <c:v>19823.67335815078</c:v>
                </c:pt>
                <c:pt idx="93">
                  <c:v>20657.40620851633</c:v>
                </c:pt>
                <c:pt idx="94">
                  <c:v>21491.13905888188</c:v>
                </c:pt>
                <c:pt idx="95">
                  <c:v>22297.65369665605</c:v>
                </c:pt>
                <c:pt idx="96">
                  <c:v>23022.51369665605</c:v>
                </c:pt>
                <c:pt idx="97">
                  <c:v>23747.37369665605</c:v>
                </c:pt>
                <c:pt idx="98">
                  <c:v>24472.23369665605</c:v>
                </c:pt>
                <c:pt idx="99">
                  <c:v>25197.09369665605</c:v>
                </c:pt>
              </c:numCache>
            </c:numRef>
          </c:val>
        </c:ser>
        <c:ser>
          <c:idx val="2"/>
          <c:order val="2"/>
          <c:tx>
            <c:strRef>
              <c:f>Percentiles!$A$61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Percentiles!$F$61:$DA$61</c:f>
              <c:numCache>
                <c:formatCode>0</c:formatCode>
                <c:ptCount val="100"/>
                <c:pt idx="0">
                  <c:v>600.961745113332</c:v>
                </c:pt>
                <c:pt idx="1">
                  <c:v>600.961745113332</c:v>
                </c:pt>
                <c:pt idx="2">
                  <c:v>600.961745113332</c:v>
                </c:pt>
                <c:pt idx="3">
                  <c:v>600.961745113332</c:v>
                </c:pt>
                <c:pt idx="4">
                  <c:v>600.961745113332</c:v>
                </c:pt>
                <c:pt idx="5">
                  <c:v>600.961745113332</c:v>
                </c:pt>
                <c:pt idx="6">
                  <c:v>600.961745113332</c:v>
                </c:pt>
                <c:pt idx="7">
                  <c:v>600.961745113332</c:v>
                </c:pt>
                <c:pt idx="8">
                  <c:v>600.961745113332</c:v>
                </c:pt>
                <c:pt idx="9">
                  <c:v>600.961745113332</c:v>
                </c:pt>
                <c:pt idx="10">
                  <c:v>600.961745113332</c:v>
                </c:pt>
                <c:pt idx="11">
                  <c:v>600.961745113332</c:v>
                </c:pt>
                <c:pt idx="12">
                  <c:v>600.961745113332</c:v>
                </c:pt>
                <c:pt idx="13">
                  <c:v>600.961745113332</c:v>
                </c:pt>
                <c:pt idx="14">
                  <c:v>600.961745113332</c:v>
                </c:pt>
                <c:pt idx="15">
                  <c:v>600.961745113332</c:v>
                </c:pt>
                <c:pt idx="16">
                  <c:v>600.961745113332</c:v>
                </c:pt>
                <c:pt idx="17">
                  <c:v>600.961745113332</c:v>
                </c:pt>
                <c:pt idx="18">
                  <c:v>600.961745113332</c:v>
                </c:pt>
                <c:pt idx="19">
                  <c:v>600.961745113332</c:v>
                </c:pt>
                <c:pt idx="20">
                  <c:v>604.3494667182611</c:v>
                </c:pt>
                <c:pt idx="21">
                  <c:v>617.9003531379771</c:v>
                </c:pt>
                <c:pt idx="22">
                  <c:v>631.4512395576932</c:v>
                </c:pt>
                <c:pt idx="23">
                  <c:v>645.0021259774095</c:v>
                </c:pt>
                <c:pt idx="24">
                  <c:v>658.5530123971256</c:v>
                </c:pt>
                <c:pt idx="25">
                  <c:v>672.1038988168418</c:v>
                </c:pt>
                <c:pt idx="26">
                  <c:v>685.654785236558</c:v>
                </c:pt>
                <c:pt idx="27">
                  <c:v>699.205671656274</c:v>
                </c:pt>
                <c:pt idx="28">
                  <c:v>712.7565580759903</c:v>
                </c:pt>
                <c:pt idx="29">
                  <c:v>726.3074444957064</c:v>
                </c:pt>
                <c:pt idx="30">
                  <c:v>739.8583309154226</c:v>
                </c:pt>
                <c:pt idx="31">
                  <c:v>753.4092173351387</c:v>
                </c:pt>
                <c:pt idx="32">
                  <c:v>766.9601037548548</c:v>
                </c:pt>
                <c:pt idx="33">
                  <c:v>780.510990174571</c:v>
                </c:pt>
                <c:pt idx="34">
                  <c:v>794.0618765942871</c:v>
                </c:pt>
                <c:pt idx="35">
                  <c:v>807.6127630140033</c:v>
                </c:pt>
                <c:pt idx="36">
                  <c:v>821.1636494337195</c:v>
                </c:pt>
                <c:pt idx="37">
                  <c:v>834.7145358534356</c:v>
                </c:pt>
                <c:pt idx="38">
                  <c:v>848.2654222731517</c:v>
                </c:pt>
                <c:pt idx="39">
                  <c:v>861.816308692868</c:v>
                </c:pt>
                <c:pt idx="40">
                  <c:v>875.3671951125841</c:v>
                </c:pt>
                <c:pt idx="41">
                  <c:v>888.9180815323002</c:v>
                </c:pt>
                <c:pt idx="42">
                  <c:v>902.4689679520163</c:v>
                </c:pt>
                <c:pt idx="43">
                  <c:v>916.0198543717325</c:v>
                </c:pt>
                <c:pt idx="44">
                  <c:v>929.5707407914488</c:v>
                </c:pt>
                <c:pt idx="45">
                  <c:v>943.1216272111649</c:v>
                </c:pt>
                <c:pt idx="46">
                  <c:v>956.672513630881</c:v>
                </c:pt>
                <c:pt idx="47">
                  <c:v>970.223400050597</c:v>
                </c:pt>
                <c:pt idx="48">
                  <c:v>983.7742864703133</c:v>
                </c:pt>
                <c:pt idx="49">
                  <c:v>997.3251728900295</c:v>
                </c:pt>
                <c:pt idx="50">
                  <c:v>1010.876059309746</c:v>
                </c:pt>
                <c:pt idx="51">
                  <c:v>1024.426945729462</c:v>
                </c:pt>
                <c:pt idx="52">
                  <c:v>1037.977832149178</c:v>
                </c:pt>
                <c:pt idx="53">
                  <c:v>1051.528718568894</c:v>
                </c:pt>
                <c:pt idx="54">
                  <c:v>1065.07960498861</c:v>
                </c:pt>
                <c:pt idx="55">
                  <c:v>1078.630491408326</c:v>
                </c:pt>
                <c:pt idx="56">
                  <c:v>1092.181377828043</c:v>
                </c:pt>
                <c:pt idx="57">
                  <c:v>1120.201047260289</c:v>
                </c:pt>
                <c:pt idx="58">
                  <c:v>1153.043644363378</c:v>
                </c:pt>
                <c:pt idx="59">
                  <c:v>1185.886241466468</c:v>
                </c:pt>
                <c:pt idx="60">
                  <c:v>1218.728838569557</c:v>
                </c:pt>
                <c:pt idx="61">
                  <c:v>1251.571435672647</c:v>
                </c:pt>
                <c:pt idx="62">
                  <c:v>1284.414032775736</c:v>
                </c:pt>
                <c:pt idx="63">
                  <c:v>1317.256629878826</c:v>
                </c:pt>
                <c:pt idx="64">
                  <c:v>1350.099226981915</c:v>
                </c:pt>
                <c:pt idx="65">
                  <c:v>1382.941824085005</c:v>
                </c:pt>
                <c:pt idx="66">
                  <c:v>1415.784421188094</c:v>
                </c:pt>
                <c:pt idx="67">
                  <c:v>1448.627018291184</c:v>
                </c:pt>
                <c:pt idx="68">
                  <c:v>1481.469615394273</c:v>
                </c:pt>
                <c:pt idx="69">
                  <c:v>1514.312212497362</c:v>
                </c:pt>
                <c:pt idx="70">
                  <c:v>1547.154809600452</c:v>
                </c:pt>
                <c:pt idx="71">
                  <c:v>1579.997406703541</c:v>
                </c:pt>
                <c:pt idx="72">
                  <c:v>1612.840003806631</c:v>
                </c:pt>
                <c:pt idx="73">
                  <c:v>1645.68260090972</c:v>
                </c:pt>
                <c:pt idx="74">
                  <c:v>1678.52519801281</c:v>
                </c:pt>
                <c:pt idx="75">
                  <c:v>1711.367795115899</c:v>
                </c:pt>
                <c:pt idx="76">
                  <c:v>1744.210392218989</c:v>
                </c:pt>
                <c:pt idx="77">
                  <c:v>1777.052989322078</c:v>
                </c:pt>
                <c:pt idx="78">
                  <c:v>1809.895586425168</c:v>
                </c:pt>
                <c:pt idx="79">
                  <c:v>1842.738183528257</c:v>
                </c:pt>
                <c:pt idx="80">
                  <c:v>1875.580780631347</c:v>
                </c:pt>
                <c:pt idx="81">
                  <c:v>1908.423377734436</c:v>
                </c:pt>
                <c:pt idx="82">
                  <c:v>1931.948011984837</c:v>
                </c:pt>
                <c:pt idx="83">
                  <c:v>1952.366658617674</c:v>
                </c:pt>
                <c:pt idx="84">
                  <c:v>1972.785305250511</c:v>
                </c:pt>
                <c:pt idx="85">
                  <c:v>1993.203951883349</c:v>
                </c:pt>
                <c:pt idx="86">
                  <c:v>2013.622598516186</c:v>
                </c:pt>
                <c:pt idx="87">
                  <c:v>2034.041245149023</c:v>
                </c:pt>
                <c:pt idx="88">
                  <c:v>2054.45989178186</c:v>
                </c:pt>
                <c:pt idx="89">
                  <c:v>2074.878538414698</c:v>
                </c:pt>
                <c:pt idx="90">
                  <c:v>2095.297185047535</c:v>
                </c:pt>
                <c:pt idx="91">
                  <c:v>2115.715831680372</c:v>
                </c:pt>
                <c:pt idx="92">
                  <c:v>2136.134478313209</c:v>
                </c:pt>
                <c:pt idx="93">
                  <c:v>2156.553124946046</c:v>
                </c:pt>
                <c:pt idx="94">
                  <c:v>2176.971771578883</c:v>
                </c:pt>
                <c:pt idx="95">
                  <c:v>2194.393506553511</c:v>
                </c:pt>
                <c:pt idx="96">
                  <c:v>2202.824506553512</c:v>
                </c:pt>
                <c:pt idx="97">
                  <c:v>2211.255506553512</c:v>
                </c:pt>
                <c:pt idx="98">
                  <c:v>2219.686506553512</c:v>
                </c:pt>
                <c:pt idx="99">
                  <c:v>2228.117506553511</c:v>
                </c:pt>
              </c:numCache>
            </c:numRef>
          </c:val>
        </c:ser>
        <c:ser>
          <c:idx val="3"/>
          <c:order val="3"/>
          <c:tx>
            <c:strRef>
              <c:f>Percentiles!$A$62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Percentiles!$F$62:$DA$62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Percentiles!$A$63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Percentiles!$F$63:$DA$63</c:f>
              <c:numCache>
                <c:formatCode>0</c:formatCode>
                <c:ptCount val="100"/>
                <c:pt idx="0">
                  <c:v>3045.440360051142</c:v>
                </c:pt>
                <c:pt idx="1">
                  <c:v>3045.440360051142</c:v>
                </c:pt>
                <c:pt idx="2">
                  <c:v>3045.440360051142</c:v>
                </c:pt>
                <c:pt idx="3">
                  <c:v>3045.440360051142</c:v>
                </c:pt>
                <c:pt idx="4">
                  <c:v>3045.440360051142</c:v>
                </c:pt>
                <c:pt idx="5">
                  <c:v>3045.440360051142</c:v>
                </c:pt>
                <c:pt idx="6">
                  <c:v>3045.440360051142</c:v>
                </c:pt>
                <c:pt idx="7">
                  <c:v>3045.440360051142</c:v>
                </c:pt>
                <c:pt idx="8">
                  <c:v>3045.440360051142</c:v>
                </c:pt>
                <c:pt idx="9">
                  <c:v>3045.440360051142</c:v>
                </c:pt>
                <c:pt idx="10">
                  <c:v>3045.440360051142</c:v>
                </c:pt>
                <c:pt idx="11">
                  <c:v>3045.440360051142</c:v>
                </c:pt>
                <c:pt idx="12">
                  <c:v>3045.440360051142</c:v>
                </c:pt>
                <c:pt idx="13">
                  <c:v>3045.440360051142</c:v>
                </c:pt>
                <c:pt idx="14">
                  <c:v>3045.440360051142</c:v>
                </c:pt>
                <c:pt idx="15">
                  <c:v>3045.440360051142</c:v>
                </c:pt>
                <c:pt idx="16">
                  <c:v>3045.440360051142</c:v>
                </c:pt>
                <c:pt idx="17">
                  <c:v>3045.440360051142</c:v>
                </c:pt>
                <c:pt idx="18">
                  <c:v>3045.440360051142</c:v>
                </c:pt>
                <c:pt idx="19">
                  <c:v>3045.440360051142</c:v>
                </c:pt>
                <c:pt idx="20">
                  <c:v>3093.406642701862</c:v>
                </c:pt>
                <c:pt idx="21">
                  <c:v>3285.271773304743</c:v>
                </c:pt>
                <c:pt idx="22">
                  <c:v>3477.136903907624</c:v>
                </c:pt>
                <c:pt idx="23">
                  <c:v>3669.002034510504</c:v>
                </c:pt>
                <c:pt idx="24">
                  <c:v>3860.867165113385</c:v>
                </c:pt>
                <c:pt idx="25">
                  <c:v>4052.732295716266</c:v>
                </c:pt>
                <c:pt idx="26">
                  <c:v>4244.597426319146</c:v>
                </c:pt>
                <c:pt idx="27">
                  <c:v>4436.462556922027</c:v>
                </c:pt>
                <c:pt idx="28">
                  <c:v>4628.327687524908</c:v>
                </c:pt>
                <c:pt idx="29">
                  <c:v>4820.192818127788</c:v>
                </c:pt>
                <c:pt idx="30">
                  <c:v>5012.05794873067</c:v>
                </c:pt>
                <c:pt idx="31">
                  <c:v>5203.92307933355</c:v>
                </c:pt>
                <c:pt idx="32">
                  <c:v>5395.788209936431</c:v>
                </c:pt>
                <c:pt idx="33">
                  <c:v>5587.653340539311</c:v>
                </c:pt>
                <c:pt idx="34">
                  <c:v>5779.518471142192</c:v>
                </c:pt>
                <c:pt idx="35">
                  <c:v>5971.383601745073</c:v>
                </c:pt>
                <c:pt idx="36">
                  <c:v>6163.248732347954</c:v>
                </c:pt>
                <c:pt idx="37">
                  <c:v>6355.113862950834</c:v>
                </c:pt>
                <c:pt idx="38">
                  <c:v>6546.978993553716</c:v>
                </c:pt>
                <c:pt idx="39">
                  <c:v>6738.844124156596</c:v>
                </c:pt>
                <c:pt idx="40">
                  <c:v>6930.709254759476</c:v>
                </c:pt>
                <c:pt idx="41">
                  <c:v>7122.574385362357</c:v>
                </c:pt>
                <c:pt idx="42">
                  <c:v>7314.439515965238</c:v>
                </c:pt>
                <c:pt idx="43">
                  <c:v>7506.304646568118</c:v>
                </c:pt>
                <c:pt idx="44">
                  <c:v>7698.169777171</c:v>
                </c:pt>
                <c:pt idx="45">
                  <c:v>7890.03490777388</c:v>
                </c:pt>
                <c:pt idx="46">
                  <c:v>8081.900038376761</c:v>
                </c:pt>
                <c:pt idx="47">
                  <c:v>8273.76516897964</c:v>
                </c:pt>
                <c:pt idx="48">
                  <c:v>8465.63029958252</c:v>
                </c:pt>
                <c:pt idx="49">
                  <c:v>8657.495430185401</c:v>
                </c:pt>
                <c:pt idx="50">
                  <c:v>8849.360560788284</c:v>
                </c:pt>
                <c:pt idx="51">
                  <c:v>9041.225691391164</c:v>
                </c:pt>
                <c:pt idx="52">
                  <c:v>9233.090821994045</c:v>
                </c:pt>
                <c:pt idx="53">
                  <c:v>9424.955952596925</c:v>
                </c:pt>
                <c:pt idx="54">
                  <c:v>9616.821083199805</c:v>
                </c:pt>
                <c:pt idx="55">
                  <c:v>9808.686213802688</c:v>
                </c:pt>
                <c:pt idx="56">
                  <c:v>10000.55134440557</c:v>
                </c:pt>
                <c:pt idx="57">
                  <c:v>10400.97483356294</c:v>
                </c:pt>
                <c:pt idx="58">
                  <c:v>10870.91777557181</c:v>
                </c:pt>
                <c:pt idx="59">
                  <c:v>11340.86071758068</c:v>
                </c:pt>
                <c:pt idx="60">
                  <c:v>11810.80365958955</c:v>
                </c:pt>
                <c:pt idx="61">
                  <c:v>12280.74660159842</c:v>
                </c:pt>
                <c:pt idx="62">
                  <c:v>12750.68954360729</c:v>
                </c:pt>
                <c:pt idx="63">
                  <c:v>13220.63248561616</c:v>
                </c:pt>
                <c:pt idx="64">
                  <c:v>13690.57542762503</c:v>
                </c:pt>
                <c:pt idx="65">
                  <c:v>14160.5183696339</c:v>
                </c:pt>
                <c:pt idx="66">
                  <c:v>14630.46131164276</c:v>
                </c:pt>
                <c:pt idx="67">
                  <c:v>15100.40425365164</c:v>
                </c:pt>
                <c:pt idx="68">
                  <c:v>15570.3471956605</c:v>
                </c:pt>
                <c:pt idx="69">
                  <c:v>16040.29013766937</c:v>
                </c:pt>
                <c:pt idx="70">
                  <c:v>16510.23307967824</c:v>
                </c:pt>
                <c:pt idx="71">
                  <c:v>16980.17602168711</c:v>
                </c:pt>
                <c:pt idx="72">
                  <c:v>17450.11896369598</c:v>
                </c:pt>
                <c:pt idx="73">
                  <c:v>17920.06190570485</c:v>
                </c:pt>
                <c:pt idx="74">
                  <c:v>18390.00484771372</c:v>
                </c:pt>
                <c:pt idx="75">
                  <c:v>18859.94778972258</c:v>
                </c:pt>
                <c:pt idx="76">
                  <c:v>19329.89073173146</c:v>
                </c:pt>
                <c:pt idx="77">
                  <c:v>19799.83367374033</c:v>
                </c:pt>
                <c:pt idx="78">
                  <c:v>20269.7766157492</c:v>
                </c:pt>
                <c:pt idx="79">
                  <c:v>20739.71955775807</c:v>
                </c:pt>
                <c:pt idx="80">
                  <c:v>21209.66249976694</c:v>
                </c:pt>
                <c:pt idx="81">
                  <c:v>21679.60544177581</c:v>
                </c:pt>
                <c:pt idx="82">
                  <c:v>22326.40318501758</c:v>
                </c:pt>
                <c:pt idx="83">
                  <c:v>23032.15252867034</c:v>
                </c:pt>
                <c:pt idx="84">
                  <c:v>23737.90187232309</c:v>
                </c:pt>
                <c:pt idx="85">
                  <c:v>24443.65121597584</c:v>
                </c:pt>
                <c:pt idx="86">
                  <c:v>25149.40055962859</c:v>
                </c:pt>
                <c:pt idx="87">
                  <c:v>25855.14990328134</c:v>
                </c:pt>
                <c:pt idx="88">
                  <c:v>26560.89924693409</c:v>
                </c:pt>
                <c:pt idx="89">
                  <c:v>27266.64859058684</c:v>
                </c:pt>
                <c:pt idx="90">
                  <c:v>27972.39793423959</c:v>
                </c:pt>
                <c:pt idx="91">
                  <c:v>28678.14727789235</c:v>
                </c:pt>
                <c:pt idx="92">
                  <c:v>29383.8966215451</c:v>
                </c:pt>
                <c:pt idx="93">
                  <c:v>30089.64596519785</c:v>
                </c:pt>
                <c:pt idx="94">
                  <c:v>30795.3953088506</c:v>
                </c:pt>
                <c:pt idx="95">
                  <c:v>31324.70731659016</c:v>
                </c:pt>
                <c:pt idx="96">
                  <c:v>31324.70731659016</c:v>
                </c:pt>
                <c:pt idx="97">
                  <c:v>31324.70731659016</c:v>
                </c:pt>
                <c:pt idx="98">
                  <c:v>31324.70731659016</c:v>
                </c:pt>
                <c:pt idx="99">
                  <c:v>31324.70731659016</c:v>
                </c:pt>
              </c:numCache>
            </c:numRef>
          </c:val>
        </c:ser>
        <c:ser>
          <c:idx val="5"/>
          <c:order val="5"/>
          <c:tx>
            <c:strRef>
              <c:f>Percentiles!$A$64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Percentiles!$F$64:$DA$64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0.830192120224816</c:v>
                </c:pt>
                <c:pt idx="21">
                  <c:v>4.150960601124082</c:v>
                </c:pt>
                <c:pt idx="22">
                  <c:v>7.471729082023347</c:v>
                </c:pt>
                <c:pt idx="23">
                  <c:v>10.79249756292261</c:v>
                </c:pt>
                <c:pt idx="24">
                  <c:v>14.11326604382188</c:v>
                </c:pt>
                <c:pt idx="25">
                  <c:v>17.43403452472115</c:v>
                </c:pt>
                <c:pt idx="26">
                  <c:v>20.75480300562041</c:v>
                </c:pt>
                <c:pt idx="27">
                  <c:v>24.07557148651968</c:v>
                </c:pt>
                <c:pt idx="28">
                  <c:v>27.39633996741894</c:v>
                </c:pt>
                <c:pt idx="29">
                  <c:v>30.71710844831821</c:v>
                </c:pt>
                <c:pt idx="30">
                  <c:v>34.03787692921748</c:v>
                </c:pt>
                <c:pt idx="31">
                  <c:v>37.35864541011674</c:v>
                </c:pt>
                <c:pt idx="32">
                  <c:v>40.679413891016</c:v>
                </c:pt>
                <c:pt idx="33">
                  <c:v>44.00018237191527</c:v>
                </c:pt>
                <c:pt idx="34">
                  <c:v>47.32095085281454</c:v>
                </c:pt>
                <c:pt idx="35">
                  <c:v>50.6417193337138</c:v>
                </c:pt>
                <c:pt idx="36">
                  <c:v>53.96248781461307</c:v>
                </c:pt>
                <c:pt idx="37">
                  <c:v>57.28325629551234</c:v>
                </c:pt>
                <c:pt idx="38">
                  <c:v>60.60402477641161</c:v>
                </c:pt>
                <c:pt idx="39">
                  <c:v>63.92479325731087</c:v>
                </c:pt>
                <c:pt idx="40">
                  <c:v>67.24556173821012</c:v>
                </c:pt>
                <c:pt idx="41">
                  <c:v>70.5663302191094</c:v>
                </c:pt>
                <c:pt idx="42">
                  <c:v>73.88709870000866</c:v>
                </c:pt>
                <c:pt idx="43">
                  <c:v>77.20786718090792</c:v>
                </c:pt>
                <c:pt idx="44">
                  <c:v>80.5286356618072</c:v>
                </c:pt>
                <c:pt idx="45">
                  <c:v>83.84940414270646</c:v>
                </c:pt>
                <c:pt idx="46">
                  <c:v>87.17017262360574</c:v>
                </c:pt>
                <c:pt idx="47">
                  <c:v>90.490941104505</c:v>
                </c:pt>
                <c:pt idx="48">
                  <c:v>93.81170958540425</c:v>
                </c:pt>
                <c:pt idx="49">
                  <c:v>97.13247806630353</c:v>
                </c:pt>
                <c:pt idx="50">
                  <c:v>100.4532465472028</c:v>
                </c:pt>
                <c:pt idx="51">
                  <c:v>103.7740150281021</c:v>
                </c:pt>
                <c:pt idx="52">
                  <c:v>107.0947835090013</c:v>
                </c:pt>
                <c:pt idx="53">
                  <c:v>110.4155519899006</c:v>
                </c:pt>
                <c:pt idx="54">
                  <c:v>113.7363204707999</c:v>
                </c:pt>
                <c:pt idx="55">
                  <c:v>117.0570889516991</c:v>
                </c:pt>
                <c:pt idx="56">
                  <c:v>120.3778574325984</c:v>
                </c:pt>
                <c:pt idx="57">
                  <c:v>120.125319821194</c:v>
                </c:pt>
                <c:pt idx="58">
                  <c:v>118.6816801790218</c:v>
                </c:pt>
                <c:pt idx="59">
                  <c:v>117.2380405368496</c:v>
                </c:pt>
                <c:pt idx="60">
                  <c:v>115.7944008946774</c:v>
                </c:pt>
                <c:pt idx="61">
                  <c:v>114.3507612525052</c:v>
                </c:pt>
                <c:pt idx="62">
                  <c:v>112.907121610333</c:v>
                </c:pt>
                <c:pt idx="63">
                  <c:v>111.4634819681608</c:v>
                </c:pt>
                <c:pt idx="64">
                  <c:v>110.0198423259886</c:v>
                </c:pt>
                <c:pt idx="65">
                  <c:v>108.5762026838164</c:v>
                </c:pt>
                <c:pt idx="66">
                  <c:v>107.1325630416442</c:v>
                </c:pt>
                <c:pt idx="67">
                  <c:v>105.688923399472</c:v>
                </c:pt>
                <c:pt idx="68">
                  <c:v>104.2452837572998</c:v>
                </c:pt>
                <c:pt idx="69">
                  <c:v>102.8016441151276</c:v>
                </c:pt>
                <c:pt idx="70">
                  <c:v>101.3580044729554</c:v>
                </c:pt>
                <c:pt idx="71">
                  <c:v>99.91436483078318</c:v>
                </c:pt>
                <c:pt idx="72">
                  <c:v>98.47072518861098</c:v>
                </c:pt>
                <c:pt idx="73">
                  <c:v>97.02708554643877</c:v>
                </c:pt>
                <c:pt idx="74">
                  <c:v>95.58344590426657</c:v>
                </c:pt>
                <c:pt idx="75">
                  <c:v>94.13980626209437</c:v>
                </c:pt>
                <c:pt idx="76">
                  <c:v>92.69616661992216</c:v>
                </c:pt>
                <c:pt idx="77">
                  <c:v>91.25252697774997</c:v>
                </c:pt>
                <c:pt idx="78">
                  <c:v>89.80888733557776</c:v>
                </c:pt>
                <c:pt idx="79">
                  <c:v>88.36524769340555</c:v>
                </c:pt>
                <c:pt idx="80">
                  <c:v>86.92160805123334</c:v>
                </c:pt>
                <c:pt idx="81">
                  <c:v>85.47796840906113</c:v>
                </c:pt>
                <c:pt idx="82">
                  <c:v>80.38833302637819</c:v>
                </c:pt>
                <c:pt idx="83">
                  <c:v>74.08336573019167</c:v>
                </c:pt>
                <c:pt idx="84">
                  <c:v>67.77839843400514</c:v>
                </c:pt>
                <c:pt idx="85">
                  <c:v>61.47343113781862</c:v>
                </c:pt>
                <c:pt idx="86">
                  <c:v>55.1684638416321</c:v>
                </c:pt>
                <c:pt idx="87">
                  <c:v>48.86349654544557</c:v>
                </c:pt>
                <c:pt idx="88">
                  <c:v>42.55852924925904</c:v>
                </c:pt>
                <c:pt idx="89">
                  <c:v>36.25356195307252</c:v>
                </c:pt>
                <c:pt idx="90">
                  <c:v>29.94859465688599</c:v>
                </c:pt>
                <c:pt idx="91">
                  <c:v>23.64362736069947</c:v>
                </c:pt>
                <c:pt idx="92">
                  <c:v>17.33866006451294</c:v>
                </c:pt>
                <c:pt idx="93">
                  <c:v>11.03369276832642</c:v>
                </c:pt>
                <c:pt idx="94">
                  <c:v>4.728725472139885</c:v>
                </c:pt>
                <c:pt idx="95">
                  <c:v>13.04749999999997</c:v>
                </c:pt>
                <c:pt idx="96">
                  <c:v>65.23749999999985</c:v>
                </c:pt>
                <c:pt idx="97">
                  <c:v>117.4274999999997</c:v>
                </c:pt>
                <c:pt idx="98">
                  <c:v>169.6174999999996</c:v>
                </c:pt>
                <c:pt idx="99">
                  <c:v>221.8074999999995</c:v>
                </c:pt>
              </c:numCache>
            </c:numRef>
          </c:val>
        </c:ser>
        <c:ser>
          <c:idx val="6"/>
          <c:order val="6"/>
          <c:tx>
            <c:strRef>
              <c:f>Percentiles!$A$65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Percentiles!$F$65:$DA$65</c:f>
              <c:numCache>
                <c:formatCode>0</c:formatCode>
                <c:ptCount val="100"/>
                <c:pt idx="0">
                  <c:v>5317.155575988115</c:v>
                </c:pt>
                <c:pt idx="1">
                  <c:v>5317.155575988115</c:v>
                </c:pt>
                <c:pt idx="2">
                  <c:v>5317.155575988115</c:v>
                </c:pt>
                <c:pt idx="3">
                  <c:v>5317.155575988115</c:v>
                </c:pt>
                <c:pt idx="4">
                  <c:v>5317.155575988115</c:v>
                </c:pt>
                <c:pt idx="5">
                  <c:v>5317.155575988115</c:v>
                </c:pt>
                <c:pt idx="6">
                  <c:v>5317.155575988115</c:v>
                </c:pt>
                <c:pt idx="7">
                  <c:v>5317.155575988115</c:v>
                </c:pt>
                <c:pt idx="8">
                  <c:v>5317.155575988115</c:v>
                </c:pt>
                <c:pt idx="9">
                  <c:v>5317.155575988115</c:v>
                </c:pt>
                <c:pt idx="10">
                  <c:v>5317.155575988115</c:v>
                </c:pt>
                <c:pt idx="11">
                  <c:v>5317.155575988115</c:v>
                </c:pt>
                <c:pt idx="12">
                  <c:v>5317.155575988115</c:v>
                </c:pt>
                <c:pt idx="13">
                  <c:v>5317.155575988115</c:v>
                </c:pt>
                <c:pt idx="14">
                  <c:v>5317.155575988115</c:v>
                </c:pt>
                <c:pt idx="15">
                  <c:v>5317.155575988115</c:v>
                </c:pt>
                <c:pt idx="16">
                  <c:v>5317.155575988115</c:v>
                </c:pt>
                <c:pt idx="17">
                  <c:v>5317.155575988115</c:v>
                </c:pt>
                <c:pt idx="18">
                  <c:v>5317.155575988115</c:v>
                </c:pt>
                <c:pt idx="19">
                  <c:v>5317.155575988115</c:v>
                </c:pt>
                <c:pt idx="20">
                  <c:v>5297.704978343169</c:v>
                </c:pt>
                <c:pt idx="21">
                  <c:v>5219.902587763388</c:v>
                </c:pt>
                <c:pt idx="22">
                  <c:v>5142.100197183607</c:v>
                </c:pt>
                <c:pt idx="23">
                  <c:v>5064.297806603826</c:v>
                </c:pt>
                <c:pt idx="24">
                  <c:v>4986.495416024047</c:v>
                </c:pt>
                <c:pt idx="25">
                  <c:v>4908.693025444266</c:v>
                </c:pt>
                <c:pt idx="26">
                  <c:v>4830.890634864485</c:v>
                </c:pt>
                <c:pt idx="27">
                  <c:v>4753.088244284704</c:v>
                </c:pt>
                <c:pt idx="28">
                  <c:v>4675.285853704923</c:v>
                </c:pt>
                <c:pt idx="29">
                  <c:v>4597.483463125142</c:v>
                </c:pt>
                <c:pt idx="30">
                  <c:v>4519.681072545361</c:v>
                </c:pt>
                <c:pt idx="31">
                  <c:v>4441.87868196558</c:v>
                </c:pt>
                <c:pt idx="32">
                  <c:v>4364.0762913858</c:v>
                </c:pt>
                <c:pt idx="33">
                  <c:v>4286.273900806019</c:v>
                </c:pt>
                <c:pt idx="34">
                  <c:v>4208.471510226238</c:v>
                </c:pt>
                <c:pt idx="35">
                  <c:v>4130.669119646457</c:v>
                </c:pt>
                <c:pt idx="36">
                  <c:v>4052.866729066676</c:v>
                </c:pt>
                <c:pt idx="37">
                  <c:v>3975.064338486895</c:v>
                </c:pt>
                <c:pt idx="38">
                  <c:v>3897.261947907115</c:v>
                </c:pt>
                <c:pt idx="39">
                  <c:v>3819.459557327334</c:v>
                </c:pt>
                <c:pt idx="40">
                  <c:v>3741.657166747553</c:v>
                </c:pt>
                <c:pt idx="41">
                  <c:v>3663.854776167772</c:v>
                </c:pt>
                <c:pt idx="42">
                  <c:v>3586.052385587992</c:v>
                </c:pt>
                <c:pt idx="43">
                  <c:v>3508.249995008211</c:v>
                </c:pt>
                <c:pt idx="44">
                  <c:v>3430.44760442843</c:v>
                </c:pt>
                <c:pt idx="45">
                  <c:v>3352.64521384865</c:v>
                </c:pt>
                <c:pt idx="46">
                  <c:v>3274.842823268868</c:v>
                </c:pt>
                <c:pt idx="47">
                  <c:v>3197.040432689088</c:v>
                </c:pt>
                <c:pt idx="48">
                  <c:v>3119.238042109307</c:v>
                </c:pt>
                <c:pt idx="49">
                  <c:v>3041.435651529526</c:v>
                </c:pt>
                <c:pt idx="50">
                  <c:v>2963.633260949745</c:v>
                </c:pt>
                <c:pt idx="51">
                  <c:v>2885.830870369964</c:v>
                </c:pt>
                <c:pt idx="52">
                  <c:v>2808.028479790184</c:v>
                </c:pt>
                <c:pt idx="53">
                  <c:v>2730.226089210403</c:v>
                </c:pt>
                <c:pt idx="54">
                  <c:v>2652.423698630622</c:v>
                </c:pt>
                <c:pt idx="55">
                  <c:v>2574.621308050841</c:v>
                </c:pt>
                <c:pt idx="56">
                  <c:v>2496.81891747106</c:v>
                </c:pt>
                <c:pt idx="57">
                  <c:v>4191.81501071505</c:v>
                </c:pt>
                <c:pt idx="58">
                  <c:v>6477.743931900299</c:v>
                </c:pt>
                <c:pt idx="59">
                  <c:v>8763.672853085547</c:v>
                </c:pt>
                <c:pt idx="60">
                  <c:v>11049.6017742708</c:v>
                </c:pt>
                <c:pt idx="61">
                  <c:v>13335.53069545604</c:v>
                </c:pt>
                <c:pt idx="62">
                  <c:v>15621.45961664129</c:v>
                </c:pt>
                <c:pt idx="63">
                  <c:v>17907.38853782654</c:v>
                </c:pt>
                <c:pt idx="64">
                  <c:v>20193.31745901179</c:v>
                </c:pt>
                <c:pt idx="65">
                  <c:v>22479.24638019703</c:v>
                </c:pt>
                <c:pt idx="66">
                  <c:v>24765.17530138228</c:v>
                </c:pt>
                <c:pt idx="67">
                  <c:v>27051.10422256753</c:v>
                </c:pt>
                <c:pt idx="68">
                  <c:v>29337.03314375277</c:v>
                </c:pt>
                <c:pt idx="69">
                  <c:v>31622.96206493802</c:v>
                </c:pt>
                <c:pt idx="70">
                  <c:v>33908.89098612328</c:v>
                </c:pt>
                <c:pt idx="71">
                  <c:v>36194.81990730851</c:v>
                </c:pt>
                <c:pt idx="72">
                  <c:v>38480.74882849376</c:v>
                </c:pt>
                <c:pt idx="73">
                  <c:v>40766.67774967902</c:v>
                </c:pt>
                <c:pt idx="74">
                  <c:v>43052.60667086426</c:v>
                </c:pt>
                <c:pt idx="75">
                  <c:v>45338.53559204951</c:v>
                </c:pt>
                <c:pt idx="76">
                  <c:v>47624.46451323475</c:v>
                </c:pt>
                <c:pt idx="77">
                  <c:v>49910.39343442001</c:v>
                </c:pt>
                <c:pt idx="78">
                  <c:v>52196.32235560525</c:v>
                </c:pt>
                <c:pt idx="79">
                  <c:v>54482.2512767905</c:v>
                </c:pt>
                <c:pt idx="80">
                  <c:v>56768.18019797575</c:v>
                </c:pt>
                <c:pt idx="81">
                  <c:v>59054.109119161</c:v>
                </c:pt>
                <c:pt idx="82">
                  <c:v>56313.05849670968</c:v>
                </c:pt>
                <c:pt idx="83">
                  <c:v>51896.3480263795</c:v>
                </c:pt>
                <c:pt idx="84">
                  <c:v>47479.63755604934</c:v>
                </c:pt>
                <c:pt idx="85">
                  <c:v>43062.92708571917</c:v>
                </c:pt>
                <c:pt idx="86">
                  <c:v>38646.216615389</c:v>
                </c:pt>
                <c:pt idx="87">
                  <c:v>34229.50614505882</c:v>
                </c:pt>
                <c:pt idx="88">
                  <c:v>29812.79567472865</c:v>
                </c:pt>
                <c:pt idx="89">
                  <c:v>25396.08520439849</c:v>
                </c:pt>
                <c:pt idx="90">
                  <c:v>20979.37473406831</c:v>
                </c:pt>
                <c:pt idx="91">
                  <c:v>16562.66426373814</c:v>
                </c:pt>
                <c:pt idx="92">
                  <c:v>12145.95379340797</c:v>
                </c:pt>
                <c:pt idx="93">
                  <c:v>7729.243323077796</c:v>
                </c:pt>
                <c:pt idx="94">
                  <c:v>3312.53285274763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Percentiles!$A$66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Percentiles!$F$66:$DA$66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846.2896432571558</c:v>
                </c:pt>
                <c:pt idx="58">
                  <c:v>1974.675834266697</c:v>
                </c:pt>
                <c:pt idx="59">
                  <c:v>3103.062025276238</c:v>
                </c:pt>
                <c:pt idx="60">
                  <c:v>4231.44821628578</c:v>
                </c:pt>
                <c:pt idx="61">
                  <c:v>5359.83440729532</c:v>
                </c:pt>
                <c:pt idx="62">
                  <c:v>6488.220598304862</c:v>
                </c:pt>
                <c:pt idx="63">
                  <c:v>7616.606789314403</c:v>
                </c:pt>
                <c:pt idx="64">
                  <c:v>8744.992980323943</c:v>
                </c:pt>
                <c:pt idx="65">
                  <c:v>9873.379171333485</c:v>
                </c:pt>
                <c:pt idx="66">
                  <c:v>11001.76536234303</c:v>
                </c:pt>
                <c:pt idx="67">
                  <c:v>12130.15155335257</c:v>
                </c:pt>
                <c:pt idx="68">
                  <c:v>13258.53774436211</c:v>
                </c:pt>
                <c:pt idx="69">
                  <c:v>14386.92393537165</c:v>
                </c:pt>
                <c:pt idx="70">
                  <c:v>15515.31012638119</c:v>
                </c:pt>
                <c:pt idx="71">
                  <c:v>16643.69631739073</c:v>
                </c:pt>
                <c:pt idx="72">
                  <c:v>17772.08250840027</c:v>
                </c:pt>
                <c:pt idx="73">
                  <c:v>18900.46869940981</c:v>
                </c:pt>
                <c:pt idx="74">
                  <c:v>20028.85489041936</c:v>
                </c:pt>
                <c:pt idx="75">
                  <c:v>21157.2410814289</c:v>
                </c:pt>
                <c:pt idx="76">
                  <c:v>22285.62727243844</c:v>
                </c:pt>
                <c:pt idx="77">
                  <c:v>23414.01346344798</c:v>
                </c:pt>
                <c:pt idx="78">
                  <c:v>24542.39965445752</c:v>
                </c:pt>
                <c:pt idx="79">
                  <c:v>25670.78584546706</c:v>
                </c:pt>
                <c:pt idx="80">
                  <c:v>26799.1720364766</c:v>
                </c:pt>
                <c:pt idx="81">
                  <c:v>27927.55822748614</c:v>
                </c:pt>
                <c:pt idx="82">
                  <c:v>35220.71052593852</c:v>
                </c:pt>
                <c:pt idx="83">
                  <c:v>44568.78486020517</c:v>
                </c:pt>
                <c:pt idx="84">
                  <c:v>53916.85919447182</c:v>
                </c:pt>
                <c:pt idx="85">
                  <c:v>63264.93352873849</c:v>
                </c:pt>
                <c:pt idx="86">
                  <c:v>72613.00786300514</c:v>
                </c:pt>
                <c:pt idx="87">
                  <c:v>81961.0821972718</c:v>
                </c:pt>
                <c:pt idx="88">
                  <c:v>91309.15653153845</c:v>
                </c:pt>
                <c:pt idx="89">
                  <c:v>100657.2308658051</c:v>
                </c:pt>
                <c:pt idx="90">
                  <c:v>110005.3052000718</c:v>
                </c:pt>
                <c:pt idx="91">
                  <c:v>119353.3795343384</c:v>
                </c:pt>
                <c:pt idx="92">
                  <c:v>128701.4538686051</c:v>
                </c:pt>
                <c:pt idx="93">
                  <c:v>138049.5282028717</c:v>
                </c:pt>
                <c:pt idx="94">
                  <c:v>147397.6025371384</c:v>
                </c:pt>
                <c:pt idx="95">
                  <c:v>155076.5832878384</c:v>
                </c:pt>
                <c:pt idx="96">
                  <c:v>157748.2832878384</c:v>
                </c:pt>
                <c:pt idx="97">
                  <c:v>160419.9832878384</c:v>
                </c:pt>
                <c:pt idx="98">
                  <c:v>163091.6832878384</c:v>
                </c:pt>
                <c:pt idx="99">
                  <c:v>165763.3832878384</c:v>
                </c:pt>
              </c:numCache>
            </c:numRef>
          </c:val>
        </c:ser>
        <c:ser>
          <c:idx val="8"/>
          <c:order val="8"/>
          <c:tx>
            <c:strRef>
              <c:f>Percentiles!$A$67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Percentiles!$F$67:$DA$67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207.3825</c:v>
                </c:pt>
                <c:pt idx="96">
                  <c:v>1036.9125</c:v>
                </c:pt>
                <c:pt idx="97">
                  <c:v>1866.4425</c:v>
                </c:pt>
                <c:pt idx="98">
                  <c:v>2695.9725</c:v>
                </c:pt>
                <c:pt idx="99">
                  <c:v>3525.5025</c:v>
                </c:pt>
              </c:numCache>
            </c:numRef>
          </c:val>
        </c:ser>
        <c:ser>
          <c:idx val="9"/>
          <c:order val="9"/>
          <c:tx>
            <c:strRef>
              <c:f>Percentiles!$A$68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Percentiles!$F$68:$DA$68</c:f>
              <c:numCache>
                <c:formatCode>0</c:formatCode>
                <c:ptCount val="100"/>
                <c:pt idx="0">
                  <c:v>1575.015620551702</c:v>
                </c:pt>
                <c:pt idx="1">
                  <c:v>1575.015620551702</c:v>
                </c:pt>
                <c:pt idx="2">
                  <c:v>1575.015620551702</c:v>
                </c:pt>
                <c:pt idx="3">
                  <c:v>1575.015620551702</c:v>
                </c:pt>
                <c:pt idx="4">
                  <c:v>1575.015620551702</c:v>
                </c:pt>
                <c:pt idx="5">
                  <c:v>1575.015620551702</c:v>
                </c:pt>
                <c:pt idx="6">
                  <c:v>1575.015620551702</c:v>
                </c:pt>
                <c:pt idx="7">
                  <c:v>1575.015620551702</c:v>
                </c:pt>
                <c:pt idx="8">
                  <c:v>1575.015620551702</c:v>
                </c:pt>
                <c:pt idx="9">
                  <c:v>1575.015620551702</c:v>
                </c:pt>
                <c:pt idx="10">
                  <c:v>1575.015620551702</c:v>
                </c:pt>
                <c:pt idx="11">
                  <c:v>1575.015620551702</c:v>
                </c:pt>
                <c:pt idx="12">
                  <c:v>1575.015620551702</c:v>
                </c:pt>
                <c:pt idx="13">
                  <c:v>1575.015620551702</c:v>
                </c:pt>
                <c:pt idx="14">
                  <c:v>1575.015620551702</c:v>
                </c:pt>
                <c:pt idx="15">
                  <c:v>1575.015620551702</c:v>
                </c:pt>
                <c:pt idx="16">
                  <c:v>1575.015620551702</c:v>
                </c:pt>
                <c:pt idx="17">
                  <c:v>1575.015620551702</c:v>
                </c:pt>
                <c:pt idx="18">
                  <c:v>1575.015620551702</c:v>
                </c:pt>
                <c:pt idx="19">
                  <c:v>1575.015620551702</c:v>
                </c:pt>
                <c:pt idx="20">
                  <c:v>1572.093930616318</c:v>
                </c:pt>
                <c:pt idx="21">
                  <c:v>1560.407170874781</c:v>
                </c:pt>
                <c:pt idx="22">
                  <c:v>1548.720411133245</c:v>
                </c:pt>
                <c:pt idx="23">
                  <c:v>1537.033651391708</c:v>
                </c:pt>
                <c:pt idx="24">
                  <c:v>1525.346891650171</c:v>
                </c:pt>
                <c:pt idx="25">
                  <c:v>1513.660131908635</c:v>
                </c:pt>
                <c:pt idx="26">
                  <c:v>1501.973372167098</c:v>
                </c:pt>
                <c:pt idx="27">
                  <c:v>1490.286612425562</c:v>
                </c:pt>
                <c:pt idx="28">
                  <c:v>1478.599852684025</c:v>
                </c:pt>
                <c:pt idx="29">
                  <c:v>1466.913092942488</c:v>
                </c:pt>
                <c:pt idx="30">
                  <c:v>1455.226333200952</c:v>
                </c:pt>
                <c:pt idx="31">
                  <c:v>1443.539573459415</c:v>
                </c:pt>
                <c:pt idx="32">
                  <c:v>1431.852813717878</c:v>
                </c:pt>
                <c:pt idx="33">
                  <c:v>1420.166053976342</c:v>
                </c:pt>
                <c:pt idx="34">
                  <c:v>1408.479294234805</c:v>
                </c:pt>
                <c:pt idx="35">
                  <c:v>1396.792534493269</c:v>
                </c:pt>
                <c:pt idx="36">
                  <c:v>1385.105774751732</c:v>
                </c:pt>
                <c:pt idx="37">
                  <c:v>1373.419015010196</c:v>
                </c:pt>
                <c:pt idx="38">
                  <c:v>1361.732255268659</c:v>
                </c:pt>
                <c:pt idx="39">
                  <c:v>1350.045495527122</c:v>
                </c:pt>
                <c:pt idx="40">
                  <c:v>1338.358735785586</c:v>
                </c:pt>
                <c:pt idx="41">
                  <c:v>1326.671976044049</c:v>
                </c:pt>
                <c:pt idx="42">
                  <c:v>1314.985216302513</c:v>
                </c:pt>
                <c:pt idx="43">
                  <c:v>1303.298456560976</c:v>
                </c:pt>
                <c:pt idx="44">
                  <c:v>1291.611696819439</c:v>
                </c:pt>
                <c:pt idx="45">
                  <c:v>1279.924937077903</c:v>
                </c:pt>
                <c:pt idx="46">
                  <c:v>1268.238177336366</c:v>
                </c:pt>
                <c:pt idx="47">
                  <c:v>1256.55141759483</c:v>
                </c:pt>
                <c:pt idx="48">
                  <c:v>1244.864657853293</c:v>
                </c:pt>
                <c:pt idx="49">
                  <c:v>1233.177898111756</c:v>
                </c:pt>
                <c:pt idx="50">
                  <c:v>1221.49113837022</c:v>
                </c:pt>
                <c:pt idx="51">
                  <c:v>1209.804378628683</c:v>
                </c:pt>
                <c:pt idx="52">
                  <c:v>1198.117618887147</c:v>
                </c:pt>
                <c:pt idx="53">
                  <c:v>1186.43085914561</c:v>
                </c:pt>
                <c:pt idx="54">
                  <c:v>1174.744099404073</c:v>
                </c:pt>
                <c:pt idx="55">
                  <c:v>1163.057339662537</c:v>
                </c:pt>
                <c:pt idx="56">
                  <c:v>1151.370579921</c:v>
                </c:pt>
                <c:pt idx="57">
                  <c:v>1113.995423286048</c:v>
                </c:pt>
                <c:pt idx="58">
                  <c:v>1068.057467686623</c:v>
                </c:pt>
                <c:pt idx="59">
                  <c:v>1022.119512087198</c:v>
                </c:pt>
                <c:pt idx="60">
                  <c:v>976.1815564877736</c:v>
                </c:pt>
                <c:pt idx="61">
                  <c:v>930.243600888349</c:v>
                </c:pt>
                <c:pt idx="62">
                  <c:v>884.3056452889243</c:v>
                </c:pt>
                <c:pt idx="63">
                  <c:v>838.3676896894997</c:v>
                </c:pt>
                <c:pt idx="64">
                  <c:v>792.429734090075</c:v>
                </c:pt>
                <c:pt idx="65">
                  <c:v>746.4917784906504</c:v>
                </c:pt>
                <c:pt idx="66">
                  <c:v>700.5538228912258</c:v>
                </c:pt>
                <c:pt idx="67">
                  <c:v>654.6158672918011</c:v>
                </c:pt>
                <c:pt idx="68">
                  <c:v>608.6779116923764</c:v>
                </c:pt>
                <c:pt idx="69">
                  <c:v>562.7399560929518</c:v>
                </c:pt>
                <c:pt idx="70">
                  <c:v>516.8020004935272</c:v>
                </c:pt>
                <c:pt idx="71">
                  <c:v>470.8640448941025</c:v>
                </c:pt>
                <c:pt idx="72">
                  <c:v>424.9260892946779</c:v>
                </c:pt>
                <c:pt idx="73">
                  <c:v>378.9881336952533</c:v>
                </c:pt>
                <c:pt idx="74">
                  <c:v>333.0501780958286</c:v>
                </c:pt>
                <c:pt idx="75">
                  <c:v>287.112222496404</c:v>
                </c:pt>
                <c:pt idx="76">
                  <c:v>241.1742668969794</c:v>
                </c:pt>
                <c:pt idx="77">
                  <c:v>195.2363112975547</c:v>
                </c:pt>
                <c:pt idx="78">
                  <c:v>149.2983556981301</c:v>
                </c:pt>
                <c:pt idx="79">
                  <c:v>103.3604000987054</c:v>
                </c:pt>
                <c:pt idx="80">
                  <c:v>57.4224444992808</c:v>
                </c:pt>
                <c:pt idx="81">
                  <c:v>11.48448889985616</c:v>
                </c:pt>
                <c:pt idx="82">
                  <c:v>3386.771572949703</c:v>
                </c:pt>
                <c:pt idx="83">
                  <c:v>7902.467003549307</c:v>
                </c:pt>
                <c:pt idx="84">
                  <c:v>12418.16243414891</c:v>
                </c:pt>
                <c:pt idx="85">
                  <c:v>16933.85786474852</c:v>
                </c:pt>
                <c:pt idx="86">
                  <c:v>21449.55329534812</c:v>
                </c:pt>
                <c:pt idx="87">
                  <c:v>25965.24872594772</c:v>
                </c:pt>
                <c:pt idx="88">
                  <c:v>30480.94415654733</c:v>
                </c:pt>
                <c:pt idx="89">
                  <c:v>34996.63958714692</c:v>
                </c:pt>
                <c:pt idx="90">
                  <c:v>39512.33501774653</c:v>
                </c:pt>
                <c:pt idx="91">
                  <c:v>44028.03044834613</c:v>
                </c:pt>
                <c:pt idx="92">
                  <c:v>48543.72587894574</c:v>
                </c:pt>
                <c:pt idx="93">
                  <c:v>53059.42130954535</c:v>
                </c:pt>
                <c:pt idx="94">
                  <c:v>57575.11674014495</c:v>
                </c:pt>
                <c:pt idx="95">
                  <c:v>62512.76331309466</c:v>
                </c:pt>
                <c:pt idx="96">
                  <c:v>68716.26331309465</c:v>
                </c:pt>
                <c:pt idx="97">
                  <c:v>74919.76331309465</c:v>
                </c:pt>
                <c:pt idx="98">
                  <c:v>81123.26331309465</c:v>
                </c:pt>
                <c:pt idx="99">
                  <c:v>87326.76331309465</c:v>
                </c:pt>
              </c:numCache>
            </c:numRef>
          </c:val>
        </c:ser>
        <c:ser>
          <c:idx val="10"/>
          <c:order val="10"/>
          <c:tx>
            <c:strRef>
              <c:f>Percentiles!$A$69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Percentiles!$F$69:$DA$69</c:f>
              <c:numCache>
                <c:formatCode>0</c:formatCode>
                <c:ptCount val="100"/>
                <c:pt idx="0">
                  <c:v>2542.666846672839</c:v>
                </c:pt>
                <c:pt idx="1">
                  <c:v>2542.666846672839</c:v>
                </c:pt>
                <c:pt idx="2">
                  <c:v>2542.666846672839</c:v>
                </c:pt>
                <c:pt idx="3">
                  <c:v>2542.666846672839</c:v>
                </c:pt>
                <c:pt idx="4">
                  <c:v>2542.666846672839</c:v>
                </c:pt>
                <c:pt idx="5">
                  <c:v>2542.666846672839</c:v>
                </c:pt>
                <c:pt idx="6">
                  <c:v>2542.666846672839</c:v>
                </c:pt>
                <c:pt idx="7">
                  <c:v>2542.666846672839</c:v>
                </c:pt>
                <c:pt idx="8">
                  <c:v>2542.666846672839</c:v>
                </c:pt>
                <c:pt idx="9">
                  <c:v>2542.666846672839</c:v>
                </c:pt>
                <c:pt idx="10">
                  <c:v>2542.666846672839</c:v>
                </c:pt>
                <c:pt idx="11">
                  <c:v>2542.666846672839</c:v>
                </c:pt>
                <c:pt idx="12">
                  <c:v>2542.666846672839</c:v>
                </c:pt>
                <c:pt idx="13">
                  <c:v>2542.666846672839</c:v>
                </c:pt>
                <c:pt idx="14">
                  <c:v>2542.666846672839</c:v>
                </c:pt>
                <c:pt idx="15">
                  <c:v>2542.666846672839</c:v>
                </c:pt>
                <c:pt idx="16">
                  <c:v>2542.666846672839</c:v>
                </c:pt>
                <c:pt idx="17">
                  <c:v>2542.666846672839</c:v>
                </c:pt>
                <c:pt idx="18">
                  <c:v>2542.666846672839</c:v>
                </c:pt>
                <c:pt idx="19">
                  <c:v>2542.666846672839</c:v>
                </c:pt>
                <c:pt idx="20">
                  <c:v>2543.009121234062</c:v>
                </c:pt>
                <c:pt idx="21">
                  <c:v>2544.378219478955</c:v>
                </c:pt>
                <c:pt idx="22">
                  <c:v>2545.747317723848</c:v>
                </c:pt>
                <c:pt idx="23">
                  <c:v>2547.116415968741</c:v>
                </c:pt>
                <c:pt idx="24">
                  <c:v>2548.485514213633</c:v>
                </c:pt>
                <c:pt idx="25">
                  <c:v>2549.854612458526</c:v>
                </c:pt>
                <c:pt idx="26">
                  <c:v>2551.223710703419</c:v>
                </c:pt>
                <c:pt idx="27">
                  <c:v>2552.592808948312</c:v>
                </c:pt>
                <c:pt idx="28">
                  <c:v>2553.961907193205</c:v>
                </c:pt>
                <c:pt idx="29">
                  <c:v>2555.331005438097</c:v>
                </c:pt>
                <c:pt idx="30">
                  <c:v>2556.70010368299</c:v>
                </c:pt>
                <c:pt idx="31">
                  <c:v>2558.069201927883</c:v>
                </c:pt>
                <c:pt idx="32">
                  <c:v>2559.438300172776</c:v>
                </c:pt>
                <c:pt idx="33">
                  <c:v>2560.807398417669</c:v>
                </c:pt>
                <c:pt idx="34">
                  <c:v>2562.176496662561</c:v>
                </c:pt>
                <c:pt idx="35">
                  <c:v>2563.545594907454</c:v>
                </c:pt>
                <c:pt idx="36">
                  <c:v>2564.914693152347</c:v>
                </c:pt>
                <c:pt idx="37">
                  <c:v>2566.28379139724</c:v>
                </c:pt>
                <c:pt idx="38">
                  <c:v>2567.652889642133</c:v>
                </c:pt>
                <c:pt idx="39">
                  <c:v>2569.021987887026</c:v>
                </c:pt>
                <c:pt idx="40">
                  <c:v>2570.391086131918</c:v>
                </c:pt>
                <c:pt idx="41">
                  <c:v>2571.760184376811</c:v>
                </c:pt>
                <c:pt idx="42">
                  <c:v>2573.129282621704</c:v>
                </c:pt>
                <c:pt idx="43">
                  <c:v>2574.498380866597</c:v>
                </c:pt>
                <c:pt idx="44">
                  <c:v>2575.86747911149</c:v>
                </c:pt>
                <c:pt idx="45">
                  <c:v>2577.236577356382</c:v>
                </c:pt>
                <c:pt idx="46">
                  <c:v>2578.605675601275</c:v>
                </c:pt>
                <c:pt idx="47">
                  <c:v>2579.974773846168</c:v>
                </c:pt>
                <c:pt idx="48">
                  <c:v>2581.343872091061</c:v>
                </c:pt>
                <c:pt idx="49">
                  <c:v>2582.712970335954</c:v>
                </c:pt>
                <c:pt idx="50">
                  <c:v>2584.082068580847</c:v>
                </c:pt>
                <c:pt idx="51">
                  <c:v>2585.45116682574</c:v>
                </c:pt>
                <c:pt idx="52">
                  <c:v>2586.820265070632</c:v>
                </c:pt>
                <c:pt idx="53">
                  <c:v>2588.189363315525</c:v>
                </c:pt>
                <c:pt idx="54">
                  <c:v>2589.558461560418</c:v>
                </c:pt>
                <c:pt idx="55">
                  <c:v>2590.927559805311</c:v>
                </c:pt>
                <c:pt idx="56">
                  <c:v>2592.296658050203</c:v>
                </c:pt>
                <c:pt idx="57">
                  <c:v>2584.081850181907</c:v>
                </c:pt>
                <c:pt idx="58">
                  <c:v>2572.672406942548</c:v>
                </c:pt>
                <c:pt idx="59">
                  <c:v>2561.262963703189</c:v>
                </c:pt>
                <c:pt idx="60">
                  <c:v>2549.85352046383</c:v>
                </c:pt>
                <c:pt idx="61">
                  <c:v>2538.44407722447</c:v>
                </c:pt>
                <c:pt idx="62">
                  <c:v>2527.03463398511</c:v>
                </c:pt>
                <c:pt idx="63">
                  <c:v>2515.625190745751</c:v>
                </c:pt>
                <c:pt idx="64">
                  <c:v>2504.215747506392</c:v>
                </c:pt>
                <c:pt idx="65">
                  <c:v>2492.806304267032</c:v>
                </c:pt>
                <c:pt idx="66">
                  <c:v>2481.396861027673</c:v>
                </c:pt>
                <c:pt idx="67">
                  <c:v>2469.987417788313</c:v>
                </c:pt>
                <c:pt idx="68">
                  <c:v>2458.577974548954</c:v>
                </c:pt>
                <c:pt idx="69">
                  <c:v>2447.168531309595</c:v>
                </c:pt>
                <c:pt idx="70">
                  <c:v>2435.759088070236</c:v>
                </c:pt>
                <c:pt idx="71">
                  <c:v>2424.349644830876</c:v>
                </c:pt>
                <c:pt idx="72">
                  <c:v>2412.940201591517</c:v>
                </c:pt>
                <c:pt idx="73">
                  <c:v>2401.530758352157</c:v>
                </c:pt>
                <c:pt idx="74">
                  <c:v>2390.121315112798</c:v>
                </c:pt>
                <c:pt idx="75">
                  <c:v>2378.711871873438</c:v>
                </c:pt>
                <c:pt idx="76">
                  <c:v>2367.30242863408</c:v>
                </c:pt>
                <c:pt idx="77">
                  <c:v>2355.89298539472</c:v>
                </c:pt>
                <c:pt idx="78">
                  <c:v>2344.48354215536</c:v>
                </c:pt>
                <c:pt idx="79">
                  <c:v>2333.074098916001</c:v>
                </c:pt>
                <c:pt idx="80">
                  <c:v>2321.664655676642</c:v>
                </c:pt>
                <c:pt idx="81">
                  <c:v>2310.255212437282</c:v>
                </c:pt>
                <c:pt idx="82">
                  <c:v>2201.65581447483</c:v>
                </c:pt>
                <c:pt idx="83">
                  <c:v>2060.659764938013</c:v>
                </c:pt>
                <c:pt idx="84">
                  <c:v>1919.663715401196</c:v>
                </c:pt>
                <c:pt idx="85">
                  <c:v>1778.667665864379</c:v>
                </c:pt>
                <c:pt idx="86">
                  <c:v>1637.671616327562</c:v>
                </c:pt>
                <c:pt idx="87">
                  <c:v>1496.675566790745</c:v>
                </c:pt>
                <c:pt idx="88">
                  <c:v>1355.679517253928</c:v>
                </c:pt>
                <c:pt idx="89">
                  <c:v>1214.68346771711</c:v>
                </c:pt>
                <c:pt idx="90">
                  <c:v>1073.687418180293</c:v>
                </c:pt>
                <c:pt idx="91">
                  <c:v>932.6913686434763</c:v>
                </c:pt>
                <c:pt idx="92">
                  <c:v>791.6953191066595</c:v>
                </c:pt>
                <c:pt idx="93">
                  <c:v>650.6992695698424</c:v>
                </c:pt>
                <c:pt idx="94">
                  <c:v>509.7032200330254</c:v>
                </c:pt>
                <c:pt idx="95">
                  <c:v>407.6386828804129</c:v>
                </c:pt>
                <c:pt idx="96">
                  <c:v>422.368682880413</c:v>
                </c:pt>
                <c:pt idx="97">
                  <c:v>437.0986828804129</c:v>
                </c:pt>
                <c:pt idx="98">
                  <c:v>451.8286828804129</c:v>
                </c:pt>
                <c:pt idx="99">
                  <c:v>466.558682880413</c:v>
                </c:pt>
              </c:numCache>
            </c:numRef>
          </c:val>
        </c:ser>
        <c:ser>
          <c:idx val="11"/>
          <c:order val="11"/>
          <c:tx>
            <c:strRef>
              <c:f>Percentiles!$A$70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Percentiles!$F$70:$DA$70</c:f>
              <c:numCache>
                <c:formatCode>0</c:formatCode>
                <c:ptCount val="100"/>
                <c:pt idx="0">
                  <c:v>23585.85891776174</c:v>
                </c:pt>
                <c:pt idx="1">
                  <c:v>23585.85891776174</c:v>
                </c:pt>
                <c:pt idx="2">
                  <c:v>23585.85891776174</c:v>
                </c:pt>
                <c:pt idx="3">
                  <c:v>23585.85891776174</c:v>
                </c:pt>
                <c:pt idx="4">
                  <c:v>23585.85891776174</c:v>
                </c:pt>
                <c:pt idx="5">
                  <c:v>23585.85891776174</c:v>
                </c:pt>
                <c:pt idx="6">
                  <c:v>23585.85891776174</c:v>
                </c:pt>
                <c:pt idx="7">
                  <c:v>23585.85891776174</c:v>
                </c:pt>
                <c:pt idx="8">
                  <c:v>23585.85891776174</c:v>
                </c:pt>
                <c:pt idx="9">
                  <c:v>23585.85891776174</c:v>
                </c:pt>
                <c:pt idx="10">
                  <c:v>23585.85891776174</c:v>
                </c:pt>
                <c:pt idx="11">
                  <c:v>23585.85891776174</c:v>
                </c:pt>
                <c:pt idx="12">
                  <c:v>23585.85891776174</c:v>
                </c:pt>
                <c:pt idx="13">
                  <c:v>23585.85891776174</c:v>
                </c:pt>
                <c:pt idx="14">
                  <c:v>23585.85891776174</c:v>
                </c:pt>
                <c:pt idx="15">
                  <c:v>23585.85891776174</c:v>
                </c:pt>
                <c:pt idx="16">
                  <c:v>23585.85891776174</c:v>
                </c:pt>
                <c:pt idx="17">
                  <c:v>23585.85891776174</c:v>
                </c:pt>
                <c:pt idx="18">
                  <c:v>23585.85891776174</c:v>
                </c:pt>
                <c:pt idx="19">
                  <c:v>23585.85891776174</c:v>
                </c:pt>
                <c:pt idx="20">
                  <c:v>23638.49990430907</c:v>
                </c:pt>
                <c:pt idx="21">
                  <c:v>23849.06385049841</c:v>
                </c:pt>
                <c:pt idx="22">
                  <c:v>24059.62779668775</c:v>
                </c:pt>
                <c:pt idx="23">
                  <c:v>24270.19174287709</c:v>
                </c:pt>
                <c:pt idx="24">
                  <c:v>24480.75568906643</c:v>
                </c:pt>
                <c:pt idx="25">
                  <c:v>24691.31963525577</c:v>
                </c:pt>
                <c:pt idx="26">
                  <c:v>24901.8835814451</c:v>
                </c:pt>
                <c:pt idx="27">
                  <c:v>25112.44752763445</c:v>
                </c:pt>
                <c:pt idx="28">
                  <c:v>25323.01147382378</c:v>
                </c:pt>
                <c:pt idx="29">
                  <c:v>25533.57542001312</c:v>
                </c:pt>
                <c:pt idx="30">
                  <c:v>25744.13936620246</c:v>
                </c:pt>
                <c:pt idx="31">
                  <c:v>25954.7033123918</c:v>
                </c:pt>
                <c:pt idx="32">
                  <c:v>26165.26725858114</c:v>
                </c:pt>
                <c:pt idx="33">
                  <c:v>26375.83120477048</c:v>
                </c:pt>
                <c:pt idx="34">
                  <c:v>26586.39515095982</c:v>
                </c:pt>
                <c:pt idx="35">
                  <c:v>26796.95909714916</c:v>
                </c:pt>
                <c:pt idx="36">
                  <c:v>27007.5230433385</c:v>
                </c:pt>
                <c:pt idx="37">
                  <c:v>27218.08698952784</c:v>
                </c:pt>
                <c:pt idx="38">
                  <c:v>27428.65093571717</c:v>
                </c:pt>
                <c:pt idx="39">
                  <c:v>27639.21488190652</c:v>
                </c:pt>
                <c:pt idx="40">
                  <c:v>27849.77882809586</c:v>
                </c:pt>
                <c:pt idx="41">
                  <c:v>28060.34277428519</c:v>
                </c:pt>
                <c:pt idx="42">
                  <c:v>28270.90672047453</c:v>
                </c:pt>
                <c:pt idx="43">
                  <c:v>28481.47066666387</c:v>
                </c:pt>
                <c:pt idx="44">
                  <c:v>28692.03461285321</c:v>
                </c:pt>
                <c:pt idx="45">
                  <c:v>28902.59855904255</c:v>
                </c:pt>
                <c:pt idx="46">
                  <c:v>29113.16250523189</c:v>
                </c:pt>
                <c:pt idx="47">
                  <c:v>29323.72645142123</c:v>
                </c:pt>
                <c:pt idx="48">
                  <c:v>29534.29039761057</c:v>
                </c:pt>
                <c:pt idx="49">
                  <c:v>29744.85434379991</c:v>
                </c:pt>
                <c:pt idx="50">
                  <c:v>29955.41828998925</c:v>
                </c:pt>
                <c:pt idx="51">
                  <c:v>30165.98223617858</c:v>
                </c:pt>
                <c:pt idx="52">
                  <c:v>30376.54618236793</c:v>
                </c:pt>
                <c:pt idx="53">
                  <c:v>30587.11012855727</c:v>
                </c:pt>
                <c:pt idx="54">
                  <c:v>30797.6740747466</c:v>
                </c:pt>
                <c:pt idx="55">
                  <c:v>31008.23802093594</c:v>
                </c:pt>
                <c:pt idx="56">
                  <c:v>31218.80196712528</c:v>
                </c:pt>
                <c:pt idx="57">
                  <c:v>30613.59619496276</c:v>
                </c:pt>
                <c:pt idx="58">
                  <c:v>29736.46718334963</c:v>
                </c:pt>
                <c:pt idx="59">
                  <c:v>28859.3381717365</c:v>
                </c:pt>
                <c:pt idx="60">
                  <c:v>27982.20916012336</c:v>
                </c:pt>
                <c:pt idx="61">
                  <c:v>27105.08014851022</c:v>
                </c:pt>
                <c:pt idx="62">
                  <c:v>26227.95113689708</c:v>
                </c:pt>
                <c:pt idx="63">
                  <c:v>25350.82212528395</c:v>
                </c:pt>
                <c:pt idx="64">
                  <c:v>24473.69311367081</c:v>
                </c:pt>
                <c:pt idx="65">
                  <c:v>23596.56410205767</c:v>
                </c:pt>
                <c:pt idx="66">
                  <c:v>22719.43509044454</c:v>
                </c:pt>
                <c:pt idx="67">
                  <c:v>21842.3060788314</c:v>
                </c:pt>
                <c:pt idx="68">
                  <c:v>20965.17706721826</c:v>
                </c:pt>
                <c:pt idx="69">
                  <c:v>20088.04805560513</c:v>
                </c:pt>
                <c:pt idx="70">
                  <c:v>19210.91904399199</c:v>
                </c:pt>
                <c:pt idx="71">
                  <c:v>18333.79003237886</c:v>
                </c:pt>
                <c:pt idx="72">
                  <c:v>17456.66102076572</c:v>
                </c:pt>
                <c:pt idx="73">
                  <c:v>16579.53200915258</c:v>
                </c:pt>
                <c:pt idx="74">
                  <c:v>15702.40299753945</c:v>
                </c:pt>
                <c:pt idx="75">
                  <c:v>14825.27398592631</c:v>
                </c:pt>
                <c:pt idx="76">
                  <c:v>13948.14497431317</c:v>
                </c:pt>
                <c:pt idx="77">
                  <c:v>13071.01596270004</c:v>
                </c:pt>
                <c:pt idx="78">
                  <c:v>12193.8869510869</c:v>
                </c:pt>
                <c:pt idx="79">
                  <c:v>11316.75793947376</c:v>
                </c:pt>
                <c:pt idx="80">
                  <c:v>10439.62892786063</c:v>
                </c:pt>
                <c:pt idx="81">
                  <c:v>9562.499916247489</c:v>
                </c:pt>
                <c:pt idx="82">
                  <c:v>9449.941025745738</c:v>
                </c:pt>
                <c:pt idx="83">
                  <c:v>9592.238842281118</c:v>
                </c:pt>
                <c:pt idx="84">
                  <c:v>9734.536658816496</c:v>
                </c:pt>
                <c:pt idx="85">
                  <c:v>9876.834475351874</c:v>
                </c:pt>
                <c:pt idx="86">
                  <c:v>10019.13229188725</c:v>
                </c:pt>
                <c:pt idx="87">
                  <c:v>10161.43010842263</c:v>
                </c:pt>
                <c:pt idx="88">
                  <c:v>10303.72792495801</c:v>
                </c:pt>
                <c:pt idx="89">
                  <c:v>10446.02574149339</c:v>
                </c:pt>
                <c:pt idx="90">
                  <c:v>10588.32355802877</c:v>
                </c:pt>
                <c:pt idx="91">
                  <c:v>10730.62137456415</c:v>
                </c:pt>
                <c:pt idx="92">
                  <c:v>10872.91919109952</c:v>
                </c:pt>
                <c:pt idx="93">
                  <c:v>11015.2170076349</c:v>
                </c:pt>
                <c:pt idx="94">
                  <c:v>11157.51482417028</c:v>
                </c:pt>
                <c:pt idx="95">
                  <c:v>10982.28068657181</c:v>
                </c:pt>
                <c:pt idx="96">
                  <c:v>9854.450686571814</c:v>
                </c:pt>
                <c:pt idx="97">
                  <c:v>8726.620686571814</c:v>
                </c:pt>
                <c:pt idx="98">
                  <c:v>7598.790686571814</c:v>
                </c:pt>
                <c:pt idx="99">
                  <c:v>6470.960686571814</c:v>
                </c:pt>
              </c:numCache>
            </c:numRef>
          </c:val>
        </c:ser>
        <c:ser>
          <c:idx val="14"/>
          <c:order val="12"/>
          <c:tx>
            <c:strRef>
              <c:f>Percentiles!$A$71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Percentiles!$F$71:$DA$71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2.38791965872743</c:v>
                </c:pt>
                <c:pt idx="21">
                  <c:v>11.93959829363715</c:v>
                </c:pt>
                <c:pt idx="22">
                  <c:v>21.49127692854687</c:v>
                </c:pt>
                <c:pt idx="23">
                  <c:v>31.0429555634566</c:v>
                </c:pt>
                <c:pt idx="24">
                  <c:v>40.59463419836631</c:v>
                </c:pt>
                <c:pt idx="25">
                  <c:v>50.14631283327602</c:v>
                </c:pt>
                <c:pt idx="26">
                  <c:v>59.69799146818574</c:v>
                </c:pt>
                <c:pt idx="27">
                  <c:v>69.24967010309547</c:v>
                </c:pt>
                <c:pt idx="28">
                  <c:v>78.80134873800519</c:v>
                </c:pt>
                <c:pt idx="29">
                  <c:v>88.35302737291491</c:v>
                </c:pt>
                <c:pt idx="30">
                  <c:v>97.90470600782463</c:v>
                </c:pt>
                <c:pt idx="31">
                  <c:v>107.4563846427343</c:v>
                </c:pt>
                <c:pt idx="32">
                  <c:v>117.0080632776441</c:v>
                </c:pt>
                <c:pt idx="33">
                  <c:v>126.5597419125538</c:v>
                </c:pt>
                <c:pt idx="34">
                  <c:v>136.1114205474635</c:v>
                </c:pt>
                <c:pt idx="35">
                  <c:v>145.6630991823732</c:v>
                </c:pt>
                <c:pt idx="36">
                  <c:v>155.214777817283</c:v>
                </c:pt>
                <c:pt idx="37">
                  <c:v>164.7664564521927</c:v>
                </c:pt>
                <c:pt idx="38">
                  <c:v>174.3181350871024</c:v>
                </c:pt>
                <c:pt idx="39">
                  <c:v>183.8698137220121</c:v>
                </c:pt>
                <c:pt idx="40">
                  <c:v>193.4214923569218</c:v>
                </c:pt>
                <c:pt idx="41">
                  <c:v>202.9731709918316</c:v>
                </c:pt>
                <c:pt idx="42">
                  <c:v>212.5248496267413</c:v>
                </c:pt>
                <c:pt idx="43">
                  <c:v>222.076528261651</c:v>
                </c:pt>
                <c:pt idx="44">
                  <c:v>231.6282068965607</c:v>
                </c:pt>
                <c:pt idx="45">
                  <c:v>241.1798855314704</c:v>
                </c:pt>
                <c:pt idx="46">
                  <c:v>250.7315641663802</c:v>
                </c:pt>
                <c:pt idx="47">
                  <c:v>260.2832428012899</c:v>
                </c:pt>
                <c:pt idx="48">
                  <c:v>269.8349214361996</c:v>
                </c:pt>
                <c:pt idx="49">
                  <c:v>279.3866000711093</c:v>
                </c:pt>
                <c:pt idx="50">
                  <c:v>288.938278706019</c:v>
                </c:pt>
                <c:pt idx="51">
                  <c:v>298.4899573409288</c:v>
                </c:pt>
                <c:pt idx="52">
                  <c:v>308.0416359758385</c:v>
                </c:pt>
                <c:pt idx="53">
                  <c:v>317.5933146107482</c:v>
                </c:pt>
                <c:pt idx="54">
                  <c:v>327.144993245658</c:v>
                </c:pt>
                <c:pt idx="55">
                  <c:v>336.6966718805676</c:v>
                </c:pt>
                <c:pt idx="56">
                  <c:v>346.2483505154773</c:v>
                </c:pt>
                <c:pt idx="57">
                  <c:v>525.9134189829539</c:v>
                </c:pt>
                <c:pt idx="58">
                  <c:v>762.2829507279527</c:v>
                </c:pt>
                <c:pt idx="59">
                  <c:v>998.6524824729515</c:v>
                </c:pt>
                <c:pt idx="60">
                  <c:v>1235.02201421795</c:v>
                </c:pt>
                <c:pt idx="61">
                  <c:v>1471.39154596295</c:v>
                </c:pt>
                <c:pt idx="62">
                  <c:v>1707.761077707948</c:v>
                </c:pt>
                <c:pt idx="63">
                  <c:v>1944.130609452947</c:v>
                </c:pt>
                <c:pt idx="64">
                  <c:v>2180.500141197946</c:v>
                </c:pt>
                <c:pt idx="65">
                  <c:v>2416.869672942944</c:v>
                </c:pt>
                <c:pt idx="66">
                  <c:v>2653.239204687943</c:v>
                </c:pt>
                <c:pt idx="67">
                  <c:v>2889.608736432941</c:v>
                </c:pt>
                <c:pt idx="68">
                  <c:v>3125.978268177941</c:v>
                </c:pt>
                <c:pt idx="69">
                  <c:v>3362.34779992294</c:v>
                </c:pt>
                <c:pt idx="70">
                  <c:v>3598.717331667938</c:v>
                </c:pt>
                <c:pt idx="71">
                  <c:v>3835.086863412937</c:v>
                </c:pt>
                <c:pt idx="72">
                  <c:v>4071.456395157936</c:v>
                </c:pt>
                <c:pt idx="73">
                  <c:v>4307.825926902934</c:v>
                </c:pt>
                <c:pt idx="74">
                  <c:v>4544.195458647933</c:v>
                </c:pt>
                <c:pt idx="75">
                  <c:v>4780.564990392932</c:v>
                </c:pt>
                <c:pt idx="76">
                  <c:v>5016.934522137931</c:v>
                </c:pt>
                <c:pt idx="77">
                  <c:v>5253.30405388293</c:v>
                </c:pt>
                <c:pt idx="78">
                  <c:v>5489.673585627928</c:v>
                </c:pt>
                <c:pt idx="79">
                  <c:v>5726.043117372928</c:v>
                </c:pt>
                <c:pt idx="80">
                  <c:v>5962.412649117925</c:v>
                </c:pt>
                <c:pt idx="81">
                  <c:v>6198.782180862925</c:v>
                </c:pt>
                <c:pt idx="82">
                  <c:v>7185.234752097278</c:v>
                </c:pt>
                <c:pt idx="83">
                  <c:v>8421.715003161416</c:v>
                </c:pt>
                <c:pt idx="84">
                  <c:v>9658.195254225555</c:v>
                </c:pt>
                <c:pt idx="85">
                  <c:v>10894.6755052897</c:v>
                </c:pt>
                <c:pt idx="86">
                  <c:v>12131.15575635383</c:v>
                </c:pt>
                <c:pt idx="87">
                  <c:v>13367.63600741797</c:v>
                </c:pt>
                <c:pt idx="88">
                  <c:v>14604.11625848211</c:v>
                </c:pt>
                <c:pt idx="89">
                  <c:v>15840.59650954625</c:v>
                </c:pt>
                <c:pt idx="90">
                  <c:v>17077.07676061039</c:v>
                </c:pt>
                <c:pt idx="91">
                  <c:v>18313.55701167453</c:v>
                </c:pt>
                <c:pt idx="92">
                  <c:v>19550.03726273866</c:v>
                </c:pt>
                <c:pt idx="93">
                  <c:v>20786.5175138028</c:v>
                </c:pt>
                <c:pt idx="94">
                  <c:v>22022.99776486694</c:v>
                </c:pt>
                <c:pt idx="95">
                  <c:v>23024.44045316505</c:v>
                </c:pt>
                <c:pt idx="96">
                  <c:v>23320.77045316505</c:v>
                </c:pt>
                <c:pt idx="97">
                  <c:v>23617.10045316505</c:v>
                </c:pt>
                <c:pt idx="98">
                  <c:v>23913.43045316505</c:v>
                </c:pt>
                <c:pt idx="99">
                  <c:v>24209.76045316505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4738728"/>
        <c:axId val="-2084732872"/>
      </c:areaChart>
      <c:lineChart>
        <c:grouping val="standard"/>
        <c:varyColors val="0"/>
        <c:ser>
          <c:idx val="12"/>
          <c:order val="13"/>
          <c:tx>
            <c:strRef>
              <c:f>Percentiles!$A$39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val>
            <c:numRef>
              <c:f>Percentiles!$F$39:$DA$39</c:f>
              <c:numCache>
                <c:formatCode>0</c:formatCode>
                <c:ptCount val="100"/>
                <c:pt idx="0">
                  <c:v>31035.99249196373</c:v>
                </c:pt>
                <c:pt idx="1">
                  <c:v>31035.99249196373</c:v>
                </c:pt>
                <c:pt idx="2">
                  <c:v>31035.99249196373</c:v>
                </c:pt>
                <c:pt idx="3">
                  <c:v>31035.99249196373</c:v>
                </c:pt>
                <c:pt idx="4">
                  <c:v>31035.99249196373</c:v>
                </c:pt>
                <c:pt idx="5">
                  <c:v>31035.99249196373</c:v>
                </c:pt>
                <c:pt idx="6">
                  <c:v>31035.99249196373</c:v>
                </c:pt>
                <c:pt idx="7">
                  <c:v>31035.99249196373</c:v>
                </c:pt>
                <c:pt idx="8">
                  <c:v>31035.99249196373</c:v>
                </c:pt>
                <c:pt idx="9">
                  <c:v>31035.99249196373</c:v>
                </c:pt>
                <c:pt idx="10">
                  <c:v>31035.99249196373</c:v>
                </c:pt>
                <c:pt idx="11">
                  <c:v>31035.99249196373</c:v>
                </c:pt>
                <c:pt idx="12">
                  <c:v>31035.99249196373</c:v>
                </c:pt>
                <c:pt idx="13">
                  <c:v>31035.99249196373</c:v>
                </c:pt>
                <c:pt idx="14">
                  <c:v>31035.99249196373</c:v>
                </c:pt>
                <c:pt idx="15">
                  <c:v>31035.99249196373</c:v>
                </c:pt>
                <c:pt idx="16">
                  <c:v>31035.99249196373</c:v>
                </c:pt>
                <c:pt idx="17">
                  <c:v>31035.99249196373</c:v>
                </c:pt>
                <c:pt idx="18">
                  <c:v>31035.99249196373</c:v>
                </c:pt>
                <c:pt idx="19">
                  <c:v>31035.99249196373</c:v>
                </c:pt>
                <c:pt idx="20">
                  <c:v>31035.99249196373</c:v>
                </c:pt>
                <c:pt idx="21">
                  <c:v>31035.99249196373</c:v>
                </c:pt>
                <c:pt idx="22">
                  <c:v>31035.99249196373</c:v>
                </c:pt>
                <c:pt idx="23">
                  <c:v>31035.99249196373</c:v>
                </c:pt>
                <c:pt idx="24">
                  <c:v>31035.99249196373</c:v>
                </c:pt>
                <c:pt idx="25">
                  <c:v>31035.99249196373</c:v>
                </c:pt>
                <c:pt idx="26">
                  <c:v>31035.99249196373</c:v>
                </c:pt>
                <c:pt idx="27">
                  <c:v>31035.99249196373</c:v>
                </c:pt>
                <c:pt idx="28">
                  <c:v>31035.99249196373</c:v>
                </c:pt>
                <c:pt idx="29">
                  <c:v>31035.99249196373</c:v>
                </c:pt>
                <c:pt idx="30">
                  <c:v>31035.99249196373</c:v>
                </c:pt>
                <c:pt idx="31">
                  <c:v>31035.99249196373</c:v>
                </c:pt>
                <c:pt idx="32">
                  <c:v>31035.99249196373</c:v>
                </c:pt>
                <c:pt idx="33">
                  <c:v>31035.99249196373</c:v>
                </c:pt>
                <c:pt idx="34">
                  <c:v>31035.99249196373</c:v>
                </c:pt>
                <c:pt idx="35">
                  <c:v>31035.99249196373</c:v>
                </c:pt>
                <c:pt idx="36">
                  <c:v>31035.99249196373</c:v>
                </c:pt>
                <c:pt idx="37">
                  <c:v>31035.99249196373</c:v>
                </c:pt>
                <c:pt idx="38">
                  <c:v>31035.99249196373</c:v>
                </c:pt>
                <c:pt idx="39">
                  <c:v>31035.99249196373</c:v>
                </c:pt>
                <c:pt idx="40">
                  <c:v>31035.99249196373</c:v>
                </c:pt>
                <c:pt idx="41">
                  <c:v>31035.99249196373</c:v>
                </c:pt>
                <c:pt idx="42">
                  <c:v>31035.99249196373</c:v>
                </c:pt>
                <c:pt idx="43">
                  <c:v>31035.99249196373</c:v>
                </c:pt>
                <c:pt idx="44">
                  <c:v>31035.99249196373</c:v>
                </c:pt>
                <c:pt idx="45">
                  <c:v>31035.99249196373</c:v>
                </c:pt>
                <c:pt idx="46">
                  <c:v>31035.99249196373</c:v>
                </c:pt>
                <c:pt idx="47">
                  <c:v>31035.99249196373</c:v>
                </c:pt>
                <c:pt idx="48">
                  <c:v>31035.99249196373</c:v>
                </c:pt>
                <c:pt idx="49">
                  <c:v>31035.99249196373</c:v>
                </c:pt>
                <c:pt idx="50">
                  <c:v>31035.99249196373</c:v>
                </c:pt>
                <c:pt idx="51">
                  <c:v>31035.99249196373</c:v>
                </c:pt>
                <c:pt idx="52">
                  <c:v>31035.99249196373</c:v>
                </c:pt>
                <c:pt idx="53">
                  <c:v>31035.99249196373</c:v>
                </c:pt>
                <c:pt idx="54">
                  <c:v>31035.99249196373</c:v>
                </c:pt>
                <c:pt idx="55">
                  <c:v>31035.99249196373</c:v>
                </c:pt>
                <c:pt idx="56">
                  <c:v>31035.99249196373</c:v>
                </c:pt>
                <c:pt idx="57">
                  <c:v>31035.99249196373</c:v>
                </c:pt>
                <c:pt idx="58">
                  <c:v>31035.99249196373</c:v>
                </c:pt>
                <c:pt idx="59">
                  <c:v>31035.99249196373</c:v>
                </c:pt>
                <c:pt idx="60">
                  <c:v>31035.99249196373</c:v>
                </c:pt>
                <c:pt idx="61">
                  <c:v>31035.99249196373</c:v>
                </c:pt>
                <c:pt idx="62">
                  <c:v>31035.99249196373</c:v>
                </c:pt>
                <c:pt idx="63">
                  <c:v>31035.99249196373</c:v>
                </c:pt>
                <c:pt idx="64">
                  <c:v>31035.99249196373</c:v>
                </c:pt>
                <c:pt idx="65">
                  <c:v>31035.99249196373</c:v>
                </c:pt>
                <c:pt idx="66">
                  <c:v>31035.99249196373</c:v>
                </c:pt>
                <c:pt idx="67">
                  <c:v>31035.99249196373</c:v>
                </c:pt>
                <c:pt idx="68">
                  <c:v>31035.99249196373</c:v>
                </c:pt>
                <c:pt idx="69">
                  <c:v>31035.99249196373</c:v>
                </c:pt>
                <c:pt idx="70">
                  <c:v>31035.99249196373</c:v>
                </c:pt>
                <c:pt idx="71">
                  <c:v>31035.99249196373</c:v>
                </c:pt>
                <c:pt idx="72">
                  <c:v>31035.99249196373</c:v>
                </c:pt>
                <c:pt idx="73">
                  <c:v>31035.99249196376</c:v>
                </c:pt>
                <c:pt idx="74">
                  <c:v>31035.99249196376</c:v>
                </c:pt>
                <c:pt idx="75">
                  <c:v>31035.99249196376</c:v>
                </c:pt>
                <c:pt idx="76">
                  <c:v>31035.99249196376</c:v>
                </c:pt>
                <c:pt idx="77">
                  <c:v>31035.99249196376</c:v>
                </c:pt>
                <c:pt idx="78">
                  <c:v>31035.99249196376</c:v>
                </c:pt>
                <c:pt idx="79">
                  <c:v>31035.99249196376</c:v>
                </c:pt>
                <c:pt idx="80">
                  <c:v>31035.99249196376</c:v>
                </c:pt>
                <c:pt idx="81">
                  <c:v>31035.99249196376</c:v>
                </c:pt>
                <c:pt idx="82">
                  <c:v>31035.99249196376</c:v>
                </c:pt>
                <c:pt idx="83">
                  <c:v>31035.99249196376</c:v>
                </c:pt>
                <c:pt idx="84">
                  <c:v>31035.99249196376</c:v>
                </c:pt>
                <c:pt idx="85">
                  <c:v>31035.99249196376</c:v>
                </c:pt>
                <c:pt idx="86">
                  <c:v>31035.99249196376</c:v>
                </c:pt>
                <c:pt idx="87">
                  <c:v>31035.99249196376</c:v>
                </c:pt>
                <c:pt idx="88">
                  <c:v>31035.99249196376</c:v>
                </c:pt>
                <c:pt idx="89">
                  <c:v>31035.22776537979</c:v>
                </c:pt>
                <c:pt idx="90">
                  <c:v>31035.22776537979</c:v>
                </c:pt>
                <c:pt idx="91">
                  <c:v>31035.22776537979</c:v>
                </c:pt>
                <c:pt idx="92">
                  <c:v>31035.22776537979</c:v>
                </c:pt>
                <c:pt idx="93">
                  <c:v>31035.22776537979</c:v>
                </c:pt>
                <c:pt idx="94">
                  <c:v>31035.22776537979</c:v>
                </c:pt>
                <c:pt idx="95">
                  <c:v>31035.22776537979</c:v>
                </c:pt>
                <c:pt idx="96">
                  <c:v>31035.22776537979</c:v>
                </c:pt>
                <c:pt idx="97">
                  <c:v>31035.22776537979</c:v>
                </c:pt>
                <c:pt idx="98">
                  <c:v>31035.22776537979</c:v>
                </c:pt>
                <c:pt idx="99">
                  <c:v>31035.22776537979</c:v>
                </c:pt>
              </c:numCache>
            </c:numRef>
          </c:val>
          <c:smooth val="0"/>
        </c:ser>
        <c:ser>
          <c:idx val="13"/>
          <c:order val="14"/>
          <c:tx>
            <c:strRef>
              <c:f>Percentiles!$A$72</c:f>
              <c:strCache>
                <c:ptCount val="1"/>
                <c:pt idx="0">
                  <c:v>TOTAL</c:v>
                </c:pt>
              </c:strCache>
            </c:strRef>
          </c:tx>
          <c:spPr>
            <a:ln w="25400">
              <a:solidFill>
                <a:srgbClr val="003366"/>
              </a:solidFill>
              <a:prstDash val="solid"/>
            </a:ln>
          </c:spPr>
          <c:marker>
            <c:symbol val="none"/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poly"/>
            <c:order val="6"/>
            <c:dispRSqr val="0"/>
            <c:dispEq val="0"/>
          </c:trendline>
          <c:val>
            <c:numRef>
              <c:f>Percentiles!$F$72:$DA$72</c:f>
              <c:numCache>
                <c:formatCode>0</c:formatCode>
                <c:ptCount val="100"/>
                <c:pt idx="0">
                  <c:v>45050.93541454259</c:v>
                </c:pt>
                <c:pt idx="1">
                  <c:v>44710.67541454259</c:v>
                </c:pt>
                <c:pt idx="2">
                  <c:v>44370.41541454258</c:v>
                </c:pt>
                <c:pt idx="3">
                  <c:v>44030.1554145426</c:v>
                </c:pt>
                <c:pt idx="4">
                  <c:v>43689.89541454258</c:v>
                </c:pt>
                <c:pt idx="5">
                  <c:v>43349.63541454259</c:v>
                </c:pt>
                <c:pt idx="6">
                  <c:v>43009.3754145426</c:v>
                </c:pt>
                <c:pt idx="7">
                  <c:v>42669.11541454258</c:v>
                </c:pt>
                <c:pt idx="8">
                  <c:v>42328.85541454258</c:v>
                </c:pt>
                <c:pt idx="9">
                  <c:v>41988.59541454259</c:v>
                </c:pt>
                <c:pt idx="10">
                  <c:v>41648.33541454258</c:v>
                </c:pt>
                <c:pt idx="11">
                  <c:v>41308.07541454259</c:v>
                </c:pt>
                <c:pt idx="12">
                  <c:v>40967.81541454257</c:v>
                </c:pt>
                <c:pt idx="13">
                  <c:v>40627.55541454258</c:v>
                </c:pt>
                <c:pt idx="14">
                  <c:v>40287.29541454259</c:v>
                </c:pt>
                <c:pt idx="15">
                  <c:v>39947.03541454259</c:v>
                </c:pt>
                <c:pt idx="16">
                  <c:v>39606.77541454259</c:v>
                </c:pt>
                <c:pt idx="17">
                  <c:v>39266.51541454258</c:v>
                </c:pt>
                <c:pt idx="18">
                  <c:v>38926.25541454259</c:v>
                </c:pt>
                <c:pt idx="19">
                  <c:v>38585.99541454259</c:v>
                </c:pt>
                <c:pt idx="20">
                  <c:v>38437.71903192226</c:v>
                </c:pt>
                <c:pt idx="21">
                  <c:v>38865.39350144092</c:v>
                </c:pt>
                <c:pt idx="22">
                  <c:v>39293.06797095959</c:v>
                </c:pt>
                <c:pt idx="23">
                  <c:v>39720.74244047826</c:v>
                </c:pt>
                <c:pt idx="24">
                  <c:v>40148.41690999692</c:v>
                </c:pt>
                <c:pt idx="25">
                  <c:v>40576.09137951561</c:v>
                </c:pt>
                <c:pt idx="26">
                  <c:v>41003.76584903427</c:v>
                </c:pt>
                <c:pt idx="27">
                  <c:v>41431.44031855294</c:v>
                </c:pt>
                <c:pt idx="28">
                  <c:v>41859.11478807162</c:v>
                </c:pt>
                <c:pt idx="29">
                  <c:v>42286.78925759028</c:v>
                </c:pt>
                <c:pt idx="30">
                  <c:v>42714.46372710895</c:v>
                </c:pt>
                <c:pt idx="31">
                  <c:v>43142.13819662762</c:v>
                </c:pt>
                <c:pt idx="32">
                  <c:v>43569.8126661463</c:v>
                </c:pt>
                <c:pt idx="33">
                  <c:v>43997.48713566497</c:v>
                </c:pt>
                <c:pt idx="34">
                  <c:v>44425.16160518363</c:v>
                </c:pt>
                <c:pt idx="35">
                  <c:v>44852.83607470231</c:v>
                </c:pt>
                <c:pt idx="36">
                  <c:v>45280.51054422096</c:v>
                </c:pt>
                <c:pt idx="37">
                  <c:v>45708.18501373964</c:v>
                </c:pt>
                <c:pt idx="38">
                  <c:v>46135.85948325831</c:v>
                </c:pt>
                <c:pt idx="39">
                  <c:v>46563.53395277698</c:v>
                </c:pt>
                <c:pt idx="40">
                  <c:v>46991.20842229565</c:v>
                </c:pt>
                <c:pt idx="41">
                  <c:v>47418.88289181432</c:v>
                </c:pt>
                <c:pt idx="42">
                  <c:v>47846.557361333</c:v>
                </c:pt>
                <c:pt idx="43">
                  <c:v>48274.23183085166</c:v>
                </c:pt>
                <c:pt idx="44">
                  <c:v>48701.90630037033</c:v>
                </c:pt>
                <c:pt idx="45">
                  <c:v>49129.58076988901</c:v>
                </c:pt>
                <c:pt idx="46">
                  <c:v>49557.25523940767</c:v>
                </c:pt>
                <c:pt idx="47">
                  <c:v>49984.92970892635</c:v>
                </c:pt>
                <c:pt idx="48">
                  <c:v>50412.60417844501</c:v>
                </c:pt>
                <c:pt idx="49">
                  <c:v>50840.27864796368</c:v>
                </c:pt>
                <c:pt idx="50">
                  <c:v>51267.95311748235</c:v>
                </c:pt>
                <c:pt idx="51">
                  <c:v>51695.62758700102</c:v>
                </c:pt>
                <c:pt idx="52">
                  <c:v>52123.30205651969</c:v>
                </c:pt>
                <c:pt idx="53">
                  <c:v>52550.97652603836</c:v>
                </c:pt>
                <c:pt idx="54">
                  <c:v>52978.65099555704</c:v>
                </c:pt>
                <c:pt idx="55">
                  <c:v>53406.32546507571</c:v>
                </c:pt>
                <c:pt idx="56">
                  <c:v>53833.99993459437</c:v>
                </c:pt>
                <c:pt idx="57">
                  <c:v>56621.52192350181</c:v>
                </c:pt>
                <c:pt idx="58">
                  <c:v>60195.65975220551</c:v>
                </c:pt>
                <c:pt idx="59">
                  <c:v>63769.79758090919</c:v>
                </c:pt>
                <c:pt idx="60">
                  <c:v>67343.9354096129</c:v>
                </c:pt>
                <c:pt idx="61">
                  <c:v>70918.0732383166</c:v>
                </c:pt>
                <c:pt idx="62">
                  <c:v>74492.21106702028</c:v>
                </c:pt>
                <c:pt idx="63">
                  <c:v>78066.34889572398</c:v>
                </c:pt>
                <c:pt idx="64">
                  <c:v>81640.48672442767</c:v>
                </c:pt>
                <c:pt idx="65">
                  <c:v>85214.62455313136</c:v>
                </c:pt>
                <c:pt idx="66">
                  <c:v>88788.76238183505</c:v>
                </c:pt>
                <c:pt idx="67">
                  <c:v>92362.90021053876</c:v>
                </c:pt>
                <c:pt idx="68">
                  <c:v>95937.03803924244</c:v>
                </c:pt>
                <c:pt idx="69">
                  <c:v>99511.17586794613</c:v>
                </c:pt>
                <c:pt idx="70">
                  <c:v>103085.3136966498</c:v>
                </c:pt>
                <c:pt idx="71">
                  <c:v>106659.4515253535</c:v>
                </c:pt>
                <c:pt idx="72">
                  <c:v>110233.5893540572</c:v>
                </c:pt>
                <c:pt idx="73">
                  <c:v>113807.7271827609</c:v>
                </c:pt>
                <c:pt idx="74">
                  <c:v>117381.8650114646</c:v>
                </c:pt>
                <c:pt idx="75">
                  <c:v>120956.0028401683</c:v>
                </c:pt>
                <c:pt idx="76">
                  <c:v>124530.140668872</c:v>
                </c:pt>
                <c:pt idx="77">
                  <c:v>128104.2784975757</c:v>
                </c:pt>
                <c:pt idx="78">
                  <c:v>131678.4163262794</c:v>
                </c:pt>
                <c:pt idx="79">
                  <c:v>135252.5541549831</c:v>
                </c:pt>
                <c:pt idx="80">
                  <c:v>138826.6919836868</c:v>
                </c:pt>
                <c:pt idx="81">
                  <c:v>142400.8298123905</c:v>
                </c:pt>
                <c:pt idx="82">
                  <c:v>152414.0076189843</c:v>
                </c:pt>
                <c:pt idx="83">
                  <c:v>164573.5320848747</c:v>
                </c:pt>
                <c:pt idx="84">
                  <c:v>176733.0565507652</c:v>
                </c:pt>
                <c:pt idx="85">
                  <c:v>188892.5810166557</c:v>
                </c:pt>
                <c:pt idx="86">
                  <c:v>201052.1054825462</c:v>
                </c:pt>
                <c:pt idx="87">
                  <c:v>213211.6299484367</c:v>
                </c:pt>
                <c:pt idx="88">
                  <c:v>225371.1544143271</c:v>
                </c:pt>
                <c:pt idx="89">
                  <c:v>237530.6788802176</c:v>
                </c:pt>
                <c:pt idx="90">
                  <c:v>249690.2033461081</c:v>
                </c:pt>
                <c:pt idx="91">
                  <c:v>261849.7278119986</c:v>
                </c:pt>
                <c:pt idx="92">
                  <c:v>274009.2522778891</c:v>
                </c:pt>
                <c:pt idx="93">
                  <c:v>286168.7767437795</c:v>
                </c:pt>
                <c:pt idx="94">
                  <c:v>298328.30120967</c:v>
                </c:pt>
                <c:pt idx="95">
                  <c:v>309892.8948090879</c:v>
                </c:pt>
                <c:pt idx="96">
                  <c:v>319672.6958090879</c:v>
                </c:pt>
                <c:pt idx="97">
                  <c:v>329452.4968090879</c:v>
                </c:pt>
                <c:pt idx="98">
                  <c:v>339232.2978090879</c:v>
                </c:pt>
                <c:pt idx="99">
                  <c:v>349012.0988090879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4738728"/>
        <c:axId val="-2084732872"/>
      </c:lineChart>
      <c:catAx>
        <c:axId val="-2084738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Percentile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84732872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-208473287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Annual Total Income (ZAR)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84738728"/>
        <c:crossesAt val="1.0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754190384023226"/>
          <c:y val="0.042042042042042"/>
          <c:w val="0.233240333435974"/>
          <c:h val="0.92792863729871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1" Type="http://schemas.openxmlformats.org/officeDocument/2006/relationships/chart" Target="../charts/chart16.xml"/><Relationship Id="rId2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4" Type="http://schemas.openxmlformats.org/officeDocument/2006/relationships/chart" Target="../charts/chart23.xml"/><Relationship Id="rId1" Type="http://schemas.openxmlformats.org/officeDocument/2006/relationships/chart" Target="../charts/chart20.xml"/><Relationship Id="rId2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548258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705557</xdr:colOff>
      <xdr:row>3</xdr:row>
      <xdr:rowOff>12700</xdr:rowOff>
    </xdr:from>
    <xdr:to>
      <xdr:col>16</xdr:col>
      <xdr:colOff>310445</xdr:colOff>
      <xdr:row>33</xdr:row>
      <xdr:rowOff>98778</xdr:rowOff>
    </xdr:to>
    <xdr:graphicFrame macro="">
      <xdr:nvGraphicFramePr>
        <xdr:cNvPr id="1548258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169333</xdr:colOff>
      <xdr:row>3</xdr:row>
      <xdr:rowOff>0</xdr:rowOff>
    </xdr:from>
    <xdr:to>
      <xdr:col>21</xdr:col>
      <xdr:colOff>550333</xdr:colOff>
      <xdr:row>33</xdr:row>
      <xdr:rowOff>12700</xdr:rowOff>
    </xdr:to>
    <xdr:graphicFrame macro="">
      <xdr:nvGraphicFramePr>
        <xdr:cNvPr id="1548258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548258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546100</xdr:colOff>
      <xdr:row>33</xdr:row>
      <xdr:rowOff>165100</xdr:rowOff>
    </xdr:from>
    <xdr:to>
      <xdr:col>10</xdr:col>
      <xdr:colOff>546100</xdr:colOff>
      <xdr:row>50</xdr:row>
      <xdr:rowOff>152400</xdr:rowOff>
    </xdr:to>
    <xdr:graphicFrame macro="">
      <xdr:nvGraphicFramePr>
        <xdr:cNvPr id="1548258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495300</xdr:colOff>
      <xdr:row>33</xdr:row>
      <xdr:rowOff>114300</xdr:rowOff>
    </xdr:from>
    <xdr:to>
      <xdr:col>5</xdr:col>
      <xdr:colOff>101600</xdr:colOff>
      <xdr:row>50</xdr:row>
      <xdr:rowOff>101600</xdr:rowOff>
    </xdr:to>
    <xdr:graphicFrame macro="">
      <xdr:nvGraphicFramePr>
        <xdr:cNvPr id="1548258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38100</xdr:colOff>
      <xdr:row>34</xdr:row>
      <xdr:rowOff>12700</xdr:rowOff>
    </xdr:from>
    <xdr:to>
      <xdr:col>16</xdr:col>
      <xdr:colOff>25400</xdr:colOff>
      <xdr:row>51</xdr:row>
      <xdr:rowOff>0</xdr:rowOff>
    </xdr:to>
    <xdr:graphicFrame macro="">
      <xdr:nvGraphicFramePr>
        <xdr:cNvPr id="1548259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88900</xdr:colOff>
      <xdr:row>34</xdr:row>
      <xdr:rowOff>25400</xdr:rowOff>
    </xdr:from>
    <xdr:to>
      <xdr:col>21</xdr:col>
      <xdr:colOff>76200</xdr:colOff>
      <xdr:row>51</xdr:row>
      <xdr:rowOff>25400</xdr:rowOff>
    </xdr:to>
    <xdr:graphicFrame macro="">
      <xdr:nvGraphicFramePr>
        <xdr:cNvPr id="1548259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634546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190500</xdr:colOff>
      <xdr:row>3</xdr:row>
      <xdr:rowOff>12700</xdr:rowOff>
    </xdr:from>
    <xdr:to>
      <xdr:col>16</xdr:col>
      <xdr:colOff>228600</xdr:colOff>
      <xdr:row>35</xdr:row>
      <xdr:rowOff>165100</xdr:rowOff>
    </xdr:to>
    <xdr:graphicFrame macro="">
      <xdr:nvGraphicFramePr>
        <xdr:cNvPr id="1634547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</xdr:row>
      <xdr:rowOff>0</xdr:rowOff>
    </xdr:from>
    <xdr:to>
      <xdr:col>21</xdr:col>
      <xdr:colOff>381000</xdr:colOff>
      <xdr:row>33</xdr:row>
      <xdr:rowOff>12700</xdr:rowOff>
    </xdr:to>
    <xdr:graphicFrame macro="">
      <xdr:nvGraphicFramePr>
        <xdr:cNvPr id="1634547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634547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520700</xdr:colOff>
      <xdr:row>55</xdr:row>
      <xdr:rowOff>165100</xdr:rowOff>
    </xdr:from>
    <xdr:to>
      <xdr:col>19</xdr:col>
      <xdr:colOff>127000</xdr:colOff>
      <xdr:row>80</xdr:row>
      <xdr:rowOff>88900</xdr:rowOff>
    </xdr:to>
    <xdr:graphicFrame macro="">
      <xdr:nvGraphicFramePr>
        <xdr:cNvPr id="1634547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596900</xdr:colOff>
      <xdr:row>81</xdr:row>
      <xdr:rowOff>12700</xdr:rowOff>
    </xdr:from>
    <xdr:to>
      <xdr:col>17</xdr:col>
      <xdr:colOff>635000</xdr:colOff>
      <xdr:row>104</xdr:row>
      <xdr:rowOff>0</xdr:rowOff>
    </xdr:to>
    <xdr:graphicFrame macro="">
      <xdr:nvGraphicFramePr>
        <xdr:cNvPr id="1634547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139700</xdr:colOff>
      <xdr:row>109</xdr:row>
      <xdr:rowOff>63500</xdr:rowOff>
    </xdr:from>
    <xdr:to>
      <xdr:col>16</xdr:col>
      <xdr:colOff>177800</xdr:colOff>
      <xdr:row>129</xdr:row>
      <xdr:rowOff>101600</xdr:rowOff>
    </xdr:to>
    <xdr:graphicFrame macro="">
      <xdr:nvGraphicFramePr>
        <xdr:cNvPr id="1634547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549860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381000</xdr:colOff>
      <xdr:row>3</xdr:row>
      <xdr:rowOff>12700</xdr:rowOff>
    </xdr:from>
    <xdr:to>
      <xdr:col>16</xdr:col>
      <xdr:colOff>12700</xdr:colOff>
      <xdr:row>33</xdr:row>
      <xdr:rowOff>12700</xdr:rowOff>
    </xdr:to>
    <xdr:graphicFrame macro="">
      <xdr:nvGraphicFramePr>
        <xdr:cNvPr id="1549860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</xdr:row>
      <xdr:rowOff>0</xdr:rowOff>
    </xdr:from>
    <xdr:to>
      <xdr:col>21</xdr:col>
      <xdr:colOff>381000</xdr:colOff>
      <xdr:row>33</xdr:row>
      <xdr:rowOff>12700</xdr:rowOff>
    </xdr:to>
    <xdr:graphicFrame macro="">
      <xdr:nvGraphicFramePr>
        <xdr:cNvPr id="1549860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549860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165100</xdr:colOff>
      <xdr:row>72</xdr:row>
      <xdr:rowOff>114300</xdr:rowOff>
    </xdr:from>
    <xdr:to>
      <xdr:col>15</xdr:col>
      <xdr:colOff>63500</xdr:colOff>
      <xdr:row>103</xdr:row>
      <xdr:rowOff>38100</xdr:rowOff>
    </xdr:to>
    <xdr:graphicFrame macro="">
      <xdr:nvGraphicFramePr>
        <xdr:cNvPr id="1550372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571500</xdr:colOff>
      <xdr:row>72</xdr:row>
      <xdr:rowOff>127000</xdr:rowOff>
    </xdr:from>
    <xdr:to>
      <xdr:col>29</xdr:col>
      <xdr:colOff>419100</xdr:colOff>
      <xdr:row>103</xdr:row>
      <xdr:rowOff>63500</xdr:rowOff>
    </xdr:to>
    <xdr:graphicFrame macro="">
      <xdr:nvGraphicFramePr>
        <xdr:cNvPr id="1550372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63500</xdr:colOff>
      <xdr:row>104</xdr:row>
      <xdr:rowOff>38100</xdr:rowOff>
    </xdr:from>
    <xdr:to>
      <xdr:col>18</xdr:col>
      <xdr:colOff>228600</xdr:colOff>
      <xdr:row>132</xdr:row>
      <xdr:rowOff>76200</xdr:rowOff>
    </xdr:to>
    <xdr:graphicFrame macro="">
      <xdr:nvGraphicFramePr>
        <xdr:cNvPr id="1550372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25400</xdr:colOff>
      <xdr:row>73</xdr:row>
      <xdr:rowOff>12700</xdr:rowOff>
    </xdr:from>
    <xdr:to>
      <xdr:col>43</xdr:col>
      <xdr:colOff>533400</xdr:colOff>
      <xdr:row>103</xdr:row>
      <xdr:rowOff>50800</xdr:rowOff>
    </xdr:to>
    <xdr:graphicFrame macro="">
      <xdr:nvGraphicFramePr>
        <xdr:cNvPr id="1550372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68" activePane="bottomRight" state="frozen"/>
      <selection pane="topRight" activeCell="B1" sqref="B1"/>
      <selection pane="bottomLeft" activeCell="A3" sqref="A3"/>
      <selection pane="bottomRight" activeCell="B73" sqref="B73"/>
    </sheetView>
  </sheetViews>
  <sheetFormatPr baseColWidth="10" defaultColWidth="8" defaultRowHeight="15" x14ac:dyDescent="0"/>
  <cols>
    <col min="1" max="1" width="21.71093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ZA1XX, 59100</v>
      </c>
      <c r="B1" s="244" t="str">
        <f>Poor!B1</f>
        <v xml:space="preserve">Open access Livestock husbandry </v>
      </c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257" t="str">
        <f>Poor!Z1</f>
        <v>Apr-Jun</v>
      </c>
      <c r="AA1" s="258"/>
      <c r="AB1" s="257" t="str">
        <f>Poor!AB1</f>
        <v>Jul-Sep</v>
      </c>
      <c r="AC1" s="258"/>
      <c r="AD1" s="257" t="str">
        <f>Poor!AD1</f>
        <v>Oct-Dec</v>
      </c>
      <c r="AE1" s="258"/>
      <c r="AF1" s="257" t="str">
        <f>Poor!AF1</f>
        <v>Jan-Mar</v>
      </c>
      <c r="AG1" s="258"/>
      <c r="AH1" s="117"/>
      <c r="AI1" s="110"/>
      <c r="AJ1" s="195" t="str">
        <f>LEFT(Z1,4) &amp; MID(AB1,5,3)</f>
        <v>Apr-Sep</v>
      </c>
      <c r="AK1" s="196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9" t="str">
        <f>Poor!Z2</f>
        <v>Q1</v>
      </c>
      <c r="AA2" s="260"/>
      <c r="AB2" s="259" t="str">
        <f>Poor!AB2</f>
        <v>Q2</v>
      </c>
      <c r="AC2" s="260"/>
      <c r="AD2" s="259" t="str">
        <f>Poor!AD2</f>
        <v>Q3</v>
      </c>
      <c r="AE2" s="260"/>
      <c r="AF2" s="259" t="str">
        <f>Poor!AF2</f>
        <v>Q4</v>
      </c>
      <c r="AG2" s="260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52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74" t="str">
        <f>IF(Poor!A6=0,"",Poor!A6)</f>
        <v>Cows' milk - season 1</v>
      </c>
      <c r="B6" s="215">
        <v>1.2513474470734745E-2</v>
      </c>
      <c r="C6" s="215">
        <v>0</v>
      </c>
      <c r="D6" s="24">
        <f t="shared" ref="D6:D28" si="0">(B6+C6)</f>
        <v>1.2513474470734745E-2</v>
      </c>
      <c r="E6" s="75">
        <f>Poor!E6</f>
        <v>0.2</v>
      </c>
      <c r="F6" s="2" t="s">
        <v>21</v>
      </c>
      <c r="H6" s="24">
        <f t="shared" ref="H6:H29" si="1">(E6*F$7/F$9)</f>
        <v>0.2</v>
      </c>
      <c r="I6" s="22">
        <f t="shared" ref="I6:I29" si="2">(D6*H6)</f>
        <v>2.5026948941469489E-3</v>
      </c>
      <c r="J6" s="24">
        <f t="shared" ref="J6:J13" si="3">IF(I$32&lt;=1+I$131,I6,B6*H6+J$33*(I6-B6*H6))</f>
        <v>2.5026948941469489E-3</v>
      </c>
      <c r="K6" s="22">
        <f t="shared" ref="K6:K31" si="4">B6</f>
        <v>1.2513474470734745E-2</v>
      </c>
      <c r="L6" s="22">
        <f t="shared" ref="L6:L29" si="5">IF(K6="","",K6*H6)</f>
        <v>2.5026948941469489E-3</v>
      </c>
      <c r="M6" s="177">
        <f t="shared" ref="M6:M31" si="6">J6</f>
        <v>2.5026948941469489E-3</v>
      </c>
      <c r="N6" s="229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1.0010779576587796E-2</v>
      </c>
      <c r="Z6" s="156">
        <f>Poor!Z6</f>
        <v>0.17</v>
      </c>
      <c r="AA6" s="121">
        <f>$M6*Z6*4</f>
        <v>1.7018325280199254E-3</v>
      </c>
      <c r="AB6" s="156">
        <f>Poor!AB6</f>
        <v>0.17</v>
      </c>
      <c r="AC6" s="121">
        <f t="shared" ref="AC6:AC29" si="7">$M6*AB6*4</f>
        <v>1.7018325280199254E-3</v>
      </c>
      <c r="AD6" s="156">
        <f>Poor!AD6</f>
        <v>0.33</v>
      </c>
      <c r="AE6" s="121">
        <f t="shared" ref="AE6:AE29" si="8">$M6*AD6*4</f>
        <v>3.3035572602739729E-3</v>
      </c>
      <c r="AF6" s="122">
        <f>1-SUM(Z6,AB6,AD6)</f>
        <v>0.32999999999999996</v>
      </c>
      <c r="AG6" s="121">
        <f>$M6*AF6*4</f>
        <v>3.303557260273972E-3</v>
      </c>
      <c r="AH6" s="123">
        <f>SUM(Z6,AB6,AD6,AF6)</f>
        <v>1</v>
      </c>
      <c r="AI6" s="183">
        <f>SUM(AA6,AC6,AE6,AG6)/4</f>
        <v>2.5026948941469489E-3</v>
      </c>
      <c r="AJ6" s="120">
        <f>(AA6+AC6)/2</f>
        <v>1.7018325280199254E-3</v>
      </c>
      <c r="AK6" s="119">
        <f>(AE6+AG6)/2</f>
        <v>3.3035572602739724E-3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74" t="str">
        <f>IF(Poor!A7=0,"",Poor!A7)</f>
        <v>Own meat</v>
      </c>
      <c r="B7" s="215">
        <v>1.0130149495196585E-2</v>
      </c>
      <c r="C7" s="215">
        <v>0</v>
      </c>
      <c r="D7" s="24">
        <f t="shared" si="0"/>
        <v>1.0130149495196585E-2</v>
      </c>
      <c r="E7" s="75">
        <f>Poor!E7</f>
        <v>0.2</v>
      </c>
      <c r="F7" s="27">
        <v>8800</v>
      </c>
      <c r="H7" s="24">
        <f t="shared" si="1"/>
        <v>0.2</v>
      </c>
      <c r="I7" s="22">
        <f t="shared" si="2"/>
        <v>2.0260298990393169E-3</v>
      </c>
      <c r="J7" s="24">
        <f t="shared" si="3"/>
        <v>2.0260298990393169E-3</v>
      </c>
      <c r="K7" s="22">
        <f t="shared" si="4"/>
        <v>1.0130149495196585E-2</v>
      </c>
      <c r="L7" s="22">
        <f t="shared" si="5"/>
        <v>2.0260298990393169E-3</v>
      </c>
      <c r="M7" s="177">
        <f t="shared" si="6"/>
        <v>2.0260298990393169E-3</v>
      </c>
      <c r="N7" s="229">
        <v>3</v>
      </c>
      <c r="O7" s="2"/>
      <c r="P7" s="22"/>
      <c r="Q7" s="59" t="s">
        <v>71</v>
      </c>
      <c r="R7" s="222">
        <f>IF($B$81=0,0,(SUMIF($N$6:$N$28,$U7,K$6:K$28)+SUMIF($N$91:$N$118,$U7,K$91:K$118))*$B$83*$H$84*Poor!$B$81/$B$81)</f>
        <v>1637.8612483790453</v>
      </c>
      <c r="S7" s="222">
        <f>IF($B$81=0,0,(SUMIF($N$6:$N$28,$U7,L$6:L$28)+SUMIF($N$91:$N$118,$U7,L$91:L$118))*$I$83*Poor!$B$81/$B$81)</f>
        <v>349.86279891376455</v>
      </c>
      <c r="T7" s="222">
        <f>IF($B$81=0,0,(SUMIF($N$6:$N$28,$U7,M$6:M$28)+SUMIF($N$91:$N$118,$U7,M$91:M$118))*$I$83*Poor!$B$81/$B$81)</f>
        <v>350.05663850639343</v>
      </c>
      <c r="U7" s="223">
        <v>1</v>
      </c>
      <c r="V7" s="56"/>
      <c r="W7" s="115"/>
      <c r="X7" s="118">
        <f>Poor!X7</f>
        <v>4</v>
      </c>
      <c r="Y7" s="183">
        <f t="shared" ref="Y7:Y29" si="9">M7*4</f>
        <v>8.1041195961572676E-3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8.1041195961572676E-3</v>
      </c>
      <c r="AH7" s="123">
        <f t="shared" ref="AH7:AH30" si="12">SUM(Z7,AB7,AD7,AF7)</f>
        <v>1</v>
      </c>
      <c r="AI7" s="183">
        <f t="shared" ref="AI7:AI30" si="13">SUM(AA7,AC7,AE7,AG7)/4</f>
        <v>2.0260298990393169E-3</v>
      </c>
      <c r="AJ7" s="120">
        <f t="shared" ref="AJ7:AJ31" si="14">(AA7+AC7)/2</f>
        <v>0</v>
      </c>
      <c r="AK7" s="119">
        <f t="shared" ref="AK7:AK31" si="15">(AE7+AG7)/2</f>
        <v>4.0520597980786338E-3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74" t="str">
        <f>IF(Poor!A8=0,"",Poor!A8)</f>
        <v>Green cons - Season 1: no of months</v>
      </c>
      <c r="B8" s="215">
        <v>1.2777777777777777E-2</v>
      </c>
      <c r="C8" s="215">
        <v>0</v>
      </c>
      <c r="D8" s="24">
        <f t="shared" si="0"/>
        <v>1.2777777777777777E-2</v>
      </c>
      <c r="E8" s="75">
        <f>Poor!E8</f>
        <v>0.2</v>
      </c>
      <c r="F8" s="22" t="s">
        <v>23</v>
      </c>
      <c r="H8" s="24">
        <f t="shared" si="1"/>
        <v>0.2</v>
      </c>
      <c r="I8" s="22">
        <f t="shared" si="2"/>
        <v>2.5555555555555557E-3</v>
      </c>
      <c r="J8" s="24">
        <f t="shared" si="3"/>
        <v>2.5555555555555557E-3</v>
      </c>
      <c r="K8" s="22">
        <f t="shared" si="4"/>
        <v>1.2777777777777777E-2</v>
      </c>
      <c r="L8" s="22">
        <f t="shared" si="5"/>
        <v>2.5555555555555557E-3</v>
      </c>
      <c r="M8" s="224">
        <f t="shared" si="6"/>
        <v>2.5555555555555557E-3</v>
      </c>
      <c r="N8" s="229">
        <v>3</v>
      </c>
      <c r="O8" s="2"/>
      <c r="P8" s="22"/>
      <c r="Q8" s="59" t="s">
        <v>72</v>
      </c>
      <c r="R8" s="222">
        <f>IF($B$81=0,0,(SUMIF($N$6:$N$28,$U8,K$6:K$28)+SUMIF($N$91:$N$118,$U8,K$91:K$118))*$B$83*$H$84*Poor!$B$81/$B$81)</f>
        <v>25.840100024676357</v>
      </c>
      <c r="S8" s="222">
        <f>IF($B$81=0,0,(SUMIF($N$6:$N$28,$U8,L$6:L$28)+SUMIF($N$91:$N$118,$U8,L$91:L$118))*$I$83*Poor!$B$81/$B$81)</f>
        <v>5.879999999999999</v>
      </c>
      <c r="T8" s="222">
        <f>IF($B$81=0,0,(SUMIF($N$6:$N$28,$U8,M$6:M$28)+SUMIF($N$91:$N$118,$U8,M$91:M$118))*$I$83*Poor!$B$81/$B$81)</f>
        <v>4.4799999999999995</v>
      </c>
      <c r="U8" s="223">
        <v>2</v>
      </c>
      <c r="V8" s="56"/>
      <c r="W8" s="115"/>
      <c r="X8" s="118">
        <f>Poor!X8</f>
        <v>1</v>
      </c>
      <c r="Y8" s="183">
        <f t="shared" si="9"/>
        <v>1.0222222222222223E-2</v>
      </c>
      <c r="Z8" s="125">
        <f>IF($Y8=0,0,AA8/$Y8)</f>
        <v>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1.0222222222222223E-2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2.5555555555555557E-3</v>
      </c>
      <c r="AJ8" s="120">
        <f t="shared" si="14"/>
        <v>5.1111111111111114E-3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74" t="str">
        <f>IF(Poor!A9=0,"",Poor!A9)</f>
        <v>Maize: kg produced</v>
      </c>
      <c r="B9" s="215">
        <v>6.0666554616616263E-2</v>
      </c>
      <c r="C9" s="215">
        <v>0</v>
      </c>
      <c r="D9" s="24">
        <f t="shared" si="0"/>
        <v>6.0666554616616263E-2</v>
      </c>
      <c r="E9" s="75">
        <f>Poor!E9</f>
        <v>0.3</v>
      </c>
      <c r="F9" s="76">
        <f>Poor!F9</f>
        <v>8800</v>
      </c>
      <c r="H9" s="24">
        <f t="shared" si="1"/>
        <v>0.3</v>
      </c>
      <c r="I9" s="22">
        <f t="shared" si="2"/>
        <v>1.8199966384984879E-2</v>
      </c>
      <c r="J9" s="24">
        <f t="shared" si="3"/>
        <v>1.8199966384984879E-2</v>
      </c>
      <c r="K9" s="22">
        <f t="shared" si="4"/>
        <v>6.0666554616616263E-2</v>
      </c>
      <c r="L9" s="22">
        <f t="shared" si="5"/>
        <v>1.8199966384984879E-2</v>
      </c>
      <c r="M9" s="224">
        <f t="shared" si="6"/>
        <v>1.8199966384984879E-2</v>
      </c>
      <c r="N9" s="229">
        <v>1</v>
      </c>
      <c r="O9" s="2"/>
      <c r="P9" s="22"/>
      <c r="Q9" s="59" t="s">
        <v>73</v>
      </c>
      <c r="R9" s="222">
        <f>IF($B$81=0,0,(SUMIF($N$6:$N$28,$U9,K$6:K$28)+SUMIF($N$91:$N$118,$U9,K$91:K$118))*$B$83*$H$84*Poor!$B$81/$B$81)</f>
        <v>600.96174511333197</v>
      </c>
      <c r="S9" s="222">
        <f>IF($B$81=0,0,(SUMIF($N$6:$N$28,$U9,L$6:L$28)+SUMIF($N$91:$N$118,$U9,L$91:L$118))*$I$83*Poor!$B$81/$B$81)</f>
        <v>97.67916250578088</v>
      </c>
      <c r="T9" s="222">
        <f>IF($B$81=0,0,(SUMIF($N$6:$N$28,$U9,M$6:M$28)+SUMIF($N$91:$N$118,$U9,M$91:M$118))*$I$83*Poor!$B$81/$B$81)</f>
        <v>97.67916250578088</v>
      </c>
      <c r="U9" s="223">
        <v>3</v>
      </c>
      <c r="V9" s="56"/>
      <c r="W9" s="115"/>
      <c r="X9" s="118">
        <f>Poor!X9</f>
        <v>1</v>
      </c>
      <c r="Y9" s="183">
        <f t="shared" si="9"/>
        <v>7.2799865539939515E-2</v>
      </c>
      <c r="Z9" s="125">
        <f>IF($Y9=0,0,AA9/$Y9)</f>
        <v>1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7.2799865539939515E-2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1.8199966384984879E-2</v>
      </c>
      <c r="AJ9" s="120">
        <f t="shared" si="14"/>
        <v>3.6399932769969758E-2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74" t="str">
        <f>IF(Poor!A10=0,"",Poor!A10)</f>
        <v>Beans: kg produced</v>
      </c>
      <c r="B10" s="215">
        <v>1.7096627601850205E-2</v>
      </c>
      <c r="C10" s="215">
        <v>0</v>
      </c>
      <c r="D10" s="24">
        <f t="shared" si="0"/>
        <v>1.7096627601850205E-2</v>
      </c>
      <c r="E10" s="75">
        <f>Poor!E10</f>
        <v>0.2</v>
      </c>
      <c r="H10" s="24">
        <f t="shared" si="1"/>
        <v>0.2</v>
      </c>
      <c r="I10" s="22">
        <f t="shared" si="2"/>
        <v>3.4193255203700413E-3</v>
      </c>
      <c r="J10" s="24">
        <f t="shared" si="3"/>
        <v>3.4193255203700413E-3</v>
      </c>
      <c r="K10" s="22">
        <f t="shared" si="4"/>
        <v>1.7096627601850205E-2</v>
      </c>
      <c r="L10" s="22">
        <f t="shared" si="5"/>
        <v>3.4193255203700413E-3</v>
      </c>
      <c r="M10" s="224">
        <f t="shared" si="6"/>
        <v>3.4193255203700413E-3</v>
      </c>
      <c r="N10" s="229">
        <v>1</v>
      </c>
      <c r="O10" s="2"/>
      <c r="P10" s="22"/>
      <c r="Q10" s="59" t="s">
        <v>74</v>
      </c>
      <c r="R10" s="222">
        <f>IF($B$81=0,0,(SUMIF($N$6:$N$28,$U10,K$6:K$28)+SUMIF($N$91:$N$118,$U10,K$91:K$118))*$B$83*$H$84*Poor!$B$81/$B$81)</f>
        <v>0</v>
      </c>
      <c r="S10" s="222">
        <f>IF($B$81=0,0,(SUMIF($N$6:$N$28,$U10,L$6:L$28)+SUMIF($N$91:$N$118,$U10,L$91:L$118))*$I$83*Poor!$B$81/$B$81)</f>
        <v>0</v>
      </c>
      <c r="T10" s="222">
        <f>IF($B$81=0,0,(SUMIF($N$6:$N$28,$U10,M$6:M$28)+SUMIF($N$91:$N$118,$U10,M$91:M$118))*$I$83*Poor!$B$81/$B$81)</f>
        <v>0</v>
      </c>
      <c r="U10" s="223">
        <v>4</v>
      </c>
      <c r="V10" s="56"/>
      <c r="W10" s="115"/>
      <c r="X10" s="118">
        <f>Poor!X10</f>
        <v>1</v>
      </c>
      <c r="Y10" s="183">
        <f t="shared" si="9"/>
        <v>1.3677302081480165E-2</v>
      </c>
      <c r="Z10" s="125">
        <f>IF($Y10=0,0,AA10/$Y10)</f>
        <v>1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1.3677302081480165E-2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0</v>
      </c>
      <c r="AG10" s="121">
        <f t="shared" si="11"/>
        <v>0</v>
      </c>
      <c r="AH10" s="123">
        <f t="shared" si="12"/>
        <v>1</v>
      </c>
      <c r="AI10" s="183">
        <f t="shared" si="13"/>
        <v>3.4193255203700413E-3</v>
      </c>
      <c r="AJ10" s="120">
        <f t="shared" si="14"/>
        <v>6.8386510407400826E-3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74" t="str">
        <f>IF(Poor!A11=0,"",Poor!A11)</f>
        <v>Potatoes: no. local meas</v>
      </c>
      <c r="B11" s="215">
        <v>1.040873910336239E-2</v>
      </c>
      <c r="C11" s="215">
        <v>0</v>
      </c>
      <c r="D11" s="24">
        <f t="shared" si="0"/>
        <v>1.040873910336239E-2</v>
      </c>
      <c r="E11" s="75">
        <f>Poor!E11</f>
        <v>0.2</v>
      </c>
      <c r="H11" s="24">
        <f t="shared" si="1"/>
        <v>0.2</v>
      </c>
      <c r="I11" s="22">
        <f t="shared" si="2"/>
        <v>2.081747820672478E-3</v>
      </c>
      <c r="J11" s="24">
        <f t="shared" si="3"/>
        <v>2.081747820672478E-3</v>
      </c>
      <c r="K11" s="22">
        <f t="shared" si="4"/>
        <v>1.040873910336239E-2</v>
      </c>
      <c r="L11" s="22">
        <f t="shared" si="5"/>
        <v>2.081747820672478E-3</v>
      </c>
      <c r="M11" s="224">
        <f t="shared" si="6"/>
        <v>2.081747820672478E-3</v>
      </c>
      <c r="N11" s="229">
        <v>1</v>
      </c>
      <c r="O11" s="2"/>
      <c r="P11" s="22"/>
      <c r="Q11" s="59" t="s">
        <v>75</v>
      </c>
      <c r="R11" s="222">
        <f>IF($B$81=0,0,(SUMIF($N$6:$N$28,$U11,K$6:K$28)+SUMIF($N$91:$N$118,$U11,K$91:K$118))*$B$83*$H$84*Poor!$B$81/$B$81)</f>
        <v>3045.4403600511423</v>
      </c>
      <c r="S11" s="222">
        <f>IF($B$81=0,0,(SUMIF($N$6:$N$28,$U11,L$6:L$28)+SUMIF($N$91:$N$118,$U11,L$91:L$118))*$I$83*Poor!$B$81/$B$81)</f>
        <v>1460.25</v>
      </c>
      <c r="T11" s="222">
        <f>IF($B$81=0,0,(SUMIF($N$6:$N$28,$U11,M$6:M$28)+SUMIF($N$91:$N$118,$U11,M$91:M$118))*$I$83*Poor!$B$81/$B$81)</f>
        <v>870.24999999999989</v>
      </c>
      <c r="U11" s="223">
        <v>5</v>
      </c>
      <c r="V11" s="56"/>
      <c r="W11" s="115"/>
      <c r="X11" s="118">
        <f>Poor!X11</f>
        <v>1</v>
      </c>
      <c r="Y11" s="183">
        <f t="shared" si="9"/>
        <v>8.326991282689912E-3</v>
      </c>
      <c r="Z11" s="125">
        <f>IF($Y11=0,0,AA11/$Y11)</f>
        <v>1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8.326991282689912E-3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2.081747820672478E-3</v>
      </c>
      <c r="AJ11" s="120">
        <f t="shared" si="14"/>
        <v>4.163495641344956E-3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74" t="str">
        <f>IF(Poor!A12=0,"",Poor!A12)</f>
        <v>Cabbage: no. local meas</v>
      </c>
      <c r="B12" s="215">
        <v>1.2220189912826899E-3</v>
      </c>
      <c r="C12" s="215">
        <v>0</v>
      </c>
      <c r="D12" s="24">
        <f t="shared" si="0"/>
        <v>1.2220189912826899E-3</v>
      </c>
      <c r="E12" s="75">
        <f>Poor!E12</f>
        <v>0.2</v>
      </c>
      <c r="H12" s="24">
        <f t="shared" si="1"/>
        <v>0.2</v>
      </c>
      <c r="I12" s="22">
        <f t="shared" si="2"/>
        <v>2.4440379825653799E-4</v>
      </c>
      <c r="J12" s="24">
        <f t="shared" si="3"/>
        <v>2.4440379825653799E-4</v>
      </c>
      <c r="K12" s="22">
        <f t="shared" si="4"/>
        <v>1.2220189912826899E-3</v>
      </c>
      <c r="L12" s="22">
        <f t="shared" si="5"/>
        <v>2.4440379825653799E-4</v>
      </c>
      <c r="M12" s="224">
        <f t="shared" si="6"/>
        <v>2.4440379825653799E-4</v>
      </c>
      <c r="N12" s="229">
        <v>1</v>
      </c>
      <c r="O12" s="2"/>
      <c r="P12" s="22"/>
      <c r="Q12" s="126" t="s">
        <v>124</v>
      </c>
      <c r="R12" s="222">
        <f>IF($B$81=0,0,(SUMIF($N$6:$N$28,$U12,K$6:K$28)+SUMIF($N$91:$N$118,$U12,K$91:K$118))*$B$83*$H$84*Poor!$B$81/$B$81)</f>
        <v>0</v>
      </c>
      <c r="S12" s="222">
        <f>IF($B$81=0,0,(SUMIF($N$6:$N$28,$U12,L$6:L$28)+SUMIF($N$91:$N$118,$U12,L$91:L$118))*$I$83*Poor!$B$81/$B$81)</f>
        <v>0</v>
      </c>
      <c r="T12" s="222">
        <f>IF($B$81=0,0,(SUMIF($N$6:$N$28,$U12,M$6:M$28)+SUMIF($N$91:$N$118,$U12,M$91:M$118))*$I$83*Poor!$B$81/$B$81)</f>
        <v>0</v>
      </c>
      <c r="U12" s="223">
        <v>6</v>
      </c>
      <c r="V12" s="56"/>
      <c r="W12" s="117"/>
      <c r="X12" s="118">
        <v>1</v>
      </c>
      <c r="Y12" s="183">
        <f t="shared" si="9"/>
        <v>9.7761519302615196E-4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6.5500217932752181E-4</v>
      </c>
      <c r="AF12" s="122">
        <f>1-SUM(Z12,AB12,AD12)</f>
        <v>0.32999999999999996</v>
      </c>
      <c r="AG12" s="121">
        <f>$M12*AF12*4</f>
        <v>3.2261301369863009E-4</v>
      </c>
      <c r="AH12" s="123">
        <f t="shared" si="12"/>
        <v>1</v>
      </c>
      <c r="AI12" s="183">
        <f t="shared" si="13"/>
        <v>2.4440379825653799E-4</v>
      </c>
      <c r="AJ12" s="120">
        <f t="shared" si="14"/>
        <v>0</v>
      </c>
      <c r="AK12" s="119">
        <f t="shared" si="15"/>
        <v>4.8880759651307598E-4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74" t="str">
        <f>IF(Poor!A13=0,"",Poor!A13)</f>
        <v>beetroot: no. local meas</v>
      </c>
      <c r="B13" s="215">
        <v>0</v>
      </c>
      <c r="C13" s="215">
        <v>0</v>
      </c>
      <c r="D13" s="24">
        <f t="shared" si="0"/>
        <v>0</v>
      </c>
      <c r="E13" s="75">
        <f>Poor!E13</f>
        <v>0.2</v>
      </c>
      <c r="H13" s="24">
        <f t="shared" si="1"/>
        <v>0.2</v>
      </c>
      <c r="I13" s="22">
        <f t="shared" si="2"/>
        <v>0</v>
      </c>
      <c r="J13" s="24">
        <f t="shared" si="3"/>
        <v>0</v>
      </c>
      <c r="K13" s="22">
        <f t="shared" si="4"/>
        <v>0</v>
      </c>
      <c r="L13" s="22">
        <f t="shared" si="5"/>
        <v>0</v>
      </c>
      <c r="M13" s="225">
        <f t="shared" si="6"/>
        <v>0</v>
      </c>
      <c r="N13" s="229">
        <v>1</v>
      </c>
      <c r="O13" s="2"/>
      <c r="P13" s="22"/>
      <c r="Q13" s="59" t="s">
        <v>76</v>
      </c>
      <c r="R13" s="222">
        <f>IF($B$81=0,0,(SUMIF($N$6:$N$28,$U13,K$6:K$28)+SUMIF($N$91:$N$118,$U13,K$91:K$118))*$B$83*$H$84*Poor!$B$81/$B$81)</f>
        <v>5317.1555759881148</v>
      </c>
      <c r="S13" s="222">
        <f>IF($B$81=0,0,(SUMIF($N$6:$N$28,$U13,L$6:L$28)+SUMIF($N$91:$N$118,$U13,L$91:L$118))*$I$83*Poor!$B$81/$B$81)</f>
        <v>2425.5010398225595</v>
      </c>
      <c r="T13" s="222">
        <f>IF($B$81=0,0,(SUMIF($N$6:$N$28,$U13,M$6:M$28)+SUMIF($N$91:$N$118,$U13,M$91:M$118))*$I$83*Poor!$B$81/$B$81)</f>
        <v>2439.2501496340528</v>
      </c>
      <c r="U13" s="223">
        <v>7</v>
      </c>
      <c r="V13" s="56"/>
      <c r="W13" s="110"/>
      <c r="X13" s="118"/>
      <c r="Y13" s="183">
        <f t="shared" si="9"/>
        <v>0</v>
      </c>
      <c r="Z13" s="156">
        <f>Poor!Z13</f>
        <v>1</v>
      </c>
      <c r="AA13" s="121">
        <f>$M13*Z13*4</f>
        <v>0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0</v>
      </c>
      <c r="AJ13" s="120">
        <f t="shared" si="14"/>
        <v>0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74" t="str">
        <f>IF(Poor!A14=0,"",Poor!A14)</f>
        <v>Groundnuts (dry): no. local meas</v>
      </c>
      <c r="B14" s="215">
        <v>0</v>
      </c>
      <c r="C14" s="215">
        <v>0</v>
      </c>
      <c r="D14" s="24">
        <f t="shared" si="0"/>
        <v>0</v>
      </c>
      <c r="E14" s="75">
        <f>Poor!E14</f>
        <v>0.2</v>
      </c>
      <c r="F14" s="22"/>
      <c r="H14" s="24">
        <f t="shared" si="1"/>
        <v>0.2</v>
      </c>
      <c r="I14" s="22">
        <f t="shared" si="2"/>
        <v>0</v>
      </c>
      <c r="J14" s="24">
        <f>IF(I$32&lt;=1+I131,I14,B14*H14+J$33*(I14-B14*H14))</f>
        <v>0</v>
      </c>
      <c r="K14" s="22">
        <f t="shared" si="4"/>
        <v>0</v>
      </c>
      <c r="L14" s="22">
        <f t="shared" si="5"/>
        <v>0</v>
      </c>
      <c r="M14" s="225">
        <f t="shared" si="6"/>
        <v>0</v>
      </c>
      <c r="N14" s="229">
        <v>1</v>
      </c>
      <c r="O14" s="2"/>
      <c r="P14" s="22"/>
      <c r="Q14" s="126" t="s">
        <v>77</v>
      </c>
      <c r="R14" s="222">
        <f>IF($B$81=0,0,(SUMIF($N$6:$N$28,$U14,K$6:K$28)+SUMIF($N$91:$N$118,$U14,K$91:K$118))*$B$83*$H$84*Poor!$B$81/$B$81)</f>
        <v>0</v>
      </c>
      <c r="S14" s="222">
        <f>IF($B$81=0,0,(SUMIF($N$6:$N$28,$U14,L$6:L$28)+SUMIF($N$91:$N$118,$U14,L$91:L$118))*$I$83*Poor!$B$81/$B$81)</f>
        <v>0</v>
      </c>
      <c r="T14" s="222">
        <f>IF($B$81=0,0,(SUMIF($N$6:$N$28,$U14,M$6:M$28)+SUMIF($N$91:$N$118,$U14,M$91:M$118))*$I$83*Poor!$B$81/$B$81)</f>
        <v>0</v>
      </c>
      <c r="U14" s="223">
        <v>8</v>
      </c>
      <c r="V14" s="56"/>
      <c r="W14" s="110"/>
      <c r="X14" s="118"/>
      <c r="Y14" s="183">
        <f>M14*4</f>
        <v>0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0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0</v>
      </c>
      <c r="AJ14" s="120">
        <f t="shared" si="14"/>
        <v>0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74" t="str">
        <f>IF(Poor!A15=0,"",Poor!A15)</f>
        <v>Cow peas</v>
      </c>
      <c r="B15" s="215">
        <v>0</v>
      </c>
      <c r="C15" s="215">
        <v>0</v>
      </c>
      <c r="D15" s="24">
        <f t="shared" si="0"/>
        <v>0</v>
      </c>
      <c r="E15" s="75">
        <f>Poor!E15</f>
        <v>0.2</v>
      </c>
      <c r="F15" s="22"/>
      <c r="H15" s="24">
        <f t="shared" si="1"/>
        <v>0.2</v>
      </c>
      <c r="I15" s="22">
        <f t="shared" si="2"/>
        <v>0</v>
      </c>
      <c r="J15" s="24">
        <f t="shared" ref="J15:J25" si="17">IF(I$32&lt;=1+I131,I15,B15*H15+J$33*(I15-B15*H15))</f>
        <v>0</v>
      </c>
      <c r="K15" s="22">
        <f t="shared" si="4"/>
        <v>0</v>
      </c>
      <c r="L15" s="22">
        <f t="shared" si="5"/>
        <v>0</v>
      </c>
      <c r="M15" s="226">
        <f t="shared" si="6"/>
        <v>0</v>
      </c>
      <c r="N15" s="229">
        <v>1</v>
      </c>
      <c r="O15" s="2"/>
      <c r="P15" s="22"/>
      <c r="Q15" s="59" t="s">
        <v>128</v>
      </c>
      <c r="R15" s="222">
        <f>IF($B$81=0,0,(SUMIF($N$6:$N$28,$U15,K$6:K$28)+SUMIF($N$91:$N$118,$U15,K$91:K$118))*$B$83*$H$84*Poor!$B$81/$B$81)</f>
        <v>5020.3622905085504</v>
      </c>
      <c r="S15" s="222">
        <f>IF($B$81=0,0,(SUMIF($N$6:$N$28,$U15,L$6:L$28)+SUMIF($N$91:$N$118,$U15,L$91:L$118))*$I$83*Poor!$B$81/$B$81)</f>
        <v>4814.3999999999996</v>
      </c>
      <c r="T15" s="222">
        <f>IF($B$81=0,0,(SUMIF($N$6:$N$28,$U15,M$6:M$28)+SUMIF($N$91:$N$118,$U15,M$91:M$118))*$I$83*Poor!$B$81/$B$81)</f>
        <v>4814.3999999999996</v>
      </c>
      <c r="U15" s="223">
        <v>9</v>
      </c>
      <c r="V15" s="56"/>
      <c r="W15" s="110"/>
      <c r="X15" s="118"/>
      <c r="Y15" s="183">
        <f t="shared" si="9"/>
        <v>0</v>
      </c>
      <c r="Z15" s="156">
        <f>Poor!Z15</f>
        <v>0.25</v>
      </c>
      <c r="AA15" s="121">
        <f t="shared" si="16"/>
        <v>0</v>
      </c>
      <c r="AB15" s="156">
        <f>Poor!AB15</f>
        <v>0.25</v>
      </c>
      <c r="AC15" s="121">
        <f t="shared" si="7"/>
        <v>0</v>
      </c>
      <c r="AD15" s="156">
        <f>Poor!AD15</f>
        <v>0.25</v>
      </c>
      <c r="AE15" s="121">
        <f t="shared" si="8"/>
        <v>0</v>
      </c>
      <c r="AF15" s="122">
        <f t="shared" si="10"/>
        <v>0.25</v>
      </c>
      <c r="AG15" s="121">
        <f t="shared" si="11"/>
        <v>0</v>
      </c>
      <c r="AH15" s="123">
        <f t="shared" si="12"/>
        <v>1</v>
      </c>
      <c r="AI15" s="183">
        <f t="shared" si="13"/>
        <v>0</v>
      </c>
      <c r="AJ15" s="120">
        <f t="shared" si="14"/>
        <v>0</v>
      </c>
      <c r="AK15" s="119">
        <f t="shared" si="15"/>
        <v>0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74" t="str">
        <f>IF(Poor!A16=0,"",Poor!A16)</f>
        <v>Other crop: Spinach</v>
      </c>
      <c r="B16" s="215">
        <v>6.0017123287671231E-4</v>
      </c>
      <c r="C16" s="215">
        <v>7.8222291407222907E-5</v>
      </c>
      <c r="D16" s="24">
        <f t="shared" ref="D16:D25" si="18">(B16+C16)</f>
        <v>6.7839352428393518E-4</v>
      </c>
      <c r="E16" s="75">
        <f>Poor!E16</f>
        <v>0.2</v>
      </c>
      <c r="F16" s="22"/>
      <c r="H16" s="24">
        <f t="shared" ref="H16:H25" si="19">(E16*F$7/F$9)</f>
        <v>0.2</v>
      </c>
      <c r="I16" s="22">
        <f t="shared" ref="I16:I25" si="20">(D16*H16)</f>
        <v>1.3567870485678703E-4</v>
      </c>
      <c r="J16" s="24">
        <f t="shared" si="17"/>
        <v>1.3409265966613562E-4</v>
      </c>
      <c r="K16" s="22">
        <f t="shared" ref="K16:K25" si="21">B16</f>
        <v>6.0017123287671231E-4</v>
      </c>
      <c r="L16" s="22">
        <f t="shared" ref="L16:L25" si="22">IF(K16="","",K16*H16)</f>
        <v>1.2003424657534247E-4</v>
      </c>
      <c r="M16" s="226">
        <f t="shared" ref="M16:M25" si="23">J16</f>
        <v>1.3409265966613562E-4</v>
      </c>
      <c r="N16" s="229">
        <v>1</v>
      </c>
      <c r="O16" s="2"/>
      <c r="P16" s="22"/>
      <c r="Q16" s="126" t="s">
        <v>78</v>
      </c>
      <c r="R16" s="222">
        <f>IF($B$81=0,0,(SUMIF($N$6:$N$28,$U16,K$6:K$28)+SUMIF($N$91:$N$118,$U16,K$91:K$118))*$B$83*$H$84*Poor!$B$81/$B$81)</f>
        <v>0</v>
      </c>
      <c r="S16" s="222">
        <f>IF($B$81=0,0,(SUMIF($N$6:$N$28,$U16,L$6:L$28)+SUMIF($N$91:$N$118,$U16,L$91:L$118))*$I$83*Poor!$B$81/$B$81)</f>
        <v>0</v>
      </c>
      <c r="T16" s="222">
        <f>IF($B$81=0,0,(SUMIF($N$6:$N$28,$U16,M$6:M$28)+SUMIF($N$91:$N$118,$U16,M$91:M$118))*$I$83*Poor!$B$81/$B$81)</f>
        <v>0</v>
      </c>
      <c r="U16" s="223">
        <v>10</v>
      </c>
      <c r="V16" s="56"/>
      <c r="W16" s="110"/>
      <c r="X16" s="118"/>
      <c r="Y16" s="183"/>
      <c r="Z16" s="156"/>
      <c r="AA16" s="121"/>
      <c r="AB16" s="156"/>
      <c r="AC16" s="121"/>
      <c r="AD16" s="156"/>
      <c r="AE16" s="121"/>
      <c r="AF16" s="122"/>
      <c r="AG16" s="121"/>
      <c r="AH16" s="123"/>
      <c r="AI16" s="183"/>
      <c r="AJ16" s="120"/>
      <c r="AK16" s="119"/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74" t="str">
        <f>IF(Poor!A17=0,"",Poor!A17)</f>
        <v>Other crop: pumpkin</v>
      </c>
      <c r="B17" s="215">
        <v>3.3890660024906601E-3</v>
      </c>
      <c r="C17" s="215">
        <v>0</v>
      </c>
      <c r="D17" s="24">
        <f t="shared" si="18"/>
        <v>3.3890660024906601E-3</v>
      </c>
      <c r="E17" s="75">
        <f>Poor!E17</f>
        <v>0.2</v>
      </c>
      <c r="F17" s="22"/>
      <c r="H17" s="24">
        <f t="shared" si="19"/>
        <v>0.2</v>
      </c>
      <c r="I17" s="22">
        <f t="shared" si="20"/>
        <v>6.7781320049813208E-4</v>
      </c>
      <c r="J17" s="24">
        <f t="shared" si="17"/>
        <v>6.7781320049813208E-4</v>
      </c>
      <c r="K17" s="22">
        <f t="shared" si="21"/>
        <v>3.3890660024906601E-3</v>
      </c>
      <c r="L17" s="22">
        <f t="shared" si="22"/>
        <v>6.7781320049813208E-4</v>
      </c>
      <c r="M17" s="226">
        <f t="shared" si="23"/>
        <v>6.7781320049813208E-4</v>
      </c>
      <c r="N17" s="229">
        <v>1</v>
      </c>
      <c r="O17" s="2"/>
      <c r="P17" s="22"/>
      <c r="Q17" s="126" t="s">
        <v>125</v>
      </c>
      <c r="R17" s="222">
        <f>IF($B$81=0,0,(SUMIF($N$6:$N$28,$U17,K$6:K$28)+SUMIF($N$91:$N$118,$U17,K$91:K$118))*$B$83*$H$84*Poor!$B$81/$B$81)</f>
        <v>1575.0156205517019</v>
      </c>
      <c r="S17" s="222">
        <f>IF($B$81=0,0,(SUMIF($N$6:$N$28,$U17,L$6:L$28)+SUMIF($N$91:$N$118,$U17,L$91:L$118))*$I$83*Poor!$B$81/$B$81)</f>
        <v>1208.3199999999997</v>
      </c>
      <c r="T17" s="222">
        <f>IF($B$81=0,0,(SUMIF($N$6:$N$28,$U17,M$6:M$28)+SUMIF($N$91:$N$118,$U17,M$91:M$118))*$I$83*Poor!$B$81/$B$81)</f>
        <v>1208.3199999999997</v>
      </c>
      <c r="U17" s="223">
        <v>11</v>
      </c>
      <c r="V17" s="56"/>
      <c r="W17" s="110"/>
      <c r="X17" s="118"/>
      <c r="Y17" s="183"/>
      <c r="Z17" s="156"/>
      <c r="AA17" s="121"/>
      <c r="AB17" s="156"/>
      <c r="AC17" s="121"/>
      <c r="AD17" s="156"/>
      <c r="AE17" s="121"/>
      <c r="AF17" s="122"/>
      <c r="AG17" s="121"/>
      <c r="AH17" s="123"/>
      <c r="AI17" s="183"/>
      <c r="AJ17" s="120"/>
      <c r="AK17" s="119"/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74" t="str">
        <f>IF(Poor!A18=0,"",Poor!A18)</f>
        <v>Sweet Potatoes: kg produced</v>
      </c>
      <c r="B18" s="215">
        <v>1.2422166874221667E-3</v>
      </c>
      <c r="C18" s="215">
        <v>0</v>
      </c>
      <c r="D18" s="24">
        <f t="shared" si="18"/>
        <v>1.2422166874221667E-3</v>
      </c>
      <c r="E18" s="75">
        <f>Poor!E18</f>
        <v>0.2</v>
      </c>
      <c r="F18" s="22"/>
      <c r="H18" s="24">
        <f t="shared" si="19"/>
        <v>0.2</v>
      </c>
      <c r="I18" s="22">
        <f t="shared" si="20"/>
        <v>2.4844333748443335E-4</v>
      </c>
      <c r="J18" s="24">
        <f t="shared" si="17"/>
        <v>2.4844333748443335E-4</v>
      </c>
      <c r="K18" s="22">
        <f t="shared" si="21"/>
        <v>1.2422166874221667E-3</v>
      </c>
      <c r="L18" s="22">
        <f t="shared" si="22"/>
        <v>2.4844333748443335E-4</v>
      </c>
      <c r="M18" s="226">
        <f t="shared" si="23"/>
        <v>2.4844333748443335E-4</v>
      </c>
      <c r="N18" s="229">
        <v>1</v>
      </c>
      <c r="O18" s="2"/>
      <c r="P18" s="22"/>
      <c r="Q18" s="59" t="s">
        <v>79</v>
      </c>
      <c r="R18" s="222">
        <f>IF($B$81=0,0,(SUMIF($N$6:$N$28,$U18,K$6:K$28)+SUMIF($N$91:$N$118,$U18,K$91:K$118))*$B$83*$H$84*Poor!$B$81/$B$81)</f>
        <v>2542.6668466728388</v>
      </c>
      <c r="S18" s="222">
        <f>IF($B$81=0,0,(SUMIF($N$6:$N$28,$U18,L$6:L$28)+SUMIF($N$91:$N$118,$U18,L$91:L$118))*$I$83*Poor!$B$81/$B$81)</f>
        <v>2066.4008161399674</v>
      </c>
      <c r="T18" s="222">
        <f>IF($B$81=0,0,(SUMIF($N$6:$N$28,$U18,M$6:M$28)+SUMIF($N$91:$N$118,$U18,M$91:M$118))*$I$83*Poor!$B$81/$B$81)</f>
        <v>2066.4008161399674</v>
      </c>
      <c r="U18" s="223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74" t="str">
        <f>IF(Poor!A19=0,"",Poor!A19)</f>
        <v>Amadumbe: kg produced</v>
      </c>
      <c r="B19" s="215">
        <v>1.9121004566210046E-3</v>
      </c>
      <c r="C19" s="215">
        <v>0</v>
      </c>
      <c r="D19" s="24">
        <f t="shared" si="18"/>
        <v>1.9121004566210046E-3</v>
      </c>
      <c r="E19" s="75">
        <f>Poor!E19</f>
        <v>0.2</v>
      </c>
      <c r="F19" s="22"/>
      <c r="H19" s="24">
        <f t="shared" si="19"/>
        <v>0.2</v>
      </c>
      <c r="I19" s="22">
        <f t="shared" si="20"/>
        <v>3.8242009132420093E-4</v>
      </c>
      <c r="J19" s="24">
        <f t="shared" si="17"/>
        <v>3.8242009132420093E-4</v>
      </c>
      <c r="K19" s="22">
        <f t="shared" si="21"/>
        <v>1.9121004566210046E-3</v>
      </c>
      <c r="L19" s="22">
        <f t="shared" si="22"/>
        <v>3.8242009132420093E-4</v>
      </c>
      <c r="M19" s="226">
        <f t="shared" si="23"/>
        <v>3.8242009132420093E-4</v>
      </c>
      <c r="N19" s="229">
        <v>1</v>
      </c>
      <c r="O19" s="2"/>
      <c r="P19" s="22"/>
      <c r="Q19" s="59" t="s">
        <v>80</v>
      </c>
      <c r="R19" s="222">
        <f>IF($B$81=0,0,(SUMIF($N$6:$N$28,$U19,K$6:K$28)+SUMIF($N$91:$N$118,$U19,K$91:K$118))*$B$83*$H$84*Poor!$B$81/$B$81)</f>
        <v>0</v>
      </c>
      <c r="S19" s="222">
        <f>IF($B$81=0,0,(SUMIF($N$6:$N$28,$U19,L$6:L$28)+SUMIF($N$91:$N$118,$U19,L$91:L$118))*$I$83*Poor!$B$81/$B$81)</f>
        <v>0</v>
      </c>
      <c r="T19" s="222">
        <f>IF($B$81=0,0,(SUMIF($N$6:$N$28,$U19,M$6:M$28)+SUMIF($N$91:$N$118,$U19,M$91:M$118))*$I$83*Poor!$B$81/$B$81)</f>
        <v>0</v>
      </c>
      <c r="U19" s="223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74" t="str">
        <f>IF(Poor!A20=0,"",Poor!A20)</f>
        <v>Green Pepper/ Brinjal / Beetroot: kg produced</v>
      </c>
      <c r="B20" s="215">
        <v>0</v>
      </c>
      <c r="C20" s="215">
        <v>0</v>
      </c>
      <c r="D20" s="24">
        <f t="shared" si="18"/>
        <v>0</v>
      </c>
      <c r="E20" s="75">
        <f>Poor!E20</f>
        <v>0.2</v>
      </c>
      <c r="F20" s="22"/>
      <c r="H20" s="24">
        <f t="shared" si="19"/>
        <v>0.2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6">
        <f t="shared" si="23"/>
        <v>0</v>
      </c>
      <c r="N20" s="229">
        <v>6</v>
      </c>
      <c r="O20" s="2"/>
      <c r="P20" s="22"/>
      <c r="Q20" s="59" t="s">
        <v>81</v>
      </c>
      <c r="R20" s="222">
        <f>IF($B$81=0,0,(SUMIF($N$6:$N$28,$U20,K$6:K$28)+SUMIF($N$91:$N$118,$U20,K$91:K$118))*$B$83*$H$84*Poor!$B$81/$B$81)</f>
        <v>23585.858917761736</v>
      </c>
      <c r="S20" s="222">
        <f>IF($B$81=0,0,(SUMIF($N$6:$N$28,$U20,L$6:L$28)+SUMIF($N$91:$N$118,$U20,L$91:L$118))*$I$83*Poor!$B$81/$B$81)</f>
        <v>22618.239999999998</v>
      </c>
      <c r="T20" s="222">
        <f>IF($B$81=0,0,(SUMIF($N$6:$N$28,$U20,M$6:M$28)+SUMIF($N$91:$N$118,$U20,M$91:M$118))*$I$83*Poor!$B$81/$B$81)</f>
        <v>22618.239999999998</v>
      </c>
      <c r="U20" s="223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74" t="str">
        <f>IF(Poor!A21=0,"",Poor!A21)</f>
        <v>FISHING -- see worksheet Data 3</v>
      </c>
      <c r="B21" s="215">
        <v>3.2923412204234124E-3</v>
      </c>
      <c r="C21" s="215">
        <v>8.2308530510585322E-4</v>
      </c>
      <c r="D21" s="24">
        <f t="shared" si="18"/>
        <v>4.1154265255292661E-3</v>
      </c>
      <c r="E21" s="75">
        <f>Poor!E21</f>
        <v>1</v>
      </c>
      <c r="F21" s="22"/>
      <c r="H21" s="24">
        <f t="shared" si="19"/>
        <v>1</v>
      </c>
      <c r="I21" s="22">
        <f t="shared" si="20"/>
        <v>4.1154265255292661E-3</v>
      </c>
      <c r="J21" s="24">
        <f t="shared" si="17"/>
        <v>4.0319816106479788E-3</v>
      </c>
      <c r="K21" s="22">
        <f t="shared" si="21"/>
        <v>3.2923412204234124E-3</v>
      </c>
      <c r="L21" s="22">
        <f t="shared" si="22"/>
        <v>3.2923412204234124E-3</v>
      </c>
      <c r="M21" s="226">
        <f t="shared" si="23"/>
        <v>4.0319816106479788E-3</v>
      </c>
      <c r="N21" s="229">
        <v>7</v>
      </c>
      <c r="O21" s="2"/>
      <c r="P21" s="22"/>
      <c r="Q21" s="59" t="s">
        <v>82</v>
      </c>
      <c r="R21" s="222">
        <f>IF($B$81=0,0,(SUMIF($N$6:$N$28,$U21,K$6:K$28)+SUMIF($N$91:$N$118,$U21,K$91:K$118))*$B$83*$H$84*Poor!$B$81/$B$81)</f>
        <v>0</v>
      </c>
      <c r="S21" s="222">
        <f>IF($B$81=0,0,(SUMIF($N$6:$N$28,$U21,L$6:L$28)+SUMIF($N$91:$N$118,$U21,L$91:L$118))*$I$83*Poor!$B$81/$B$81)</f>
        <v>0</v>
      </c>
      <c r="T21" s="222">
        <f>IF($B$81=0,0,(SUMIF($N$6:$N$28,$U21,M$6:M$28)+SUMIF($N$91:$N$118,$U21,M$91:M$118))*$I$83*Poor!$B$81/$B$81)</f>
        <v>0</v>
      </c>
      <c r="U21" s="223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74" t="str">
        <f>IF(Poor!A22=0,"",Poor!A22)</f>
        <v>WILD FOODS -- see worksheet Data 3</v>
      </c>
      <c r="B22" s="215">
        <v>1.1463262764632627E-3</v>
      </c>
      <c r="C22" s="215">
        <v>2.8658156911581567E-4</v>
      </c>
      <c r="D22" s="24">
        <f t="shared" si="18"/>
        <v>1.4329078455790783E-3</v>
      </c>
      <c r="E22" s="75">
        <f>Poor!E22</f>
        <v>1</v>
      </c>
      <c r="F22" s="22"/>
      <c r="H22" s="24">
        <f t="shared" si="19"/>
        <v>1</v>
      </c>
      <c r="I22" s="22">
        <f t="shared" si="20"/>
        <v>1.4329078455790783E-3</v>
      </c>
      <c r="J22" s="24">
        <f t="shared" si="17"/>
        <v>1.4038540227334138E-3</v>
      </c>
      <c r="K22" s="22">
        <f t="shared" si="21"/>
        <v>1.1463262764632627E-3</v>
      </c>
      <c r="L22" s="22">
        <f t="shared" si="22"/>
        <v>1.1463262764632627E-3</v>
      </c>
      <c r="M22" s="226">
        <f t="shared" si="23"/>
        <v>1.4038540227334138E-3</v>
      </c>
      <c r="N22" s="229">
        <v>7</v>
      </c>
      <c r="O22" s="2"/>
      <c r="P22" s="22"/>
      <c r="Q22" s="59" t="s">
        <v>83</v>
      </c>
      <c r="R22" s="222">
        <f>IF($B$81=0,0,(SUMIF($N$6:$N$28,$U22,K$6:K$28)+SUMIF($N$91:$N$118,$U22,K$91:K$118))*$B$83*$H$84*Poor!$B$81/$B$81)</f>
        <v>0</v>
      </c>
      <c r="S22" s="222">
        <f>IF($B$81=0,0,(SUMIF($N$6:$N$28,$U22,L$6:L$28)+SUMIF($N$91:$N$118,$U22,L$91:L$118))*$I$83*Poor!$B$81/$B$81)</f>
        <v>0</v>
      </c>
      <c r="T22" s="222">
        <f>IF($B$81=0,0,(SUMIF($N$6:$N$28,$U22,M$6:M$28)+SUMIF($N$91:$N$118,$U22,M$91:M$118))*$I$83*Poor!$B$81/$B$81)</f>
        <v>0</v>
      </c>
      <c r="U22" s="223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74" t="str">
        <f>IF(Poor!A23=0,"",Poor!A23)</f>
        <v/>
      </c>
      <c r="B23" s="215">
        <v>0</v>
      </c>
      <c r="C23" s="215">
        <v>0</v>
      </c>
      <c r="D23" s="24">
        <f t="shared" si="18"/>
        <v>0</v>
      </c>
      <c r="E23" s="75">
        <f>Poor!E23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6">
        <f t="shared" si="23"/>
        <v>0</v>
      </c>
      <c r="N23" s="229">
        <v>13</v>
      </c>
      <c r="O23" s="2"/>
      <c r="P23" s="22"/>
      <c r="Q23" s="171" t="s">
        <v>100</v>
      </c>
      <c r="R23" s="179">
        <f>SUM(R7:R22)</f>
        <v>43351.162705051131</v>
      </c>
      <c r="S23" s="179">
        <f>SUM(S7:S22)</f>
        <v>35046.533817382071</v>
      </c>
      <c r="T23" s="179">
        <f>SUM(T7:T22)</f>
        <v>34469.076766786195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74" t="str">
        <f>IF(Poor!A24=0,"",Poor!A24)</f>
        <v/>
      </c>
      <c r="B24" s="215">
        <v>0</v>
      </c>
      <c r="C24" s="215">
        <v>0</v>
      </c>
      <c r="D24" s="24">
        <f t="shared" si="18"/>
        <v>0</v>
      </c>
      <c r="E24" s="75">
        <f>Poor!E24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6">
        <f t="shared" si="23"/>
        <v>0</v>
      </c>
      <c r="N24" s="229">
        <v>13</v>
      </c>
      <c r="O24" s="2"/>
      <c r="P24" s="22"/>
      <c r="Q24" s="59" t="s">
        <v>137</v>
      </c>
      <c r="R24" s="41">
        <f>IF($B$81=0,0,(SUM(($B$70*$H$70))+((1-$D$29)*$I$83))*Poor!$B$81/$B$81)</f>
        <v>31035.992491963734</v>
      </c>
      <c r="S24" s="41">
        <f>IF($B$81=0,0,(SUM(($B$70*$H$70))+((1-$D$29)*$I$83))*Poor!$B$81/$B$81)</f>
        <v>31035.992491963734</v>
      </c>
      <c r="T24" s="41">
        <f>IF($B$81=0,0,(SUM(($B$70*$H$70))+((1-$D$29)*$I$83))*Poor!$B$81/$B$81)</f>
        <v>31035.992491963734</v>
      </c>
      <c r="U24" s="56"/>
      <c r="V24" s="56"/>
      <c r="W24" s="110"/>
      <c r="X24" s="118"/>
      <c r="Y24" s="183">
        <f t="shared" si="9"/>
        <v>0</v>
      </c>
      <c r="Z24" s="156">
        <f>Poor!Z16</f>
        <v>0</v>
      </c>
      <c r="AA24" s="121">
        <f t="shared" si="16"/>
        <v>0</v>
      </c>
      <c r="AB24" s="156">
        <f>Poor!AB16</f>
        <v>0</v>
      </c>
      <c r="AC24" s="121">
        <f t="shared" si="7"/>
        <v>0</v>
      </c>
      <c r="AD24" s="156">
        <f>Poor!AD16</f>
        <v>0</v>
      </c>
      <c r="AE24" s="121">
        <f t="shared" si="8"/>
        <v>0</v>
      </c>
      <c r="AF24" s="122">
        <f t="shared" si="10"/>
        <v>1</v>
      </c>
      <c r="AG24" s="121">
        <f t="shared" si="11"/>
        <v>0</v>
      </c>
      <c r="AH24" s="123">
        <f t="shared" si="12"/>
        <v>1</v>
      </c>
      <c r="AI24" s="183">
        <f t="shared" si="13"/>
        <v>0</v>
      </c>
      <c r="AJ24" s="120">
        <f t="shared" si="14"/>
        <v>0</v>
      </c>
      <c r="AK24" s="119">
        <f t="shared" si="15"/>
        <v>0</v>
      </c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74" t="str">
        <f>IF(Poor!A25=0,"",Poor!A25)</f>
        <v/>
      </c>
      <c r="B25" s="215">
        <v>0</v>
      </c>
      <c r="C25" s="215">
        <v>0</v>
      </c>
      <c r="D25" s="24">
        <f t="shared" si="18"/>
        <v>0</v>
      </c>
      <c r="E25" s="75">
        <f>Poor!E25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6">
        <f t="shared" si="23"/>
        <v>0</v>
      </c>
      <c r="N25" s="229"/>
      <c r="O25" s="2"/>
      <c r="P25" s="22"/>
      <c r="Q25" s="142" t="s">
        <v>138</v>
      </c>
      <c r="R25" s="41">
        <f>IF($B$81=0,0,(SUM(($B$70*$H$70),($B$71*$H$71))+((1-$D$29)*$I$83))*Poor!$B$81/$B$81)</f>
        <v>47999.934714185954</v>
      </c>
      <c r="S25" s="41">
        <f>IF($B$81=0,0,(SUM(($B$70*$H$70),($B$71*$H$71))+((1-$D$29)*$I$83))*Poor!$B$81/$B$81)</f>
        <v>47999.934714185954</v>
      </c>
      <c r="T25" s="41">
        <f>IF($B$81=0,0,(SUM(($B$70*$H$70),($B$71*$H$71))+((1-$D$29)*$I$83))*Poor!$B$81/$B$81)</f>
        <v>47999.934714185954</v>
      </c>
      <c r="U25" s="56"/>
      <c r="V25" s="56"/>
      <c r="W25" s="110"/>
      <c r="X25" s="118"/>
      <c r="Y25" s="183">
        <f t="shared" si="9"/>
        <v>0</v>
      </c>
      <c r="Z25" s="156">
        <f>Poor!Z17</f>
        <v>0.29409999999999997</v>
      </c>
      <c r="AA25" s="121">
        <f t="shared" si="16"/>
        <v>0</v>
      </c>
      <c r="AB25" s="156">
        <f>Poor!AB17</f>
        <v>0.17649999999999999</v>
      </c>
      <c r="AC25" s="121">
        <f t="shared" si="7"/>
        <v>0</v>
      </c>
      <c r="AD25" s="156">
        <f>Poor!AD17</f>
        <v>0.23530000000000001</v>
      </c>
      <c r="AE25" s="121">
        <f t="shared" si="8"/>
        <v>0</v>
      </c>
      <c r="AF25" s="122">
        <f t="shared" si="10"/>
        <v>0.29410000000000003</v>
      </c>
      <c r="AG25" s="121">
        <f t="shared" si="11"/>
        <v>0</v>
      </c>
      <c r="AH25" s="123">
        <f t="shared" si="12"/>
        <v>1</v>
      </c>
      <c r="AI25" s="183">
        <f t="shared" si="13"/>
        <v>0</v>
      </c>
      <c r="AJ25" s="120">
        <f t="shared" si="14"/>
        <v>0</v>
      </c>
      <c r="AK25" s="119">
        <f t="shared" si="15"/>
        <v>0</v>
      </c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74" t="str">
        <f>IF(Poor!A26=0,"",Poor!A26)</f>
        <v>Food aid</v>
      </c>
      <c r="B26" s="215">
        <v>0.14986781539551045</v>
      </c>
      <c r="C26" s="215">
        <v>0</v>
      </c>
      <c r="D26" s="24">
        <f t="shared" si="0"/>
        <v>0.14986781539551045</v>
      </c>
      <c r="E26" s="75">
        <f>Poor!E26</f>
        <v>1</v>
      </c>
      <c r="F26" s="22"/>
      <c r="H26" s="24">
        <f t="shared" si="1"/>
        <v>1</v>
      </c>
      <c r="I26" s="22">
        <f t="shared" si="2"/>
        <v>0.14986781539551045</v>
      </c>
      <c r="J26" s="24">
        <f>IF(I$32&lt;=1+I131,I26,B26*H26+J$33*(I26-B26*H26))</f>
        <v>0.14986781539551045</v>
      </c>
      <c r="K26" s="22">
        <f t="shared" si="4"/>
        <v>0.14986781539551045</v>
      </c>
      <c r="L26" s="22">
        <f t="shared" si="5"/>
        <v>0.14986781539551045</v>
      </c>
      <c r="M26" s="224">
        <f t="shared" si="6"/>
        <v>0.14986781539551045</v>
      </c>
      <c r="N26" s="229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79373.774714185958</v>
      </c>
      <c r="S26" s="41">
        <f>IF($B$81=0,0,(SUM(($B$70*$H$70),($B$71*$H$71),($B$72*$H$72))+((1-$D$29)*$I$83))*Poor!$B$81/$B$81)</f>
        <v>79373.774714185958</v>
      </c>
      <c r="T26" s="41">
        <f>IF($B$81=0,0,(SUM(($B$70*$H$70),($B$71*$H$71),($B$72*$H$72))+((1-$D$29)*$I$83))*Poor!$B$81/$B$81)</f>
        <v>79373.774714185958</v>
      </c>
      <c r="U26" s="56"/>
      <c r="V26" s="56"/>
      <c r="W26" s="110"/>
      <c r="X26" s="118"/>
      <c r="Y26" s="183">
        <f t="shared" si="9"/>
        <v>0.59947126158204178</v>
      </c>
      <c r="Z26" s="156">
        <f>Poor!Z26</f>
        <v>0.25</v>
      </c>
      <c r="AA26" s="121">
        <f t="shared" si="16"/>
        <v>0.14986781539551045</v>
      </c>
      <c r="AB26" s="156">
        <f>Poor!AB26</f>
        <v>0.25</v>
      </c>
      <c r="AC26" s="121">
        <f t="shared" si="7"/>
        <v>0.14986781539551045</v>
      </c>
      <c r="AD26" s="156">
        <f>Poor!AD26</f>
        <v>0.25</v>
      </c>
      <c r="AE26" s="121">
        <f t="shared" si="8"/>
        <v>0.14986781539551045</v>
      </c>
      <c r="AF26" s="122">
        <f t="shared" si="10"/>
        <v>0.25</v>
      </c>
      <c r="AG26" s="121">
        <f t="shared" si="11"/>
        <v>0.14986781539551045</v>
      </c>
      <c r="AH26" s="123">
        <f t="shared" si="12"/>
        <v>1</v>
      </c>
      <c r="AI26" s="183">
        <f t="shared" si="13"/>
        <v>0.14986781539551045</v>
      </c>
      <c r="AJ26" s="120">
        <f t="shared" si="14"/>
        <v>0.14986781539551045</v>
      </c>
      <c r="AK26" s="119">
        <f t="shared" si="15"/>
        <v>0.14986781539551045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74" t="str">
        <f>IF(Poor!A27=0,"",Poor!A27)</f>
        <v>Purchase - other</v>
      </c>
      <c r="B27" s="215">
        <v>3.2194264899484078E-2</v>
      </c>
      <c r="C27" s="215">
        <v>-3.2194264899484078E-2</v>
      </c>
      <c r="D27" s="24">
        <f t="shared" si="0"/>
        <v>0</v>
      </c>
      <c r="E27" s="75">
        <f>Poor!E27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0</v>
      </c>
      <c r="K27" s="22">
        <f t="shared" si="4"/>
        <v>3.2194264899484078E-2</v>
      </c>
      <c r="L27" s="22">
        <f t="shared" si="5"/>
        <v>3.2194264899484078E-2</v>
      </c>
      <c r="M27" s="226">
        <f t="shared" si="6"/>
        <v>0</v>
      </c>
      <c r="N27" s="229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0</v>
      </c>
      <c r="Z27" s="156">
        <f>Poor!Z27</f>
        <v>0.25</v>
      </c>
      <c r="AA27" s="121">
        <f t="shared" si="16"/>
        <v>0</v>
      </c>
      <c r="AB27" s="156">
        <f>Poor!AB27</f>
        <v>0.25</v>
      </c>
      <c r="AC27" s="121">
        <f t="shared" si="7"/>
        <v>0</v>
      </c>
      <c r="AD27" s="156">
        <f>Poor!AD27</f>
        <v>0.25</v>
      </c>
      <c r="AE27" s="121">
        <f t="shared" si="8"/>
        <v>0</v>
      </c>
      <c r="AF27" s="122">
        <f t="shared" si="10"/>
        <v>0.25</v>
      </c>
      <c r="AG27" s="121">
        <f t="shared" si="11"/>
        <v>0</v>
      </c>
      <c r="AH27" s="123">
        <f t="shared" si="12"/>
        <v>1</v>
      </c>
      <c r="AI27" s="183">
        <f t="shared" si="13"/>
        <v>0</v>
      </c>
      <c r="AJ27" s="120">
        <f t="shared" si="14"/>
        <v>0</v>
      </c>
      <c r="AK27" s="119">
        <f t="shared" si="15"/>
        <v>0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74" t="str">
        <f>IF(Poor!A28=0,"",Poor!A28)</f>
        <v>Purchase - desirable</v>
      </c>
      <c r="B28" s="215">
        <v>0</v>
      </c>
      <c r="C28" s="215">
        <v>0</v>
      </c>
      <c r="D28" s="24">
        <f t="shared" si="0"/>
        <v>0</v>
      </c>
      <c r="E28" s="75">
        <f>Poor!E28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</v>
      </c>
      <c r="K28" s="22">
        <f t="shared" si="4"/>
        <v>0</v>
      </c>
      <c r="L28" s="22">
        <f t="shared" si="5"/>
        <v>0</v>
      </c>
      <c r="M28" s="224">
        <f t="shared" si="6"/>
        <v>0</v>
      </c>
      <c r="N28" s="229"/>
      <c r="O28" s="2"/>
      <c r="P28" s="22"/>
      <c r="V28" s="56"/>
      <c r="W28" s="110"/>
      <c r="X28" s="118"/>
      <c r="Y28" s="183">
        <f t="shared" si="9"/>
        <v>0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0</v>
      </c>
      <c r="AF28" s="122">
        <f t="shared" si="10"/>
        <v>0.5</v>
      </c>
      <c r="AG28" s="121">
        <f t="shared" si="11"/>
        <v>0</v>
      </c>
      <c r="AH28" s="123">
        <f t="shared" si="12"/>
        <v>1</v>
      </c>
      <c r="AI28" s="183">
        <f t="shared" si="13"/>
        <v>0</v>
      </c>
      <c r="AJ28" s="120">
        <f t="shared" si="14"/>
        <v>0</v>
      </c>
      <c r="AK28" s="119">
        <f t="shared" si="15"/>
        <v>0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74" t="str">
        <f>IF(Poor!A29=0,"",Poor!A29)</f>
        <v>Purchase - fpl non staple</v>
      </c>
      <c r="B29" s="215">
        <v>0.20210494927504</v>
      </c>
      <c r="C29" s="215">
        <v>2.2642749809475924E-2</v>
      </c>
      <c r="D29" s="24">
        <f>(B29+C29)</f>
        <v>0.22474769908451592</v>
      </c>
      <c r="E29" s="75">
        <f>Poor!E29</f>
        <v>1</v>
      </c>
      <c r="F29" s="22"/>
      <c r="H29" s="24">
        <f t="shared" si="1"/>
        <v>1</v>
      </c>
      <c r="I29" s="22">
        <f t="shared" si="2"/>
        <v>0.22474769908451592</v>
      </c>
      <c r="J29" s="24">
        <f>IF(I$32&lt;=1+I131,I29,B29*H29+J$33*(I29-B29*H29))</f>
        <v>0.22474769908451592</v>
      </c>
      <c r="K29" s="22">
        <f t="shared" si="4"/>
        <v>0.20210494927504</v>
      </c>
      <c r="L29" s="22">
        <f t="shared" si="5"/>
        <v>0.20210494927504</v>
      </c>
      <c r="M29" s="224">
        <f t="shared" si="6"/>
        <v>0.22474769908451592</v>
      </c>
      <c r="N29" s="229"/>
      <c r="P29" s="22"/>
      <c r="V29" s="56"/>
      <c r="W29" s="110"/>
      <c r="X29" s="118"/>
      <c r="Y29" s="183">
        <f t="shared" si="9"/>
        <v>0.89899079633806367</v>
      </c>
      <c r="Z29" s="156">
        <f>Poor!Z29</f>
        <v>0.25</v>
      </c>
      <c r="AA29" s="121">
        <f t="shared" si="16"/>
        <v>0.22474769908451592</v>
      </c>
      <c r="AB29" s="156">
        <f>Poor!AB29</f>
        <v>0.25</v>
      </c>
      <c r="AC29" s="121">
        <f t="shared" si="7"/>
        <v>0.22474769908451592</v>
      </c>
      <c r="AD29" s="156">
        <f>Poor!AD29</f>
        <v>0.25</v>
      </c>
      <c r="AE29" s="121">
        <f t="shared" si="8"/>
        <v>0.22474769908451592</v>
      </c>
      <c r="AF29" s="122">
        <f t="shared" si="10"/>
        <v>0.25</v>
      </c>
      <c r="AG29" s="121">
        <f t="shared" si="11"/>
        <v>0.22474769908451592</v>
      </c>
      <c r="AH29" s="123">
        <f t="shared" si="12"/>
        <v>1</v>
      </c>
      <c r="AI29" s="183">
        <f t="shared" si="13"/>
        <v>0.22474769908451592</v>
      </c>
      <c r="AJ29" s="120">
        <f t="shared" si="14"/>
        <v>0.22474769908451592</v>
      </c>
      <c r="AK29" s="119">
        <f t="shared" si="15"/>
        <v>0.22474769908451592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215">
        <v>0.61947890193026156</v>
      </c>
      <c r="C30" s="103"/>
      <c r="D30" s="24">
        <f>(D119-B124)</f>
        <v>1.1419690920094767</v>
      </c>
      <c r="E30" s="75">
        <f>Poor!E30</f>
        <v>1</v>
      </c>
      <c r="H30" s="96">
        <f>(E30*F$7/F$9)</f>
        <v>1</v>
      </c>
      <c r="I30" s="29">
        <f>IF(E30&gt;=1,I119-I124,MIN(I119-I124,B30*H30))</f>
        <v>0.8364640763564799</v>
      </c>
      <c r="J30" s="231">
        <f>IF(I$32&lt;=1,I30,1-SUM(J6:J29))</f>
        <v>0.58747615672459363</v>
      </c>
      <c r="K30" s="22">
        <f t="shared" si="4"/>
        <v>0.61947890193026156</v>
      </c>
      <c r="L30" s="22">
        <f>IF(L124=L119,0,IF(K30="",0,(L119-L124)/(B119-B124)*K30))</f>
        <v>0.44840021093396065</v>
      </c>
      <c r="M30" s="175">
        <f t="shared" si="6"/>
        <v>0.58747615672459363</v>
      </c>
      <c r="N30" s="166" t="s">
        <v>86</v>
      </c>
      <c r="O30" s="2"/>
      <c r="P30" s="22"/>
      <c r="Q30" s="234" t="s">
        <v>141</v>
      </c>
      <c r="R30" s="234">
        <f t="shared" ref="R30:T32" si="24">IF(R24&gt;R$23,R24-R$23,0)</f>
        <v>0</v>
      </c>
      <c r="S30" s="234">
        <f t="shared" si="24"/>
        <v>0</v>
      </c>
      <c r="T30" s="234">
        <f t="shared" si="24"/>
        <v>0</v>
      </c>
      <c r="V30" s="56"/>
      <c r="W30" s="110"/>
      <c r="X30" s="118"/>
      <c r="Y30" s="183">
        <f>M30*4</f>
        <v>2.3499046268983745</v>
      </c>
      <c r="Z30" s="122">
        <f>IF($Y30=0,0,AA30/($Y$30))</f>
        <v>-0.34885233864149628</v>
      </c>
      <c r="AA30" s="187">
        <f>IF(AA79*4/$I$83+SUM(AA6:AA29)&lt;1,AA79*4/$I$83,1-SUM(AA6:AA29))</f>
        <v>-0.81976972467797071</v>
      </c>
      <c r="AB30" s="122">
        <f>IF($Y30=0,0,AC30/($Y$30))</f>
        <v>-0.45628778658154129</v>
      </c>
      <c r="AC30" s="187">
        <f>IF(AC79*4/$I$83+SUM(AC6:AC29)&lt;1,AC79*4/$I$83,1-SUM(AC6:AC29))</f>
        <v>-1.0722327808851819</v>
      </c>
      <c r="AD30" s="122">
        <f>IF($Y30=0,0,AE30/($Y$30))</f>
        <v>-0.45628778658154129</v>
      </c>
      <c r="AE30" s="187">
        <f>IF(AE79*4/$I$83+SUM(AE6:AE29)&lt;1,AE79*4/$I$83,1-SUM(AE6:AE29))</f>
        <v>-1.0722327808851819</v>
      </c>
      <c r="AF30" s="122">
        <f>IF($Y30=0,0,AG30/($Y$30))</f>
        <v>-0.45628778658154129</v>
      </c>
      <c r="AG30" s="187">
        <f>IF(AG79*4/$I$83+SUM(AG6:AG29)&lt;1,AG79*4/$I$83,1-SUM(AG6:AG29))</f>
        <v>-1.0722327808851819</v>
      </c>
      <c r="AH30" s="123">
        <f t="shared" si="12"/>
        <v>-1.7177156983861201</v>
      </c>
      <c r="AI30" s="183">
        <f t="shared" si="13"/>
        <v>-1.0091170168333792</v>
      </c>
      <c r="AJ30" s="120">
        <f t="shared" si="14"/>
        <v>-0.94600125278157632</v>
      </c>
      <c r="AK30" s="119">
        <f t="shared" si="15"/>
        <v>-1.0722327808851819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215" t="str">
        <f>IF(1-$B$32&gt;0,1-$B$32,"")</f>
        <v/>
      </c>
      <c r="C31" s="77"/>
      <c r="D31" s="24"/>
      <c r="E31" s="22"/>
      <c r="F31" s="22"/>
      <c r="H31" s="24"/>
      <c r="I31" s="22"/>
      <c r="J31" s="232">
        <f>(1-SUM(J6:J30))</f>
        <v>0</v>
      </c>
      <c r="K31" s="22" t="str">
        <f t="shared" si="4"/>
        <v/>
      </c>
      <c r="L31" s="22">
        <f>(1-SUM(L6:L30))</f>
        <v>0.13053565725021032</v>
      </c>
      <c r="M31" s="241">
        <f t="shared" si="6"/>
        <v>0</v>
      </c>
      <c r="N31" s="167">
        <f>M31*I83</f>
        <v>0</v>
      </c>
      <c r="P31" s="22"/>
      <c r="Q31" s="238" t="s">
        <v>142</v>
      </c>
      <c r="R31" s="234">
        <f t="shared" si="24"/>
        <v>4648.7720091348237</v>
      </c>
      <c r="S31" s="234">
        <f t="shared" si="24"/>
        <v>12953.400896803883</v>
      </c>
      <c r="T31" s="234">
        <f>IF(T25&gt;T$23,T25-T$23,0)</f>
        <v>13530.85794739976</v>
      </c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1.3384259965435925</v>
      </c>
      <c r="AB31" s="131"/>
      <c r="AC31" s="133">
        <f>1-AC32+IF($Y32&lt;0,$Y32/4,0)</f>
        <v>1.6959154338771356</v>
      </c>
      <c r="AD31" s="134"/>
      <c r="AE31" s="133">
        <f>1-AE32+IF($Y32&lt;0,$Y32/4,0)</f>
        <v>1.6936587069655542</v>
      </c>
      <c r="AF31" s="134"/>
      <c r="AG31" s="133">
        <f>1-AG32+IF($Y32&lt;0,$Y32/4,0)</f>
        <v>1.6858869765350257</v>
      </c>
      <c r="AH31" s="123"/>
      <c r="AI31" s="182">
        <f>SUM(AA31,AC31,AE31,AG31)/4</f>
        <v>1.6034717784803267</v>
      </c>
      <c r="AJ31" s="135">
        <f t="shared" si="14"/>
        <v>1.517170715210364</v>
      </c>
      <c r="AK31" s="136">
        <f t="shared" si="15"/>
        <v>1.68977284175029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219">
        <f>SUM(B6:B30)</f>
        <v>1.1400434954334138</v>
      </c>
      <c r="C32" s="77">
        <f>SUM(C6:C31)</f>
        <v>-8.3636259243792636E-3</v>
      </c>
      <c r="D32" s="24">
        <f>SUM(D6:D30)</f>
        <v>1.6541700595882498</v>
      </c>
      <c r="E32" s="2"/>
      <c r="F32" s="2"/>
      <c r="H32" s="17"/>
      <c r="I32" s="22">
        <f>SUM(I6:I30)</f>
        <v>1.2491020044148038</v>
      </c>
      <c r="J32" s="17"/>
      <c r="L32" s="22">
        <f>SUM(L6:L30)</f>
        <v>0.86946434274978968</v>
      </c>
      <c r="M32" s="23"/>
      <c r="N32" s="56"/>
      <c r="O32" s="2"/>
      <c r="P32" s="22"/>
      <c r="Q32" s="234" t="s">
        <v>143</v>
      </c>
      <c r="R32" s="234">
        <f t="shared" si="24"/>
        <v>36022.612009134828</v>
      </c>
      <c r="S32" s="234">
        <f t="shared" si="24"/>
        <v>44327.240896803887</v>
      </c>
      <c r="T32" s="234">
        <f t="shared" si="24"/>
        <v>44904.697947399764</v>
      </c>
      <c r="V32" s="56"/>
      <c r="W32" s="110"/>
      <c r="X32" s="118"/>
      <c r="Y32" s="115">
        <f>SUM(Y6:Y31)</f>
        <v>3.972485580310583</v>
      </c>
      <c r="Z32" s="137"/>
      <c r="AA32" s="138">
        <f>SUM(AA6:AA30)</f>
        <v>-0.33842599654359262</v>
      </c>
      <c r="AB32" s="137"/>
      <c r="AC32" s="139">
        <f>SUM(AC6:AC30)</f>
        <v>-0.69591543387713561</v>
      </c>
      <c r="AD32" s="137"/>
      <c r="AE32" s="139">
        <f>SUM(AE6:AE30)</f>
        <v>-0.69365870696555409</v>
      </c>
      <c r="AF32" s="137"/>
      <c r="AG32" s="139">
        <f>SUM(AG6:AG30)</f>
        <v>-0.68588697653502573</v>
      </c>
      <c r="AH32" s="127"/>
      <c r="AI32" s="110"/>
      <c r="AJ32" s="140">
        <f>SUM(AJ6:AJ31)</f>
        <v>0.99999999999999978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0.89861936015179356</v>
      </c>
      <c r="K33" s="14"/>
      <c r="L33" s="11"/>
      <c r="M33" s="30"/>
      <c r="N33" s="168" t="s">
        <v>87</v>
      </c>
      <c r="O33" s="2"/>
      <c r="P33" s="2"/>
      <c r="Q33" s="238"/>
      <c r="R33" s="234"/>
      <c r="S33" s="234"/>
      <c r="T33" s="234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53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13530.857947399767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R35" s="41"/>
      <c r="S35" s="41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2"/>
      <c r="S36" s="242"/>
      <c r="T36" s="252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6" t="str">
        <f>IF(Poor!A37=0,"",Poor!A37)</f>
        <v>Cattle sales - local: no. sold</v>
      </c>
      <c r="B37" s="216">
        <v>2000</v>
      </c>
      <c r="C37" s="216">
        <v>-1000</v>
      </c>
      <c r="D37" s="38">
        <f t="shared" ref="D37:D64" si="25">B37+C37</f>
        <v>1000</v>
      </c>
      <c r="E37" s="75">
        <f>Poor!E37</f>
        <v>0.5</v>
      </c>
      <c r="F37" s="75">
        <f>Poor!F37</f>
        <v>1.18</v>
      </c>
      <c r="G37" s="75">
        <f>Poor!G37</f>
        <v>1</v>
      </c>
      <c r="H37" s="24">
        <f t="shared" ref="H37" si="26">(E37*F37)</f>
        <v>0.59</v>
      </c>
      <c r="I37" s="39">
        <f t="shared" ref="I37" si="27">D37*H37</f>
        <v>590</v>
      </c>
      <c r="J37" s="38">
        <f>J91*I$83</f>
        <v>590</v>
      </c>
      <c r="K37" s="40">
        <f>(B37/B$65)</f>
        <v>6.3930443677279125E-2</v>
      </c>
      <c r="L37" s="22">
        <f t="shared" ref="L37" si="28">(K37*H37)</f>
        <v>3.7718961769594682E-2</v>
      </c>
      <c r="M37" s="24">
        <f>J37/B$65</f>
        <v>1.8859480884797341E-2</v>
      </c>
      <c r="N37" s="2"/>
      <c r="O37" s="2"/>
      <c r="P37" s="2"/>
      <c r="Q37" s="59"/>
      <c r="R37" s="252"/>
      <c r="S37" s="252"/>
      <c r="T37" s="29"/>
      <c r="U37" s="56"/>
      <c r="V37" s="56"/>
      <c r="W37" s="115"/>
      <c r="X37" s="118"/>
      <c r="Y37" s="110"/>
      <c r="Z37" s="122">
        <f>IF($J37=0,0,AA37/($J37))</f>
        <v>1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590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29">1-SUM(Z37,AB37,AD37)</f>
        <v>0</v>
      </c>
      <c r="AG37" s="147">
        <f>$J37*AF37</f>
        <v>0</v>
      </c>
      <c r="AH37" s="123">
        <f>SUM(Z37,AB37,AD37,AF37)</f>
        <v>1</v>
      </c>
      <c r="AI37" s="112">
        <f>SUM(AA37,AC37,AE37,AG37)</f>
        <v>590</v>
      </c>
      <c r="AJ37" s="148">
        <f>(AA37+AC37)</f>
        <v>590</v>
      </c>
      <c r="AK37" s="147">
        <f>(AE37+AG37)</f>
        <v>0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6" t="str">
        <f>IF(Poor!A38=0,"",Poor!A38)</f>
        <v>Goat sales - local: no. sold</v>
      </c>
      <c r="B38" s="216">
        <v>475</v>
      </c>
      <c r="C38" s="216">
        <v>0</v>
      </c>
      <c r="D38" s="38">
        <f t="shared" si="25"/>
        <v>475</v>
      </c>
      <c r="E38" s="75">
        <f>Poor!E38</f>
        <v>0.5</v>
      </c>
      <c r="F38" s="75">
        <f>Poor!F38</f>
        <v>1.18</v>
      </c>
      <c r="G38" s="75">
        <f>Poor!G38</f>
        <v>1</v>
      </c>
      <c r="H38" s="24">
        <f t="shared" ref="H38:H64" si="30">(E38*F38)</f>
        <v>0.59</v>
      </c>
      <c r="I38" s="39">
        <f t="shared" ref="I38:I64" si="31">D38*H38</f>
        <v>280.25</v>
      </c>
      <c r="J38" s="38">
        <f t="shared" ref="J38:J64" si="32">J92*I$83</f>
        <v>280.25</v>
      </c>
      <c r="K38" s="40">
        <f t="shared" ref="K38:K64" si="33">(B38/B$65)</f>
        <v>1.5183480373353792E-2</v>
      </c>
      <c r="L38" s="22">
        <f t="shared" ref="L38:L64" si="34">(K38*H38)</f>
        <v>8.9582534202787365E-3</v>
      </c>
      <c r="M38" s="24">
        <f t="shared" ref="M38:M64" si="35">J38/B$65</f>
        <v>8.9582534202787365E-3</v>
      </c>
      <c r="N38" s="2"/>
      <c r="O38" s="2"/>
      <c r="P38" s="2"/>
      <c r="Q38" s="59"/>
      <c r="R38" s="252"/>
      <c r="S38" s="252"/>
      <c r="T38" s="29"/>
      <c r="U38" s="56"/>
      <c r="V38" s="56"/>
      <c r="W38" s="115"/>
      <c r="X38" s="118"/>
      <c r="Y38" s="110"/>
      <c r="Z38" s="122">
        <f>IF($J38=0,0,AA38/($J38))</f>
        <v>1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280.25</v>
      </c>
      <c r="AB38" s="122">
        <f>IF($J38=0,0,AC38/($J38))</f>
        <v>0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0</v>
      </c>
      <c r="AD38" s="122">
        <f>IF($J38=0,0,AE38/($J38))</f>
        <v>0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0</v>
      </c>
      <c r="AF38" s="122">
        <f t="shared" si="29"/>
        <v>0</v>
      </c>
      <c r="AG38" s="147">
        <f t="shared" ref="AG38:AG64" si="36">$J38*AF38</f>
        <v>0</v>
      </c>
      <c r="AH38" s="123">
        <f t="shared" ref="AH38:AI58" si="37">SUM(Z38,AB38,AD38,AF38)</f>
        <v>1</v>
      </c>
      <c r="AI38" s="112">
        <f t="shared" si="37"/>
        <v>280.25</v>
      </c>
      <c r="AJ38" s="148">
        <f t="shared" ref="AJ38:AJ64" si="38">(AA38+AC38)</f>
        <v>280.25</v>
      </c>
      <c r="AK38" s="147">
        <f t="shared" ref="AK38:AK64" si="39">(AE38+AG38)</f>
        <v>0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6" t="str">
        <f>IF(Poor!A39=0,"",Poor!A39)</f>
        <v>Sheep sales - local: no. sold</v>
      </c>
      <c r="B39" s="216">
        <v>0</v>
      </c>
      <c r="C39" s="216">
        <v>0</v>
      </c>
      <c r="D39" s="38">
        <f t="shared" si="25"/>
        <v>0</v>
      </c>
      <c r="E39" s="75">
        <f>Poor!E39</f>
        <v>0.5</v>
      </c>
      <c r="F39" s="75">
        <f>Poor!F39</f>
        <v>1.18</v>
      </c>
      <c r="G39" s="75">
        <f>Poor!G39</f>
        <v>1</v>
      </c>
      <c r="H39" s="24">
        <f t="shared" si="30"/>
        <v>0.59</v>
      </c>
      <c r="I39" s="39">
        <f t="shared" si="31"/>
        <v>0</v>
      </c>
      <c r="J39" s="38">
        <f t="shared" si="32"/>
        <v>0</v>
      </c>
      <c r="K39" s="40">
        <f t="shared" si="33"/>
        <v>0</v>
      </c>
      <c r="L39" s="22">
        <f t="shared" si="34"/>
        <v>0</v>
      </c>
      <c r="M39" s="24">
        <f t="shared" si="35"/>
        <v>0</v>
      </c>
      <c r="N39" s="2"/>
      <c r="O39" s="2"/>
      <c r="P39" s="2"/>
      <c r="Q39" s="59"/>
      <c r="R39" s="252"/>
      <c r="S39" s="252"/>
      <c r="T39" s="29"/>
      <c r="U39" s="56"/>
      <c r="V39" s="56"/>
      <c r="W39" s="115"/>
      <c r="X39" s="118"/>
      <c r="Y39" s="110"/>
      <c r="Z39" s="122">
        <f>Z8</f>
        <v>1</v>
      </c>
      <c r="AA39" s="147">
        <f t="shared" ref="AA39:AA64" si="40">$J39*Z39</f>
        <v>0</v>
      </c>
      <c r="AB39" s="122">
        <f>AB8</f>
        <v>0</v>
      </c>
      <c r="AC39" s="147">
        <f t="shared" ref="AC39:AC64" si="41">$J39*AB39</f>
        <v>0</v>
      </c>
      <c r="AD39" s="122">
        <f>AD8</f>
        <v>0</v>
      </c>
      <c r="AE39" s="147">
        <f t="shared" ref="AE39:AE64" si="42">$J39*AD39</f>
        <v>0</v>
      </c>
      <c r="AF39" s="122">
        <f t="shared" si="29"/>
        <v>0</v>
      </c>
      <c r="AG39" s="147">
        <f t="shared" si="36"/>
        <v>0</v>
      </c>
      <c r="AH39" s="123">
        <f t="shared" si="37"/>
        <v>1</v>
      </c>
      <c r="AI39" s="112">
        <f t="shared" si="37"/>
        <v>0</v>
      </c>
      <c r="AJ39" s="148">
        <f t="shared" si="38"/>
        <v>0</v>
      </c>
      <c r="AK39" s="147">
        <f t="shared" si="39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6" t="str">
        <f>IF(Poor!A40=0,"",Poor!A40)</f>
        <v>Chicken sales: no. sold</v>
      </c>
      <c r="B40" s="216">
        <v>0</v>
      </c>
      <c r="C40" s="216">
        <v>0</v>
      </c>
      <c r="D40" s="38">
        <f t="shared" si="25"/>
        <v>0</v>
      </c>
      <c r="E40" s="75">
        <f>Poor!E40</f>
        <v>1</v>
      </c>
      <c r="F40" s="75">
        <f>Poor!F40</f>
        <v>1.18</v>
      </c>
      <c r="G40" s="75">
        <f>Poor!G40</f>
        <v>1</v>
      </c>
      <c r="H40" s="24">
        <f t="shared" si="30"/>
        <v>1.18</v>
      </c>
      <c r="I40" s="39">
        <f t="shared" si="31"/>
        <v>0</v>
      </c>
      <c r="J40" s="38">
        <f t="shared" si="32"/>
        <v>0</v>
      </c>
      <c r="K40" s="40">
        <f t="shared" si="33"/>
        <v>0</v>
      </c>
      <c r="L40" s="22">
        <f t="shared" si="34"/>
        <v>0</v>
      </c>
      <c r="M40" s="24">
        <f t="shared" si="35"/>
        <v>0</v>
      </c>
      <c r="N40" s="2"/>
      <c r="O40" s="2"/>
      <c r="P40" s="2"/>
      <c r="Q40" s="59"/>
      <c r="R40" s="252"/>
      <c r="S40" s="252"/>
      <c r="T40" s="29"/>
      <c r="U40" s="56"/>
      <c r="V40" s="56"/>
      <c r="W40" s="115"/>
      <c r="X40" s="118">
        <f>X9</f>
        <v>1</v>
      </c>
      <c r="Y40" s="110"/>
      <c r="Z40" s="122">
        <f>Z9</f>
        <v>1</v>
      </c>
      <c r="AA40" s="147">
        <f t="shared" si="40"/>
        <v>0</v>
      </c>
      <c r="AB40" s="122">
        <f>AB9</f>
        <v>0</v>
      </c>
      <c r="AC40" s="147">
        <f t="shared" si="41"/>
        <v>0</v>
      </c>
      <c r="AD40" s="122">
        <f>AD9</f>
        <v>0</v>
      </c>
      <c r="AE40" s="147">
        <f t="shared" si="42"/>
        <v>0</v>
      </c>
      <c r="AF40" s="122">
        <f t="shared" si="29"/>
        <v>0</v>
      </c>
      <c r="AG40" s="147">
        <f t="shared" si="36"/>
        <v>0</v>
      </c>
      <c r="AH40" s="123">
        <f t="shared" si="37"/>
        <v>1</v>
      </c>
      <c r="AI40" s="112">
        <f t="shared" si="37"/>
        <v>0</v>
      </c>
      <c r="AJ40" s="148">
        <f t="shared" si="38"/>
        <v>0</v>
      </c>
      <c r="AK40" s="147">
        <f t="shared" si="39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6" t="str">
        <f>IF(Poor!A41=0,"",Poor!A41)</f>
        <v>Maize: kg produced</v>
      </c>
      <c r="B41" s="216">
        <v>0</v>
      </c>
      <c r="C41" s="216">
        <v>0</v>
      </c>
      <c r="D41" s="38">
        <f t="shared" si="25"/>
        <v>0</v>
      </c>
      <c r="E41" s="75">
        <f>Poor!E41</f>
        <v>0.3</v>
      </c>
      <c r="F41" s="75">
        <f>Poor!F41</f>
        <v>1.4</v>
      </c>
      <c r="G41" s="75">
        <f>Poor!G41</f>
        <v>1</v>
      </c>
      <c r="H41" s="24">
        <f t="shared" si="30"/>
        <v>0.42</v>
      </c>
      <c r="I41" s="39">
        <f t="shared" si="31"/>
        <v>0</v>
      </c>
      <c r="J41" s="38">
        <f t="shared" si="32"/>
        <v>0</v>
      </c>
      <c r="K41" s="40">
        <f t="shared" si="33"/>
        <v>0</v>
      </c>
      <c r="L41" s="22">
        <f t="shared" si="34"/>
        <v>0</v>
      </c>
      <c r="M41" s="24">
        <f t="shared" si="35"/>
        <v>0</v>
      </c>
      <c r="N41" s="2"/>
      <c r="O41" s="2"/>
      <c r="P41" s="2"/>
      <c r="Q41" s="59"/>
      <c r="R41" s="252"/>
      <c r="S41" s="252"/>
      <c r="T41" s="253"/>
      <c r="U41" s="56"/>
      <c r="V41" s="56"/>
      <c r="W41" s="115"/>
      <c r="X41" s="118">
        <f>X11</f>
        <v>1</v>
      </c>
      <c r="Y41" s="110"/>
      <c r="Z41" s="122">
        <f>Z11</f>
        <v>1</v>
      </c>
      <c r="AA41" s="147">
        <f t="shared" si="40"/>
        <v>0</v>
      </c>
      <c r="AB41" s="122">
        <f>AB11</f>
        <v>0</v>
      </c>
      <c r="AC41" s="147">
        <f t="shared" si="41"/>
        <v>0</v>
      </c>
      <c r="AD41" s="122">
        <f>AD11</f>
        <v>0</v>
      </c>
      <c r="AE41" s="147">
        <f t="shared" si="42"/>
        <v>0</v>
      </c>
      <c r="AF41" s="122">
        <f t="shared" si="29"/>
        <v>0</v>
      </c>
      <c r="AG41" s="147">
        <f t="shared" si="36"/>
        <v>0</v>
      </c>
      <c r="AH41" s="123">
        <f t="shared" si="37"/>
        <v>1</v>
      </c>
      <c r="AI41" s="112">
        <f t="shared" si="37"/>
        <v>0</v>
      </c>
      <c r="AJ41" s="148">
        <f t="shared" si="38"/>
        <v>0</v>
      </c>
      <c r="AK41" s="147">
        <f t="shared" si="39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6" t="str">
        <f>IF(Poor!A42=0,"",Poor!A42)</f>
        <v>Beans: kg produced</v>
      </c>
      <c r="B42" s="216">
        <v>0</v>
      </c>
      <c r="C42" s="216">
        <v>0</v>
      </c>
      <c r="D42" s="38">
        <f t="shared" si="25"/>
        <v>0</v>
      </c>
      <c r="E42" s="75">
        <f>Poor!E42</f>
        <v>0.2</v>
      </c>
      <c r="F42" s="75">
        <f>Poor!F42</f>
        <v>1.4</v>
      </c>
      <c r="G42" s="75">
        <f>Poor!G42</f>
        <v>1</v>
      </c>
      <c r="H42" s="24">
        <f t="shared" si="30"/>
        <v>0.27999999999999997</v>
      </c>
      <c r="I42" s="39">
        <f t="shared" si="31"/>
        <v>0</v>
      </c>
      <c r="J42" s="38">
        <f t="shared" si="32"/>
        <v>0</v>
      </c>
      <c r="K42" s="40">
        <f t="shared" si="33"/>
        <v>0</v>
      </c>
      <c r="L42" s="22">
        <f t="shared" si="34"/>
        <v>0</v>
      </c>
      <c r="M42" s="24">
        <f t="shared" si="35"/>
        <v>0</v>
      </c>
      <c r="N42" s="2"/>
      <c r="O42" s="2"/>
      <c r="P42" s="176"/>
      <c r="Q42" s="41"/>
      <c r="R42" s="41"/>
      <c r="S42" s="254"/>
      <c r="T42" s="254"/>
      <c r="U42" s="56"/>
      <c r="V42" s="56"/>
      <c r="W42" s="115"/>
      <c r="X42" s="118">
        <v>1</v>
      </c>
      <c r="Y42" s="110"/>
      <c r="Z42" s="156">
        <f>Poor!Z42</f>
        <v>0.25</v>
      </c>
      <c r="AA42" s="147">
        <f t="shared" si="40"/>
        <v>0</v>
      </c>
      <c r="AB42" s="156">
        <f>Poor!AB42</f>
        <v>0</v>
      </c>
      <c r="AC42" s="147">
        <f t="shared" si="41"/>
        <v>0</v>
      </c>
      <c r="AD42" s="156">
        <f>Poor!AD42</f>
        <v>0.5</v>
      </c>
      <c r="AE42" s="147">
        <f t="shared" si="42"/>
        <v>0</v>
      </c>
      <c r="AF42" s="122">
        <f t="shared" si="29"/>
        <v>0.25</v>
      </c>
      <c r="AG42" s="147">
        <f t="shared" si="36"/>
        <v>0</v>
      </c>
      <c r="AH42" s="123">
        <f t="shared" si="37"/>
        <v>1</v>
      </c>
      <c r="AI42" s="112">
        <f t="shared" si="37"/>
        <v>0</v>
      </c>
      <c r="AJ42" s="148">
        <f t="shared" si="38"/>
        <v>0</v>
      </c>
      <c r="AK42" s="147">
        <f t="shared" si="39"/>
        <v>0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6" t="str">
        <f>IF(Poor!A43=0,"",Poor!A43)</f>
        <v>potatoes: kg produced</v>
      </c>
      <c r="B43" s="216">
        <v>0</v>
      </c>
      <c r="C43" s="216">
        <v>0</v>
      </c>
      <c r="D43" s="38">
        <f t="shared" si="25"/>
        <v>0</v>
      </c>
      <c r="E43" s="75">
        <f>Poor!E43</f>
        <v>0.2</v>
      </c>
      <c r="F43" s="75">
        <f>Poor!F43</f>
        <v>1.4</v>
      </c>
      <c r="G43" s="75">
        <f>Poor!G43</f>
        <v>1</v>
      </c>
      <c r="H43" s="24">
        <f t="shared" si="30"/>
        <v>0.27999999999999997</v>
      </c>
      <c r="I43" s="39">
        <f t="shared" si="31"/>
        <v>0</v>
      </c>
      <c r="J43" s="38">
        <f t="shared" si="32"/>
        <v>0</v>
      </c>
      <c r="K43" s="40">
        <f t="shared" si="33"/>
        <v>0</v>
      </c>
      <c r="L43" s="22">
        <f t="shared" si="34"/>
        <v>0</v>
      </c>
      <c r="M43" s="24">
        <f t="shared" si="35"/>
        <v>0</v>
      </c>
      <c r="N43" s="2"/>
      <c r="O43" s="2"/>
      <c r="P43" s="176"/>
      <c r="Q43" s="41"/>
      <c r="R43" s="41"/>
      <c r="S43" s="221"/>
      <c r="T43" s="221"/>
      <c r="U43" s="56"/>
      <c r="V43" s="56"/>
      <c r="W43" s="115"/>
      <c r="X43" s="118"/>
      <c r="Y43" s="110"/>
      <c r="Z43" s="156">
        <f>Poor!Z43</f>
        <v>0.25</v>
      </c>
      <c r="AA43" s="147">
        <f t="shared" si="40"/>
        <v>0</v>
      </c>
      <c r="AB43" s="156">
        <f>Poor!AB43</f>
        <v>0.25</v>
      </c>
      <c r="AC43" s="147">
        <f t="shared" si="41"/>
        <v>0</v>
      </c>
      <c r="AD43" s="156">
        <f>Poor!AD43</f>
        <v>0.25</v>
      </c>
      <c r="AE43" s="147">
        <f t="shared" si="42"/>
        <v>0</v>
      </c>
      <c r="AF43" s="122">
        <f t="shared" si="29"/>
        <v>0.25</v>
      </c>
      <c r="AG43" s="147">
        <f t="shared" si="36"/>
        <v>0</v>
      </c>
      <c r="AH43" s="123">
        <f t="shared" si="37"/>
        <v>1</v>
      </c>
      <c r="AI43" s="112">
        <f t="shared" si="37"/>
        <v>0</v>
      </c>
      <c r="AJ43" s="148">
        <f t="shared" si="38"/>
        <v>0</v>
      </c>
      <c r="AK43" s="147">
        <f t="shared" si="39"/>
        <v>0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6" t="str">
        <f>IF(Poor!A44=0,"",Poor!A44)</f>
        <v>Amadumbe: kg produced</v>
      </c>
      <c r="B44" s="216">
        <v>0</v>
      </c>
      <c r="C44" s="216">
        <v>0</v>
      </c>
      <c r="D44" s="38">
        <f t="shared" si="25"/>
        <v>0</v>
      </c>
      <c r="E44" s="75">
        <f>Poor!E44</f>
        <v>0.2</v>
      </c>
      <c r="F44" s="75">
        <f>Poor!F44</f>
        <v>1.4</v>
      </c>
      <c r="G44" s="75">
        <f>Poor!G44</f>
        <v>1</v>
      </c>
      <c r="H44" s="24">
        <f t="shared" si="30"/>
        <v>0.27999999999999997</v>
      </c>
      <c r="I44" s="39">
        <f t="shared" si="31"/>
        <v>0</v>
      </c>
      <c r="J44" s="38">
        <f t="shared" si="32"/>
        <v>0</v>
      </c>
      <c r="K44" s="40">
        <f t="shared" si="33"/>
        <v>0</v>
      </c>
      <c r="L44" s="22">
        <f t="shared" si="34"/>
        <v>0</v>
      </c>
      <c r="M44" s="24">
        <f t="shared" si="35"/>
        <v>0</v>
      </c>
      <c r="N44" s="2"/>
      <c r="O44" s="2"/>
      <c r="P44" s="2"/>
      <c r="Q44" s="255"/>
      <c r="R44" s="41"/>
      <c r="S44" s="41"/>
      <c r="T44" s="253"/>
      <c r="U44" s="56"/>
      <c r="V44" s="56"/>
      <c r="W44" s="117"/>
      <c r="X44" s="118"/>
      <c r="Y44" s="110"/>
      <c r="Z44" s="156">
        <f>Poor!Z44</f>
        <v>0.25</v>
      </c>
      <c r="AA44" s="147">
        <f t="shared" si="40"/>
        <v>0</v>
      </c>
      <c r="AB44" s="156">
        <f>Poor!AB44</f>
        <v>0.25</v>
      </c>
      <c r="AC44" s="147">
        <f t="shared" si="41"/>
        <v>0</v>
      </c>
      <c r="AD44" s="156">
        <f>Poor!AD44</f>
        <v>0.25</v>
      </c>
      <c r="AE44" s="147">
        <f t="shared" si="42"/>
        <v>0</v>
      </c>
      <c r="AF44" s="122">
        <f t="shared" si="29"/>
        <v>0.25</v>
      </c>
      <c r="AG44" s="147">
        <f t="shared" si="36"/>
        <v>0</v>
      </c>
      <c r="AH44" s="123">
        <f t="shared" si="37"/>
        <v>1</v>
      </c>
      <c r="AI44" s="112">
        <f t="shared" si="37"/>
        <v>0</v>
      </c>
      <c r="AJ44" s="148">
        <f t="shared" si="38"/>
        <v>0</v>
      </c>
      <c r="AK44" s="147">
        <f t="shared" si="39"/>
        <v>0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6" t="str">
        <f>IF(Poor!A45=0,"",Poor!A45)</f>
        <v>Sweet Potatoes: kg produced</v>
      </c>
      <c r="B45" s="216">
        <v>0</v>
      </c>
      <c r="C45" s="216">
        <v>0</v>
      </c>
      <c r="D45" s="38">
        <f t="shared" si="25"/>
        <v>0</v>
      </c>
      <c r="E45" s="75">
        <f>Poor!E45</f>
        <v>0.2</v>
      </c>
      <c r="F45" s="75">
        <f>Poor!F45</f>
        <v>1.4</v>
      </c>
      <c r="G45" s="75">
        <f>Poor!G45</f>
        <v>1</v>
      </c>
      <c r="H45" s="24">
        <f t="shared" si="30"/>
        <v>0.27999999999999997</v>
      </c>
      <c r="I45" s="39">
        <f t="shared" si="31"/>
        <v>0</v>
      </c>
      <c r="J45" s="38">
        <f t="shared" si="32"/>
        <v>0</v>
      </c>
      <c r="K45" s="40">
        <f t="shared" si="33"/>
        <v>0</v>
      </c>
      <c r="L45" s="22">
        <f t="shared" si="34"/>
        <v>0</v>
      </c>
      <c r="M45" s="24">
        <f t="shared" si="35"/>
        <v>0</v>
      </c>
      <c r="N45" s="2"/>
      <c r="O45" s="2"/>
      <c r="P45" s="2"/>
      <c r="Q45" s="255"/>
      <c r="S45" s="41"/>
      <c r="U45" s="56"/>
      <c r="V45" s="56"/>
      <c r="W45" s="110"/>
      <c r="X45" s="118"/>
      <c r="Y45" s="110"/>
      <c r="Z45" s="156">
        <f>Poor!Z45</f>
        <v>0.25</v>
      </c>
      <c r="AA45" s="147">
        <f t="shared" si="40"/>
        <v>0</v>
      </c>
      <c r="AB45" s="156">
        <f>Poor!AB45</f>
        <v>0.25</v>
      </c>
      <c r="AC45" s="147">
        <f t="shared" si="41"/>
        <v>0</v>
      </c>
      <c r="AD45" s="156">
        <f>Poor!AD45</f>
        <v>0.25</v>
      </c>
      <c r="AE45" s="147">
        <f t="shared" si="42"/>
        <v>0</v>
      </c>
      <c r="AF45" s="122">
        <f t="shared" si="29"/>
        <v>0.25</v>
      </c>
      <c r="AG45" s="147">
        <f t="shared" si="36"/>
        <v>0</v>
      </c>
      <c r="AH45" s="123">
        <f t="shared" si="37"/>
        <v>1</v>
      </c>
      <c r="AI45" s="112">
        <f t="shared" si="37"/>
        <v>0</v>
      </c>
      <c r="AJ45" s="148">
        <f t="shared" si="38"/>
        <v>0</v>
      </c>
      <c r="AK45" s="147">
        <f t="shared" si="39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6" t="str">
        <f>IF(Poor!A46=0,"",Poor!A46)</f>
        <v>Other crop: Cabbage</v>
      </c>
      <c r="B46" s="216">
        <v>0</v>
      </c>
      <c r="C46" s="216">
        <v>0</v>
      </c>
      <c r="D46" s="38">
        <f t="shared" si="25"/>
        <v>0</v>
      </c>
      <c r="E46" s="75">
        <f>Poor!E46</f>
        <v>0.2</v>
      </c>
      <c r="F46" s="75">
        <f>Poor!F46</f>
        <v>1.4</v>
      </c>
      <c r="G46" s="75">
        <f>Poor!G46</f>
        <v>1</v>
      </c>
      <c r="H46" s="24">
        <f t="shared" si="30"/>
        <v>0.27999999999999997</v>
      </c>
      <c r="I46" s="39">
        <f t="shared" si="31"/>
        <v>0</v>
      </c>
      <c r="J46" s="38">
        <f t="shared" si="32"/>
        <v>0</v>
      </c>
      <c r="K46" s="40">
        <f t="shared" si="33"/>
        <v>0</v>
      </c>
      <c r="L46" s="22">
        <f t="shared" si="34"/>
        <v>0</v>
      </c>
      <c r="M46" s="24">
        <f t="shared" si="35"/>
        <v>0</v>
      </c>
      <c r="N46" s="2"/>
      <c r="O46" s="2"/>
      <c r="P46" s="2"/>
      <c r="Q46" s="255"/>
      <c r="S46" s="41"/>
      <c r="U46" s="56"/>
      <c r="V46" s="56"/>
      <c r="W46" s="110"/>
      <c r="X46" s="118"/>
      <c r="Y46" s="110"/>
      <c r="Z46" s="156">
        <f>Poor!Z46</f>
        <v>0.25</v>
      </c>
      <c r="AA46" s="147">
        <f t="shared" si="40"/>
        <v>0</v>
      </c>
      <c r="AB46" s="156">
        <f>Poor!AB46</f>
        <v>0.25</v>
      </c>
      <c r="AC46" s="147">
        <f t="shared" si="41"/>
        <v>0</v>
      </c>
      <c r="AD46" s="156">
        <f>Poor!AD46</f>
        <v>0.25</v>
      </c>
      <c r="AE46" s="147">
        <f t="shared" si="42"/>
        <v>0</v>
      </c>
      <c r="AF46" s="122">
        <f t="shared" si="29"/>
        <v>0.25</v>
      </c>
      <c r="AG46" s="147">
        <f t="shared" si="36"/>
        <v>0</v>
      </c>
      <c r="AH46" s="123">
        <f t="shared" si="37"/>
        <v>1</v>
      </c>
      <c r="AI46" s="112">
        <f t="shared" si="37"/>
        <v>0</v>
      </c>
      <c r="AJ46" s="148">
        <f t="shared" si="38"/>
        <v>0</v>
      </c>
      <c r="AK46" s="147">
        <f t="shared" si="39"/>
        <v>0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6" t="str">
        <f>IF(Poor!A47=0,"",Poor!A47)</f>
        <v>beetroot: no. local meas</v>
      </c>
      <c r="B47" s="216">
        <v>0</v>
      </c>
      <c r="C47" s="216">
        <v>0</v>
      </c>
      <c r="D47" s="38">
        <f t="shared" si="25"/>
        <v>0</v>
      </c>
      <c r="E47" s="75">
        <f>Poor!E47</f>
        <v>0.2</v>
      </c>
      <c r="F47" s="75">
        <f>Poor!F47</f>
        <v>1.4</v>
      </c>
      <c r="G47" s="75">
        <f>Poor!G47</f>
        <v>1</v>
      </c>
      <c r="H47" s="24">
        <f t="shared" si="30"/>
        <v>0.27999999999999997</v>
      </c>
      <c r="I47" s="39">
        <f t="shared" si="31"/>
        <v>0</v>
      </c>
      <c r="J47" s="38">
        <f t="shared" si="32"/>
        <v>0</v>
      </c>
      <c r="K47" s="40">
        <f t="shared" si="33"/>
        <v>0</v>
      </c>
      <c r="L47" s="22">
        <f t="shared" si="34"/>
        <v>0</v>
      </c>
      <c r="M47" s="24">
        <f t="shared" si="35"/>
        <v>0</v>
      </c>
      <c r="N47" s="2"/>
      <c r="O47" s="2"/>
      <c r="P47" s="2"/>
      <c r="R47" s="243"/>
      <c r="U47" s="56"/>
      <c r="V47" s="56"/>
      <c r="W47" s="110"/>
      <c r="X47" s="118"/>
      <c r="Y47" s="110"/>
      <c r="Z47" s="156">
        <f>Poor!Z47</f>
        <v>0.25</v>
      </c>
      <c r="AA47" s="147">
        <f t="shared" si="40"/>
        <v>0</v>
      </c>
      <c r="AB47" s="156">
        <f>Poor!AB47</f>
        <v>0.25</v>
      </c>
      <c r="AC47" s="147">
        <f t="shared" si="41"/>
        <v>0</v>
      </c>
      <c r="AD47" s="156">
        <f>Poor!AD47</f>
        <v>0.25</v>
      </c>
      <c r="AE47" s="147">
        <f t="shared" si="42"/>
        <v>0</v>
      </c>
      <c r="AF47" s="122">
        <f t="shared" si="29"/>
        <v>0.25</v>
      </c>
      <c r="AG47" s="147">
        <f t="shared" si="36"/>
        <v>0</v>
      </c>
      <c r="AH47" s="123">
        <f t="shared" si="37"/>
        <v>1</v>
      </c>
      <c r="AI47" s="112">
        <f t="shared" si="37"/>
        <v>0</v>
      </c>
      <c r="AJ47" s="148">
        <f t="shared" si="38"/>
        <v>0</v>
      </c>
      <c r="AK47" s="147">
        <f t="shared" si="39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6" t="str">
        <f>IF(Poor!A48=0,"",Poor!A48)</f>
        <v>Spinach: no produced</v>
      </c>
      <c r="B48" s="216">
        <v>21</v>
      </c>
      <c r="C48" s="216">
        <v>-5</v>
      </c>
      <c r="D48" s="38">
        <f t="shared" si="25"/>
        <v>16</v>
      </c>
      <c r="E48" s="75">
        <f>Poor!E48</f>
        <v>0.2</v>
      </c>
      <c r="F48" s="75">
        <f>Poor!F48</f>
        <v>1.4</v>
      </c>
      <c r="G48" s="75">
        <f>Poor!G48</f>
        <v>1</v>
      </c>
      <c r="H48" s="24">
        <f t="shared" si="30"/>
        <v>0.27999999999999997</v>
      </c>
      <c r="I48" s="39">
        <f t="shared" si="31"/>
        <v>4.4799999999999995</v>
      </c>
      <c r="J48" s="38">
        <f t="shared" si="32"/>
        <v>4.4799999999999995</v>
      </c>
      <c r="K48" s="40">
        <f t="shared" si="33"/>
        <v>6.7126965861143075E-4</v>
      </c>
      <c r="L48" s="22">
        <f t="shared" si="34"/>
        <v>1.8795550441120059E-4</v>
      </c>
      <c r="M48" s="24">
        <f t="shared" si="35"/>
        <v>1.4320419383710521E-4</v>
      </c>
      <c r="N48" s="2"/>
      <c r="O48" s="2"/>
      <c r="P48" s="2"/>
      <c r="Q48" s="255"/>
      <c r="R48" s="252"/>
      <c r="S48" s="41"/>
      <c r="T48" s="29"/>
      <c r="U48" s="56"/>
      <c r="V48" s="56"/>
      <c r="W48" s="110"/>
      <c r="X48" s="118"/>
      <c r="Y48" s="110"/>
      <c r="Z48" s="156">
        <f>Poor!Z48</f>
        <v>0.25</v>
      </c>
      <c r="AA48" s="147">
        <f t="shared" si="40"/>
        <v>1.1199999999999999</v>
      </c>
      <c r="AB48" s="156">
        <f>Poor!AB48</f>
        <v>0.25</v>
      </c>
      <c r="AC48" s="147">
        <f t="shared" si="41"/>
        <v>1.1199999999999999</v>
      </c>
      <c r="AD48" s="156">
        <f>Poor!AD48</f>
        <v>0.25</v>
      </c>
      <c r="AE48" s="147">
        <f t="shared" si="42"/>
        <v>1.1199999999999999</v>
      </c>
      <c r="AF48" s="122">
        <f t="shared" si="29"/>
        <v>0.25</v>
      </c>
      <c r="AG48" s="147">
        <f t="shared" si="36"/>
        <v>1.1199999999999999</v>
      </c>
      <c r="AH48" s="123">
        <f t="shared" si="37"/>
        <v>1</v>
      </c>
      <c r="AI48" s="112">
        <f t="shared" si="37"/>
        <v>4.4799999999999995</v>
      </c>
      <c r="AJ48" s="148">
        <f t="shared" si="38"/>
        <v>2.2399999999999998</v>
      </c>
      <c r="AK48" s="147">
        <f t="shared" si="39"/>
        <v>2.2399999999999998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6" t="str">
        <f>IF(Poor!A49=0,"",Poor!A49)</f>
        <v>Other crop: pumpkin</v>
      </c>
      <c r="B49" s="216">
        <v>0</v>
      </c>
      <c r="C49" s="216">
        <v>0</v>
      </c>
      <c r="D49" s="38">
        <f t="shared" si="25"/>
        <v>0</v>
      </c>
      <c r="E49" s="75">
        <f>Poor!E49</f>
        <v>0.2</v>
      </c>
      <c r="F49" s="75">
        <f>Poor!F49</f>
        <v>1.4</v>
      </c>
      <c r="G49" s="75">
        <f>Poor!G49</f>
        <v>1</v>
      </c>
      <c r="H49" s="24">
        <f t="shared" si="30"/>
        <v>0.27999999999999997</v>
      </c>
      <c r="I49" s="39">
        <f t="shared" si="31"/>
        <v>0</v>
      </c>
      <c r="J49" s="38">
        <f t="shared" si="32"/>
        <v>0</v>
      </c>
      <c r="K49" s="40">
        <f t="shared" si="33"/>
        <v>0</v>
      </c>
      <c r="L49" s="22">
        <f t="shared" si="34"/>
        <v>0</v>
      </c>
      <c r="M49" s="24">
        <f t="shared" si="35"/>
        <v>0</v>
      </c>
      <c r="N49" s="2"/>
      <c r="O49" s="2"/>
      <c r="P49" s="2"/>
      <c r="V49" s="56"/>
      <c r="W49" s="110"/>
      <c r="X49" s="118"/>
      <c r="Y49" s="110"/>
      <c r="Z49" s="156">
        <f>Poor!Z49</f>
        <v>0.25</v>
      </c>
      <c r="AA49" s="147">
        <f t="shared" si="40"/>
        <v>0</v>
      </c>
      <c r="AB49" s="156">
        <f>Poor!AB49</f>
        <v>0.25</v>
      </c>
      <c r="AC49" s="147">
        <f t="shared" si="41"/>
        <v>0</v>
      </c>
      <c r="AD49" s="156">
        <f>Poor!AD49</f>
        <v>0.25</v>
      </c>
      <c r="AE49" s="147">
        <f t="shared" si="42"/>
        <v>0</v>
      </c>
      <c r="AF49" s="122">
        <f t="shared" si="29"/>
        <v>0.25</v>
      </c>
      <c r="AG49" s="147">
        <f t="shared" si="36"/>
        <v>0</v>
      </c>
      <c r="AH49" s="123">
        <f t="shared" si="37"/>
        <v>1</v>
      </c>
      <c r="AI49" s="112">
        <f t="shared" si="37"/>
        <v>0</v>
      </c>
      <c r="AJ49" s="148">
        <f t="shared" si="38"/>
        <v>0</v>
      </c>
      <c r="AK49" s="147">
        <f t="shared" si="39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6" t="str">
        <f>IF(Poor!A50=0,"",Poor!A50)</f>
        <v>Other cashcrop: sugar cane (tons)</v>
      </c>
      <c r="B50" s="216">
        <v>0</v>
      </c>
      <c r="C50" s="216">
        <v>0</v>
      </c>
      <c r="D50" s="38">
        <f t="shared" si="25"/>
        <v>0</v>
      </c>
      <c r="E50" s="75">
        <f>Poor!E50</f>
        <v>0.2</v>
      </c>
      <c r="F50" s="75">
        <f>Poor!F50</f>
        <v>1.4</v>
      </c>
      <c r="G50" s="75">
        <f>Poor!G50</f>
        <v>1</v>
      </c>
      <c r="H50" s="24">
        <f t="shared" si="30"/>
        <v>0.27999999999999997</v>
      </c>
      <c r="I50" s="39">
        <f t="shared" si="31"/>
        <v>0</v>
      </c>
      <c r="J50" s="38">
        <f t="shared" si="32"/>
        <v>0</v>
      </c>
      <c r="K50" s="40">
        <f t="shared" si="33"/>
        <v>0</v>
      </c>
      <c r="L50" s="22">
        <f t="shared" si="34"/>
        <v>0</v>
      </c>
      <c r="M50" s="24">
        <f t="shared" si="35"/>
        <v>0</v>
      </c>
      <c r="N50" s="2"/>
      <c r="O50" s="2"/>
      <c r="P50" s="2"/>
      <c r="V50" s="56"/>
      <c r="W50" s="110"/>
      <c r="X50" s="118"/>
      <c r="Y50" s="110"/>
      <c r="Z50" s="156">
        <f>Poor!Z55</f>
        <v>0.25</v>
      </c>
      <c r="AA50" s="147">
        <f t="shared" si="40"/>
        <v>0</v>
      </c>
      <c r="AB50" s="156">
        <f>Poor!AB55</f>
        <v>0.25</v>
      </c>
      <c r="AC50" s="147">
        <f t="shared" si="41"/>
        <v>0</v>
      </c>
      <c r="AD50" s="156">
        <f>Poor!AD55</f>
        <v>0.25</v>
      </c>
      <c r="AE50" s="147">
        <f t="shared" si="42"/>
        <v>0</v>
      </c>
      <c r="AF50" s="122">
        <f t="shared" si="29"/>
        <v>0.25</v>
      </c>
      <c r="AG50" s="147">
        <f t="shared" si="36"/>
        <v>0</v>
      </c>
      <c r="AH50" s="123">
        <f t="shared" si="37"/>
        <v>1</v>
      </c>
      <c r="AI50" s="112">
        <f t="shared" si="37"/>
        <v>0</v>
      </c>
      <c r="AJ50" s="148">
        <f t="shared" si="38"/>
        <v>0</v>
      </c>
      <c r="AK50" s="147">
        <f t="shared" si="39"/>
        <v>0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6" t="str">
        <f>IF(Poor!A51=0,"",Poor!A51)</f>
        <v>Agricultural cash income -- see Data2</v>
      </c>
      <c r="B51" s="216">
        <v>1026.6666666666667</v>
      </c>
      <c r="C51" s="216">
        <v>0</v>
      </c>
      <c r="D51" s="38">
        <f t="shared" si="25"/>
        <v>1026.6666666666667</v>
      </c>
      <c r="E51" s="75">
        <f>Poor!E51</f>
        <v>0.5</v>
      </c>
      <c r="F51" s="75">
        <f>Poor!F51</f>
        <v>1.1100000000000001</v>
      </c>
      <c r="G51" s="75">
        <f>Poor!G51</f>
        <v>1</v>
      </c>
      <c r="H51" s="24">
        <f t="shared" si="30"/>
        <v>0.55500000000000005</v>
      </c>
      <c r="I51" s="39">
        <f t="shared" si="31"/>
        <v>569.80000000000007</v>
      </c>
      <c r="J51" s="38">
        <f t="shared" si="32"/>
        <v>569.80000000000018</v>
      </c>
      <c r="K51" s="40">
        <f t="shared" si="33"/>
        <v>3.2817627754336616E-2</v>
      </c>
      <c r="L51" s="22">
        <f t="shared" si="34"/>
        <v>1.8213783403656824E-2</v>
      </c>
      <c r="M51" s="24">
        <f t="shared" si="35"/>
        <v>1.8213783403656827E-2</v>
      </c>
      <c r="N51" s="2"/>
      <c r="O51" s="2"/>
      <c r="P51" s="2"/>
      <c r="V51" s="56"/>
      <c r="W51" s="110"/>
      <c r="X51" s="118"/>
      <c r="Y51" s="110"/>
      <c r="Z51" s="156">
        <f>Poor!Z56</f>
        <v>0.25</v>
      </c>
      <c r="AA51" s="147">
        <f t="shared" si="40"/>
        <v>142.45000000000005</v>
      </c>
      <c r="AB51" s="156">
        <f>Poor!AB56</f>
        <v>0.25</v>
      </c>
      <c r="AC51" s="147">
        <f t="shared" si="41"/>
        <v>142.45000000000005</v>
      </c>
      <c r="AD51" s="156">
        <f>Poor!AD56</f>
        <v>0.25</v>
      </c>
      <c r="AE51" s="147">
        <f t="shared" si="42"/>
        <v>142.45000000000005</v>
      </c>
      <c r="AF51" s="122">
        <f t="shared" si="29"/>
        <v>0.25</v>
      </c>
      <c r="AG51" s="147">
        <f t="shared" si="36"/>
        <v>142.45000000000005</v>
      </c>
      <c r="AH51" s="123">
        <f t="shared" si="37"/>
        <v>1</v>
      </c>
      <c r="AI51" s="112">
        <f t="shared" si="37"/>
        <v>569.80000000000018</v>
      </c>
      <c r="AJ51" s="148">
        <f t="shared" si="38"/>
        <v>284.90000000000009</v>
      </c>
      <c r="AK51" s="147">
        <f t="shared" si="39"/>
        <v>284.90000000000009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6" t="str">
        <f>IF(Poor!A52=0,"",Poor!A52)</f>
        <v>Construction cash income -- see Data2</v>
      </c>
      <c r="B52" s="216">
        <v>313.33333333333331</v>
      </c>
      <c r="C52" s="216">
        <v>0</v>
      </c>
      <c r="D52" s="38">
        <f t="shared" si="25"/>
        <v>313.33333333333331</v>
      </c>
      <c r="E52" s="75">
        <f>Poor!E52</f>
        <v>0.5</v>
      </c>
      <c r="F52" s="75">
        <f>Poor!F52</f>
        <v>1.1100000000000001</v>
      </c>
      <c r="G52" s="75">
        <f>Poor!G52</f>
        <v>1</v>
      </c>
      <c r="H52" s="24">
        <f t="shared" si="30"/>
        <v>0.55500000000000005</v>
      </c>
      <c r="I52" s="39">
        <f t="shared" si="31"/>
        <v>173.9</v>
      </c>
      <c r="J52" s="38">
        <f t="shared" si="32"/>
        <v>173.9</v>
      </c>
      <c r="K52" s="40">
        <f t="shared" si="33"/>
        <v>1.0015769509440395E-2</v>
      </c>
      <c r="L52" s="22">
        <f t="shared" si="34"/>
        <v>5.5587520777394201E-3</v>
      </c>
      <c r="M52" s="24">
        <f t="shared" si="35"/>
        <v>5.5587520777394201E-3</v>
      </c>
      <c r="N52" s="2"/>
      <c r="O52" s="2"/>
      <c r="P52" s="2"/>
      <c r="Q52" s="2"/>
      <c r="R52" s="218"/>
      <c r="S52" s="68"/>
      <c r="T52" s="2"/>
      <c r="U52" s="56"/>
      <c r="V52" s="56"/>
      <c r="W52" s="110"/>
      <c r="X52" s="118"/>
      <c r="Y52" s="110"/>
      <c r="Z52" s="156">
        <f>Poor!Z57</f>
        <v>0.25</v>
      </c>
      <c r="AA52" s="147">
        <f t="shared" si="40"/>
        <v>43.475000000000001</v>
      </c>
      <c r="AB52" s="156">
        <f>Poor!AB57</f>
        <v>0.25</v>
      </c>
      <c r="AC52" s="147">
        <f t="shared" si="41"/>
        <v>43.475000000000001</v>
      </c>
      <c r="AD52" s="156">
        <f>Poor!AD57</f>
        <v>0.25</v>
      </c>
      <c r="AE52" s="147">
        <f t="shared" si="42"/>
        <v>43.475000000000001</v>
      </c>
      <c r="AF52" s="122">
        <f t="shared" si="29"/>
        <v>0.25</v>
      </c>
      <c r="AG52" s="147">
        <f t="shared" si="36"/>
        <v>43.475000000000001</v>
      </c>
      <c r="AH52" s="123">
        <f t="shared" si="37"/>
        <v>1</v>
      </c>
      <c r="AI52" s="112">
        <f t="shared" si="37"/>
        <v>173.9</v>
      </c>
      <c r="AJ52" s="148">
        <f t="shared" si="38"/>
        <v>86.95</v>
      </c>
      <c r="AK52" s="147">
        <f t="shared" si="39"/>
        <v>86.95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6" t="str">
        <f>IF(Poor!A53=0,"",Poor!A53)</f>
        <v>Domestic work cash income -- see Data2</v>
      </c>
      <c r="B53" s="216">
        <v>2920</v>
      </c>
      <c r="C53" s="216">
        <v>0</v>
      </c>
      <c r="D53" s="38">
        <f t="shared" si="25"/>
        <v>2920</v>
      </c>
      <c r="E53" s="75">
        <f>Poor!E53</f>
        <v>0.5</v>
      </c>
      <c r="F53" s="75">
        <f>Poor!F53</f>
        <v>1.1100000000000001</v>
      </c>
      <c r="G53" s="75">
        <f>Poor!G53</f>
        <v>1</v>
      </c>
      <c r="H53" s="24">
        <f t="shared" si="30"/>
        <v>0.55500000000000005</v>
      </c>
      <c r="I53" s="39">
        <f t="shared" si="31"/>
        <v>1620.6000000000001</v>
      </c>
      <c r="J53" s="38">
        <f t="shared" si="32"/>
        <v>1620.6000000000001</v>
      </c>
      <c r="K53" s="40">
        <f t="shared" si="33"/>
        <v>9.333844776882752E-2</v>
      </c>
      <c r="L53" s="22">
        <f t="shared" si="34"/>
        <v>5.1802838511699277E-2</v>
      </c>
      <c r="M53" s="24">
        <f t="shared" si="35"/>
        <v>5.1802838511699277E-2</v>
      </c>
      <c r="N53" s="2"/>
      <c r="O53" s="2"/>
      <c r="P53" s="2"/>
      <c r="Q53" s="2"/>
      <c r="R53" s="218"/>
      <c r="S53" s="68"/>
      <c r="T53" s="2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6" t="str">
        <f>IF(Poor!A54=0,"",Poor!A54)</f>
        <v>Formal Employment (conservancies, etc.)</v>
      </c>
      <c r="B54" s="216">
        <v>0</v>
      </c>
      <c r="C54" s="216">
        <v>0</v>
      </c>
      <c r="D54" s="38">
        <f t="shared" si="25"/>
        <v>0</v>
      </c>
      <c r="E54" s="75">
        <f>Poor!E54</f>
        <v>0.4</v>
      </c>
      <c r="F54" s="75">
        <f>Poor!F54</f>
        <v>1.18</v>
      </c>
      <c r="G54" s="75">
        <f>Poor!G54</f>
        <v>1</v>
      </c>
      <c r="H54" s="24">
        <f t="shared" si="30"/>
        <v>0.47199999999999998</v>
      </c>
      <c r="I54" s="39">
        <f t="shared" si="31"/>
        <v>0</v>
      </c>
      <c r="J54" s="38">
        <f t="shared" si="32"/>
        <v>0</v>
      </c>
      <c r="K54" s="40">
        <f t="shared" si="33"/>
        <v>0</v>
      </c>
      <c r="L54" s="22">
        <f t="shared" si="34"/>
        <v>0</v>
      </c>
      <c r="M54" s="24">
        <f t="shared" si="35"/>
        <v>0</v>
      </c>
      <c r="N54" s="2"/>
      <c r="O54" s="2"/>
      <c r="P54" s="2"/>
      <c r="Q54" s="2"/>
      <c r="R54" s="218"/>
      <c r="S54" s="68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6" t="str">
        <f>IF(Poor!A55=0,"",Poor!A55)</f>
        <v>Labour migration(formal employment): no. people per HH</v>
      </c>
      <c r="B55" s="216">
        <v>0</v>
      </c>
      <c r="C55" s="216">
        <v>0</v>
      </c>
      <c r="D55" s="38">
        <f t="shared" si="25"/>
        <v>0</v>
      </c>
      <c r="E55" s="75">
        <f>Poor!E55</f>
        <v>0.4</v>
      </c>
      <c r="F55" s="75">
        <f>Poor!F55</f>
        <v>1.18</v>
      </c>
      <c r="G55" s="75">
        <f>Poor!G55</f>
        <v>1</v>
      </c>
      <c r="H55" s="24">
        <f t="shared" si="30"/>
        <v>0.47199999999999998</v>
      </c>
      <c r="I55" s="39">
        <f t="shared" si="31"/>
        <v>0</v>
      </c>
      <c r="J55" s="38">
        <f t="shared" si="32"/>
        <v>0</v>
      </c>
      <c r="K55" s="40">
        <f t="shared" si="33"/>
        <v>0</v>
      </c>
      <c r="L55" s="22">
        <f t="shared" si="34"/>
        <v>0</v>
      </c>
      <c r="M55" s="24">
        <f t="shared" si="35"/>
        <v>0</v>
      </c>
      <c r="N55" s="2"/>
      <c r="O55" s="2"/>
      <c r="P55" s="2"/>
      <c r="Q55" s="2"/>
      <c r="R55" s="218"/>
      <c r="S55" s="68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6" t="str">
        <f>IF(Poor!A56=0,"",Poor!A56)</f>
        <v>Small business -- see Data2</v>
      </c>
      <c r="B56" s="216">
        <v>1280</v>
      </c>
      <c r="C56" s="216">
        <v>0</v>
      </c>
      <c r="D56" s="38">
        <f t="shared" si="25"/>
        <v>1280</v>
      </c>
      <c r="E56" s="75">
        <f>Poor!E56</f>
        <v>0.8</v>
      </c>
      <c r="F56" s="75">
        <f>Poor!F56</f>
        <v>1.18</v>
      </c>
      <c r="G56" s="75">
        <f>Poor!G56</f>
        <v>1</v>
      </c>
      <c r="H56" s="24">
        <f t="shared" si="30"/>
        <v>0.94399999999999995</v>
      </c>
      <c r="I56" s="39">
        <f t="shared" si="31"/>
        <v>1208.32</v>
      </c>
      <c r="J56" s="38">
        <f t="shared" si="32"/>
        <v>1208.3199999999997</v>
      </c>
      <c r="K56" s="40">
        <f t="shared" si="33"/>
        <v>4.0915483953458634E-2</v>
      </c>
      <c r="L56" s="22">
        <f t="shared" si="34"/>
        <v>3.8624216852064949E-2</v>
      </c>
      <c r="M56" s="24">
        <f t="shared" si="35"/>
        <v>3.8624216852064942E-2</v>
      </c>
      <c r="N56" s="2"/>
      <c r="O56" s="2"/>
      <c r="P56" s="2"/>
      <c r="Q56" s="2"/>
      <c r="R56" s="218"/>
      <c r="S56" s="68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6" t="str">
        <f>IF(Poor!A57=0,"",Poor!A57)</f>
        <v>Social development -- see Data2</v>
      </c>
      <c r="B57" s="216">
        <v>19168</v>
      </c>
      <c r="C57" s="216">
        <v>0</v>
      </c>
      <c r="D57" s="38">
        <f t="shared" si="25"/>
        <v>19168</v>
      </c>
      <c r="E57" s="75">
        <f>Poor!E57</f>
        <v>1</v>
      </c>
      <c r="F57" s="75">
        <f>Poor!F57</f>
        <v>1.18</v>
      </c>
      <c r="G57" s="75">
        <f>Poor!G57</f>
        <v>1</v>
      </c>
      <c r="H57" s="24">
        <f t="shared" si="30"/>
        <v>1.18</v>
      </c>
      <c r="I57" s="39">
        <f t="shared" si="31"/>
        <v>22618.239999999998</v>
      </c>
      <c r="J57" s="38">
        <f t="shared" si="32"/>
        <v>22618.239999999998</v>
      </c>
      <c r="K57" s="40">
        <f t="shared" si="33"/>
        <v>0.61270937220304311</v>
      </c>
      <c r="L57" s="22">
        <f t="shared" si="34"/>
        <v>0.72299705919959079</v>
      </c>
      <c r="M57" s="24">
        <f t="shared" si="35"/>
        <v>0.72299705919959079</v>
      </c>
      <c r="N57" s="2"/>
      <c r="O57" s="2"/>
      <c r="P57" s="2"/>
      <c r="Q57" s="2"/>
      <c r="R57" s="218"/>
      <c r="S57" s="68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6" t="str">
        <f>IF(Poor!A58=0,"",Poor!A58)</f>
        <v>Public works -- see Data2</v>
      </c>
      <c r="B58" s="216">
        <v>4080</v>
      </c>
      <c r="C58" s="216">
        <v>0</v>
      </c>
      <c r="D58" s="38">
        <f t="shared" si="25"/>
        <v>4080</v>
      </c>
      <c r="E58" s="75">
        <f>Poor!E58</f>
        <v>1</v>
      </c>
      <c r="F58" s="75">
        <f>Poor!F58</f>
        <v>1.18</v>
      </c>
      <c r="G58" s="75">
        <f>Poor!G58</f>
        <v>1</v>
      </c>
      <c r="H58" s="24">
        <f t="shared" si="30"/>
        <v>1.18</v>
      </c>
      <c r="I58" s="39">
        <f t="shared" si="31"/>
        <v>4814.3999999999996</v>
      </c>
      <c r="J58" s="38">
        <f t="shared" si="32"/>
        <v>4814.3999999999996</v>
      </c>
      <c r="K58" s="40">
        <f t="shared" si="33"/>
        <v>0.13041810510164942</v>
      </c>
      <c r="L58" s="22">
        <f t="shared" si="34"/>
        <v>0.1538933640199463</v>
      </c>
      <c r="M58" s="24">
        <f t="shared" si="35"/>
        <v>0.1538933640199463</v>
      </c>
      <c r="N58" s="2"/>
      <c r="O58" s="2"/>
      <c r="P58" s="2"/>
      <c r="Q58" s="2"/>
      <c r="R58" s="218"/>
      <c r="S58" s="68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40"/>
        <v>1203.5999999999999</v>
      </c>
      <c r="AB58" s="156">
        <f>Poor!AB58</f>
        <v>0.25</v>
      </c>
      <c r="AC58" s="147">
        <f t="shared" si="41"/>
        <v>1203.5999999999999</v>
      </c>
      <c r="AD58" s="156">
        <f>Poor!AD58</f>
        <v>0.25</v>
      </c>
      <c r="AE58" s="147">
        <f t="shared" si="42"/>
        <v>1203.5999999999999</v>
      </c>
      <c r="AF58" s="122">
        <f t="shared" si="29"/>
        <v>0.25</v>
      </c>
      <c r="AG58" s="147">
        <f t="shared" si="36"/>
        <v>1203.5999999999999</v>
      </c>
      <c r="AH58" s="123">
        <f t="shared" si="37"/>
        <v>1</v>
      </c>
      <c r="AI58" s="112">
        <f t="shared" si="37"/>
        <v>4814.3999999999996</v>
      </c>
      <c r="AJ58" s="148">
        <f t="shared" si="38"/>
        <v>2407.1999999999998</v>
      </c>
      <c r="AK58" s="147">
        <f t="shared" si="39"/>
        <v>2407.1999999999998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6" t="str">
        <f>IF(Poor!A59=0,"",Poor!A59)</f>
        <v>Gifts/social support: type (Child support, Pension and Foster Care)</v>
      </c>
      <c r="B59" s="216">
        <v>0</v>
      </c>
      <c r="C59" s="216">
        <v>0</v>
      </c>
      <c r="D59" s="38">
        <f t="shared" si="25"/>
        <v>0</v>
      </c>
      <c r="E59" s="75">
        <f>Poor!E59</f>
        <v>1</v>
      </c>
      <c r="F59" s="75">
        <f>Poor!F59</f>
        <v>1.1100000000000001</v>
      </c>
      <c r="G59" s="75">
        <f>Poor!G59</f>
        <v>1</v>
      </c>
      <c r="H59" s="24">
        <f t="shared" si="30"/>
        <v>1.1100000000000001</v>
      </c>
      <c r="I59" s="39">
        <f t="shared" si="31"/>
        <v>0</v>
      </c>
      <c r="J59" s="38">
        <f t="shared" si="32"/>
        <v>0</v>
      </c>
      <c r="K59" s="40">
        <f t="shared" si="33"/>
        <v>0</v>
      </c>
      <c r="L59" s="22">
        <f t="shared" si="34"/>
        <v>0</v>
      </c>
      <c r="M59" s="24">
        <f t="shared" si="35"/>
        <v>0</v>
      </c>
      <c r="N59" s="2"/>
      <c r="O59" s="2"/>
      <c r="P59" s="2"/>
      <c r="Q59" s="2"/>
      <c r="R59" s="218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40"/>
        <v>0</v>
      </c>
      <c r="AB59" s="156">
        <f>Poor!AB59</f>
        <v>0.25</v>
      </c>
      <c r="AC59" s="147">
        <f t="shared" si="41"/>
        <v>0</v>
      </c>
      <c r="AD59" s="156">
        <f>Poor!AD59</f>
        <v>0.25</v>
      </c>
      <c r="AE59" s="147">
        <f t="shared" si="42"/>
        <v>0</v>
      </c>
      <c r="AF59" s="122">
        <f t="shared" si="29"/>
        <v>0.25</v>
      </c>
      <c r="AG59" s="147">
        <f t="shared" si="36"/>
        <v>0</v>
      </c>
      <c r="AH59" s="123">
        <f t="shared" ref="AH59:AI64" si="43">SUM(Z59,AB59,AD59,AF59)</f>
        <v>1</v>
      </c>
      <c r="AI59" s="112">
        <f t="shared" si="43"/>
        <v>0</v>
      </c>
      <c r="AJ59" s="148">
        <f t="shared" si="38"/>
        <v>0</v>
      </c>
      <c r="AK59" s="147">
        <f t="shared" si="39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6" t="str">
        <f>IF(Poor!A60=0,"",Poor!A60)</f>
        <v>Other income: e.g. Credit (cotton loans)</v>
      </c>
      <c r="B60" s="216">
        <v>0</v>
      </c>
      <c r="C60" s="216">
        <v>0</v>
      </c>
      <c r="D60" s="38">
        <f t="shared" si="25"/>
        <v>0</v>
      </c>
      <c r="E60" s="75">
        <f>Poor!E60</f>
        <v>1</v>
      </c>
      <c r="F60" s="75">
        <f>Poor!F60</f>
        <v>1</v>
      </c>
      <c r="G60" s="75">
        <f>Poor!G60</f>
        <v>1</v>
      </c>
      <c r="H60" s="24">
        <f t="shared" si="30"/>
        <v>1</v>
      </c>
      <c r="I60" s="39">
        <f t="shared" si="31"/>
        <v>0</v>
      </c>
      <c r="J60" s="38">
        <f t="shared" si="32"/>
        <v>0</v>
      </c>
      <c r="K60" s="40">
        <f t="shared" si="33"/>
        <v>0</v>
      </c>
      <c r="L60" s="22">
        <f t="shared" si="34"/>
        <v>0</v>
      </c>
      <c r="M60" s="24">
        <f t="shared" si="35"/>
        <v>0</v>
      </c>
      <c r="N60" s="2"/>
      <c r="O60" s="2"/>
      <c r="P60" s="2"/>
      <c r="Q60" s="2"/>
      <c r="R60" s="2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40"/>
        <v>0</v>
      </c>
      <c r="AB60" s="156">
        <f>Poor!AB60</f>
        <v>0.25</v>
      </c>
      <c r="AC60" s="147">
        <f t="shared" si="41"/>
        <v>0</v>
      </c>
      <c r="AD60" s="156">
        <f>Poor!AD60</f>
        <v>0.25</v>
      </c>
      <c r="AE60" s="147">
        <f t="shared" si="42"/>
        <v>0</v>
      </c>
      <c r="AF60" s="122">
        <f t="shared" si="29"/>
        <v>0.25</v>
      </c>
      <c r="AG60" s="147">
        <f t="shared" si="36"/>
        <v>0</v>
      </c>
      <c r="AH60" s="123">
        <f t="shared" si="43"/>
        <v>1</v>
      </c>
      <c r="AI60" s="112">
        <f t="shared" si="43"/>
        <v>0</v>
      </c>
      <c r="AJ60" s="148">
        <f t="shared" si="38"/>
        <v>0</v>
      </c>
      <c r="AK60" s="147">
        <f t="shared" si="39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6" t="str">
        <f>IF(Poor!A61=0,"",Poor!A61)</f>
        <v>Remittances: no. times per year</v>
      </c>
      <c r="B61" s="216">
        <v>0</v>
      </c>
      <c r="C61" s="216">
        <v>0</v>
      </c>
      <c r="D61" s="38">
        <f t="shared" si="25"/>
        <v>0</v>
      </c>
      <c r="E61" s="75">
        <f>Poor!E61</f>
        <v>1</v>
      </c>
      <c r="F61" s="75">
        <f>Poor!F61</f>
        <v>1.1100000000000001</v>
      </c>
      <c r="G61" s="75">
        <f>Poor!G61</f>
        <v>1</v>
      </c>
      <c r="H61" s="24">
        <f t="shared" si="30"/>
        <v>1.1100000000000001</v>
      </c>
      <c r="I61" s="39">
        <f t="shared" si="31"/>
        <v>0</v>
      </c>
      <c r="J61" s="38">
        <f t="shared" si="32"/>
        <v>0</v>
      </c>
      <c r="K61" s="40">
        <f t="shared" si="33"/>
        <v>0</v>
      </c>
      <c r="L61" s="22">
        <f t="shared" si="34"/>
        <v>0</v>
      </c>
      <c r="M61" s="24">
        <f t="shared" si="35"/>
        <v>0</v>
      </c>
      <c r="N61" s="2"/>
      <c r="O61" s="2"/>
      <c r="P61" s="2"/>
      <c r="Q61" s="2"/>
      <c r="R61" s="176"/>
      <c r="S61" s="68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40"/>
        <v>0</v>
      </c>
      <c r="AB61" s="156">
        <f>Poor!AB61</f>
        <v>0.25</v>
      </c>
      <c r="AC61" s="147">
        <f t="shared" si="41"/>
        <v>0</v>
      </c>
      <c r="AD61" s="156">
        <f>Poor!AD61</f>
        <v>0.25</v>
      </c>
      <c r="AE61" s="147">
        <f t="shared" si="42"/>
        <v>0</v>
      </c>
      <c r="AF61" s="122">
        <f t="shared" si="29"/>
        <v>0.25</v>
      </c>
      <c r="AG61" s="147">
        <f t="shared" si="36"/>
        <v>0</v>
      </c>
      <c r="AH61" s="123">
        <f t="shared" si="43"/>
        <v>1</v>
      </c>
      <c r="AI61" s="112">
        <f t="shared" si="43"/>
        <v>0</v>
      </c>
      <c r="AJ61" s="148">
        <f t="shared" si="38"/>
        <v>0</v>
      </c>
      <c r="AK61" s="147">
        <f t="shared" si="39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6" t="str">
        <f>IF(Poor!A62=0,"",Poor!A62)</f>
        <v/>
      </c>
      <c r="B62" s="216">
        <v>0</v>
      </c>
      <c r="C62" s="216">
        <v>0</v>
      </c>
      <c r="D62" s="38">
        <f t="shared" si="25"/>
        <v>0</v>
      </c>
      <c r="E62" s="75">
        <f>Poor!E62</f>
        <v>1</v>
      </c>
      <c r="F62" s="75">
        <f>Poor!F62</f>
        <v>1</v>
      </c>
      <c r="G62" s="75">
        <f>Poor!G62</f>
        <v>1</v>
      </c>
      <c r="H62" s="24">
        <f t="shared" si="30"/>
        <v>1</v>
      </c>
      <c r="I62" s="39">
        <f t="shared" si="31"/>
        <v>0</v>
      </c>
      <c r="J62" s="38">
        <f t="shared" si="32"/>
        <v>0</v>
      </c>
      <c r="K62" s="40">
        <f t="shared" si="33"/>
        <v>0</v>
      </c>
      <c r="L62" s="22">
        <f t="shared" si="34"/>
        <v>0</v>
      </c>
      <c r="M62" s="24">
        <f t="shared" si="35"/>
        <v>0</v>
      </c>
      <c r="N62" s="2"/>
      <c r="O62" s="2"/>
      <c r="P62" s="2"/>
      <c r="Q62" s="2"/>
      <c r="R62" s="220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40"/>
        <v>0</v>
      </c>
      <c r="AB62" s="156">
        <f>Poor!AB62</f>
        <v>0.25</v>
      </c>
      <c r="AC62" s="147">
        <f t="shared" si="41"/>
        <v>0</v>
      </c>
      <c r="AD62" s="156">
        <f>Poor!AD62</f>
        <v>0.25</v>
      </c>
      <c r="AE62" s="147">
        <f t="shared" si="42"/>
        <v>0</v>
      </c>
      <c r="AF62" s="122">
        <f t="shared" si="29"/>
        <v>0.25</v>
      </c>
      <c r="AG62" s="147">
        <f t="shared" si="36"/>
        <v>0</v>
      </c>
      <c r="AH62" s="123">
        <f t="shared" si="43"/>
        <v>1</v>
      </c>
      <c r="AI62" s="112">
        <f t="shared" si="43"/>
        <v>0</v>
      </c>
      <c r="AJ62" s="148">
        <f t="shared" si="38"/>
        <v>0</v>
      </c>
      <c r="AK62" s="147">
        <f t="shared" si="39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6" t="str">
        <f>IF(Poor!A63=0,"",Poor!A63)</f>
        <v/>
      </c>
      <c r="B63" s="216">
        <v>0</v>
      </c>
      <c r="C63" s="216">
        <v>0</v>
      </c>
      <c r="D63" s="38">
        <f t="shared" si="25"/>
        <v>0</v>
      </c>
      <c r="E63" s="75">
        <f>Poor!E63</f>
        <v>1</v>
      </c>
      <c r="F63" s="75">
        <f>Poor!F63</f>
        <v>1</v>
      </c>
      <c r="G63" s="75">
        <f>Poor!G63</f>
        <v>1</v>
      </c>
      <c r="H63" s="24">
        <f t="shared" si="30"/>
        <v>1</v>
      </c>
      <c r="I63" s="39">
        <f t="shared" si="31"/>
        <v>0</v>
      </c>
      <c r="J63" s="38">
        <f t="shared" si="32"/>
        <v>0</v>
      </c>
      <c r="K63" s="40">
        <f t="shared" si="33"/>
        <v>0</v>
      </c>
      <c r="L63" s="22">
        <f t="shared" si="34"/>
        <v>0</v>
      </c>
      <c r="M63" s="24">
        <f t="shared" si="3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40"/>
        <v>0</v>
      </c>
      <c r="AB63" s="156">
        <f>Poor!AB63</f>
        <v>0.25</v>
      </c>
      <c r="AC63" s="147">
        <f t="shared" si="41"/>
        <v>0</v>
      </c>
      <c r="AD63" s="156">
        <f>Poor!AD63</f>
        <v>0.25</v>
      </c>
      <c r="AE63" s="147">
        <f t="shared" si="42"/>
        <v>0</v>
      </c>
      <c r="AF63" s="122">
        <f t="shared" si="29"/>
        <v>0.25</v>
      </c>
      <c r="AG63" s="147">
        <f t="shared" si="36"/>
        <v>0</v>
      </c>
      <c r="AH63" s="123">
        <f t="shared" si="43"/>
        <v>1</v>
      </c>
      <c r="AI63" s="112">
        <f t="shared" si="43"/>
        <v>0</v>
      </c>
      <c r="AJ63" s="148">
        <f t="shared" si="38"/>
        <v>0</v>
      </c>
      <c r="AK63" s="147">
        <f t="shared" si="39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6" t="str">
        <f>IF(Poor!A64=0,"",Poor!A64)</f>
        <v/>
      </c>
      <c r="B64" s="216">
        <v>0</v>
      </c>
      <c r="C64" s="216">
        <v>0</v>
      </c>
      <c r="D64" s="38">
        <f t="shared" si="25"/>
        <v>0</v>
      </c>
      <c r="E64" s="75">
        <f>Poor!E64</f>
        <v>1</v>
      </c>
      <c r="F64" s="75">
        <f>Poor!F64</f>
        <v>1</v>
      </c>
      <c r="G64" s="75">
        <f>Poor!G64</f>
        <v>1</v>
      </c>
      <c r="H64" s="24">
        <f t="shared" si="30"/>
        <v>1</v>
      </c>
      <c r="I64" s="39">
        <f t="shared" si="31"/>
        <v>0</v>
      </c>
      <c r="J64" s="38">
        <f t="shared" si="32"/>
        <v>0</v>
      </c>
      <c r="K64" s="40">
        <f t="shared" si="33"/>
        <v>0</v>
      </c>
      <c r="L64" s="22">
        <f t="shared" si="34"/>
        <v>0</v>
      </c>
      <c r="M64" s="24">
        <f t="shared" si="3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40"/>
        <v>0</v>
      </c>
      <c r="AB64" s="156">
        <f>Poor!AB64</f>
        <v>0.25</v>
      </c>
      <c r="AC64" s="149">
        <f t="shared" si="41"/>
        <v>0</v>
      </c>
      <c r="AD64" s="156">
        <f>Poor!AD64</f>
        <v>0.25</v>
      </c>
      <c r="AE64" s="149">
        <f t="shared" si="42"/>
        <v>0</v>
      </c>
      <c r="AF64" s="150">
        <f t="shared" si="29"/>
        <v>0.25</v>
      </c>
      <c r="AG64" s="149">
        <f t="shared" si="36"/>
        <v>0</v>
      </c>
      <c r="AH64" s="123">
        <f t="shared" si="43"/>
        <v>1</v>
      </c>
      <c r="AI64" s="112">
        <f t="shared" si="43"/>
        <v>0</v>
      </c>
      <c r="AJ64" s="151">
        <f t="shared" si="38"/>
        <v>0</v>
      </c>
      <c r="AK64" s="149">
        <f t="shared" si="39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31284</v>
      </c>
      <c r="C65" s="39">
        <f>SUM(C37:C64)</f>
        <v>-1005</v>
      </c>
      <c r="D65" s="42">
        <f>SUM(D37:D64)</f>
        <v>30279</v>
      </c>
      <c r="E65" s="32"/>
      <c r="F65" s="32"/>
      <c r="G65" s="32"/>
      <c r="H65" s="31"/>
      <c r="I65" s="39">
        <f>SUM(I37:I64)</f>
        <v>31879.989999999998</v>
      </c>
      <c r="J65" s="39">
        <f>SUM(J37:J64)</f>
        <v>31879.989999999998</v>
      </c>
      <c r="K65" s="40">
        <f>SUM(K37:K64)</f>
        <v>1</v>
      </c>
      <c r="L65" s="22">
        <f>SUM(L37:L64)</f>
        <v>1.0379551847589821</v>
      </c>
      <c r="M65" s="24">
        <f>SUM(M37:M64)</f>
        <v>1.0190509525636107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2260.895</v>
      </c>
      <c r="AB65" s="137"/>
      <c r="AC65" s="153">
        <f>SUM(AC37:AC64)</f>
        <v>1390.645</v>
      </c>
      <c r="AD65" s="137"/>
      <c r="AE65" s="153">
        <f>SUM(AE37:AE64)</f>
        <v>1390.645</v>
      </c>
      <c r="AF65" s="137"/>
      <c r="AG65" s="153">
        <f>SUM(AG37:AG64)</f>
        <v>1390.645</v>
      </c>
      <c r="AH65" s="137"/>
      <c r="AI65" s="153">
        <f>SUM(AI37:AI64)</f>
        <v>6432.83</v>
      </c>
      <c r="AJ65" s="153">
        <f>SUM(AJ37:AJ64)</f>
        <v>3651.54</v>
      </c>
      <c r="AK65" s="153">
        <f>SUM(AK37:AK64)</f>
        <v>2781.29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54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v>14533.35202676818</v>
      </c>
      <c r="C70" s="39"/>
      <c r="D70" s="38"/>
      <c r="E70" s="75">
        <f>Poor!E70</f>
        <v>1</v>
      </c>
      <c r="F70" s="75">
        <f>Poor!F70</f>
        <v>1.4</v>
      </c>
      <c r="G70" s="22"/>
      <c r="H70" s="24">
        <f>(E70*F70)</f>
        <v>1.4</v>
      </c>
      <c r="I70" s="39">
        <f>I124*I$83</f>
        <v>20346.69283747545</v>
      </c>
      <c r="J70" s="51">
        <f t="shared" ref="J70:J77" si="44">J124*I$83</f>
        <v>20346.69283747545</v>
      </c>
      <c r="K70" s="40">
        <f>B70/B$76</f>
        <v>0.46456182159468673</v>
      </c>
      <c r="L70" s="22">
        <f t="shared" ref="L70:L74" si="45">(L124*G$37*F$9/F$7)/B$130</f>
        <v>0.65038655023256131</v>
      </c>
      <c r="M70" s="24">
        <f>J70/B$76</f>
        <v>0.65038655023256131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5086.6732093688624</v>
      </c>
      <c r="AB70" s="156">
        <f>Poor!AB70</f>
        <v>0.25</v>
      </c>
      <c r="AC70" s="147">
        <f>$J70*AB70</f>
        <v>5086.6732093688624</v>
      </c>
      <c r="AD70" s="156">
        <f>Poor!AD70</f>
        <v>0.25</v>
      </c>
      <c r="AE70" s="147">
        <f>$J70*AD70</f>
        <v>5086.6732093688624</v>
      </c>
      <c r="AF70" s="156">
        <f>Poor!AF70</f>
        <v>0.25</v>
      </c>
      <c r="AG70" s="147">
        <f>$J70*AF70</f>
        <v>5086.6732093688624</v>
      </c>
      <c r="AH70" s="155">
        <f>SUM(Z70,AB70,AD70,AF70)</f>
        <v>1</v>
      </c>
      <c r="AI70" s="147">
        <f>SUM(AA70,AC70,AE70,AG70)</f>
        <v>20346.69283747545</v>
      </c>
      <c r="AJ70" s="148">
        <f>(AA70+AC70)</f>
        <v>10173.346418737725</v>
      </c>
      <c r="AK70" s="147">
        <f>(AE70+AG70)</f>
        <v>10173.346418737725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v>14376.222222222224</v>
      </c>
      <c r="C71" s="39"/>
      <c r="D71" s="38"/>
      <c r="E71" s="75">
        <f>Poor!E71</f>
        <v>1</v>
      </c>
      <c r="F71" s="75">
        <f>Poor!F71</f>
        <v>1.18</v>
      </c>
      <c r="G71" s="22"/>
      <c r="H71" s="24">
        <f t="shared" ref="H71:H72" si="46">(E71*F71)</f>
        <v>1.18</v>
      </c>
      <c r="I71" s="39">
        <f>I125*I$83</f>
        <v>11533.297162524552</v>
      </c>
      <c r="J71" s="51">
        <f t="shared" si="44"/>
        <v>11533.297162524552</v>
      </c>
      <c r="K71" s="40">
        <f t="shared" ref="K71:K72" si="47">B71/B$76</f>
        <v>0.45953913253491319</v>
      </c>
      <c r="L71" s="22">
        <f t="shared" si="45"/>
        <v>0.38756863452642099</v>
      </c>
      <c r="M71" s="24">
        <f t="shared" ref="M71:M72" si="48">J71/B$76</f>
        <v>0.36866440233104947</v>
      </c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v>26588</v>
      </c>
      <c r="C72" s="39"/>
      <c r="D72" s="38"/>
      <c r="E72" s="75">
        <f>Poor!E72</f>
        <v>1</v>
      </c>
      <c r="F72" s="75">
        <f>Poor!F72</f>
        <v>1.18</v>
      </c>
      <c r="G72" s="22"/>
      <c r="H72" s="24">
        <f t="shared" si="46"/>
        <v>1.18</v>
      </c>
      <c r="I72" s="39">
        <f>I126*I$83</f>
        <v>0</v>
      </c>
      <c r="J72" s="51">
        <f t="shared" si="44"/>
        <v>0</v>
      </c>
      <c r="K72" s="40">
        <f t="shared" si="47"/>
        <v>0.84989131824574859</v>
      </c>
      <c r="L72" s="22">
        <f t="shared" si="45"/>
        <v>0</v>
      </c>
      <c r="M72" s="24">
        <f t="shared" si="48"/>
        <v>0</v>
      </c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v>2461</v>
      </c>
      <c r="C73" s="39"/>
      <c r="D73" s="38"/>
      <c r="E73" s="75">
        <f>Poor!E73</f>
        <v>1</v>
      </c>
      <c r="F73" s="75">
        <f>Poor!F73</f>
        <v>1.18</v>
      </c>
      <c r="G73" s="22"/>
      <c r="H73" s="24">
        <f>(E73*F73)</f>
        <v>1.18</v>
      </c>
      <c r="I73" s="39">
        <f>I127*I$83</f>
        <v>0</v>
      </c>
      <c r="J73" s="51">
        <f t="shared" si="44"/>
        <v>0</v>
      </c>
      <c r="K73" s="40">
        <f>B73/B$76</f>
        <v>7.8666410944891962E-2</v>
      </c>
      <c r="L73" s="22">
        <f t="shared" si="45"/>
        <v>0</v>
      </c>
      <c r="M73" s="24">
        <f>J73/B$76</f>
        <v>0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261.35820000000001</v>
      </c>
      <c r="AB73" s="156">
        <f>Poor!AB73</f>
        <v>0.09</v>
      </c>
      <c r="AC73" s="147">
        <f>$H$73*$B$73*AB73</f>
        <v>261.35820000000001</v>
      </c>
      <c r="AD73" s="156">
        <f>Poor!AD73</f>
        <v>0.23</v>
      </c>
      <c r="AE73" s="147">
        <f>$H$73*$B$73*AD73</f>
        <v>667.91539999999998</v>
      </c>
      <c r="AF73" s="156">
        <f>Poor!AF73</f>
        <v>0.59</v>
      </c>
      <c r="AG73" s="147">
        <f>$H$73*$B$73*AF73</f>
        <v>1713.3481999999999</v>
      </c>
      <c r="AH73" s="155">
        <f>SUM(Z73,AB73,AD73,AF73)</f>
        <v>1</v>
      </c>
      <c r="AI73" s="147">
        <f>SUM(AA73,AC73,AE73,AG73)</f>
        <v>2903.98</v>
      </c>
      <c r="AJ73" s="148">
        <f>(AA73+AC73)</f>
        <v>522.71640000000002</v>
      </c>
      <c r="AK73" s="147">
        <f>(AE73+AG73)</f>
        <v>2381.2635999999998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8541.4717306176917</v>
      </c>
      <c r="C74" s="39"/>
      <c r="D74" s="38"/>
      <c r="E74" s="32"/>
      <c r="F74" s="32"/>
      <c r="G74" s="32"/>
      <c r="H74" s="31"/>
      <c r="I74" s="39">
        <f>I128*I$83</f>
        <v>11533.297162524552</v>
      </c>
      <c r="J74" s="51">
        <f t="shared" si="44"/>
        <v>8100.2128877020914</v>
      </c>
      <c r="K74" s="40">
        <f>B74/B$76</f>
        <v>0.27303003869766307</v>
      </c>
      <c r="L74" s="22">
        <f t="shared" si="45"/>
        <v>0.19762856581856902</v>
      </c>
      <c r="M74" s="24">
        <f>J74/B$76</f>
        <v>0.25892510189560453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AA30*$I$83/4</f>
        <v>-2825.7782093688625</v>
      </c>
      <c r="AB74" s="156"/>
      <c r="AC74" s="147">
        <f>AC30*$I$83/4</f>
        <v>-3696.0282093688625</v>
      </c>
      <c r="AD74" s="156"/>
      <c r="AE74" s="147">
        <f>AE30*$I$83/4</f>
        <v>-3696.0282093688625</v>
      </c>
      <c r="AF74" s="156"/>
      <c r="AG74" s="147">
        <f>AG30*$I$83/4</f>
        <v>-3696.0282093688625</v>
      </c>
      <c r="AH74" s="155"/>
      <c r="AI74" s="147">
        <f>SUM(AA74,AC74,AE74,AG74)</f>
        <v>-13913.86283747545</v>
      </c>
      <c r="AJ74" s="148">
        <f>(AA74+AC74)</f>
        <v>-6521.8064187377249</v>
      </c>
      <c r="AK74" s="147">
        <f>(AE74+AG74)</f>
        <v>-7392.0564187377249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0</v>
      </c>
      <c r="C75" s="39"/>
      <c r="D75" s="38"/>
      <c r="E75" s="32"/>
      <c r="F75" s="32"/>
      <c r="G75" s="32"/>
      <c r="H75" s="31"/>
      <c r="I75" s="47"/>
      <c r="J75" s="51">
        <f t="shared" si="44"/>
        <v>0</v>
      </c>
      <c r="K75" s="40">
        <f>B75/B$76</f>
        <v>0</v>
      </c>
      <c r="L75" s="22">
        <f>(L129*G$37*F$9/F$7)/B$130</f>
        <v>0</v>
      </c>
      <c r="M75" s="24">
        <f>J75/B$76</f>
        <v>0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0</v>
      </c>
      <c r="AB75" s="158"/>
      <c r="AC75" s="149">
        <f>AA75+AC65-SUM(AC70,AC74)</f>
        <v>0</v>
      </c>
      <c r="AD75" s="158"/>
      <c r="AE75" s="149">
        <f>AC75+AE65-SUM(AE70,AE74)</f>
        <v>0</v>
      </c>
      <c r="AF75" s="158"/>
      <c r="AG75" s="149">
        <f>IF(SUM(AG6:AG29)+((AG65-AG70-$J$75)*4/I$83)&lt;1,0,AG65-AG70-$J$75-(1-SUM(AG6:AG29))*I$83/4)</f>
        <v>0</v>
      </c>
      <c r="AH75" s="134"/>
      <c r="AI75" s="149">
        <f>AI76-SUM(AI70,AI74)</f>
        <v>0</v>
      </c>
      <c r="AJ75" s="151">
        <f>AJ76-SUM(AJ70,AJ74)</f>
        <v>0</v>
      </c>
      <c r="AK75" s="149">
        <f>AJ75+AK76-SUM(AK70,AK74)</f>
        <v>0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31284</v>
      </c>
      <c r="C76" s="39"/>
      <c r="D76" s="38"/>
      <c r="E76" s="32"/>
      <c r="F76" s="32"/>
      <c r="G76" s="32"/>
      <c r="H76" s="31"/>
      <c r="I76" s="39">
        <f>I130*I$83</f>
        <v>31879.99</v>
      </c>
      <c r="J76" s="51">
        <f t="shared" si="44"/>
        <v>31879.99</v>
      </c>
      <c r="K76" s="40">
        <f>SUM(K70:K75)</f>
        <v>2.1256887220179035</v>
      </c>
      <c r="L76" s="22">
        <f>SUM(L70:L75)</f>
        <v>1.2355837505775513</v>
      </c>
      <c r="M76" s="24">
        <f>SUM(M70:M75)</f>
        <v>1.2779760544592151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2260.895</v>
      </c>
      <c r="AB76" s="137"/>
      <c r="AC76" s="153">
        <f>AC65</f>
        <v>1390.645</v>
      </c>
      <c r="AD76" s="137"/>
      <c r="AE76" s="153">
        <f>AE65</f>
        <v>1390.645</v>
      </c>
      <c r="AF76" s="137"/>
      <c r="AG76" s="153">
        <f>AG65</f>
        <v>1390.645</v>
      </c>
      <c r="AH76" s="137"/>
      <c r="AI76" s="153">
        <f>SUM(AA76,AC76,AE76,AG76)</f>
        <v>6432.83</v>
      </c>
      <c r="AJ76" s="154">
        <f>SUM(AA76,AC76)</f>
        <v>3651.54</v>
      </c>
      <c r="AK76" s="154">
        <f>SUM(AE76,AG76)</f>
        <v>2781.29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16963.94222222222</v>
      </c>
      <c r="J77" s="100">
        <f t="shared" si="44"/>
        <v>13530.857947399767</v>
      </c>
      <c r="K77" s="40"/>
      <c r="L77" s="22">
        <f>-(L131*G$37*F$9/F$7)/B$130</f>
        <v>-0.5422561763911975</v>
      </c>
      <c r="M77" s="24">
        <f>-J77/B$76</f>
        <v>-0.43251687595575267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AA31*$I$83/4</f>
        <v>4613.6066044295603</v>
      </c>
      <c r="AB77" s="112"/>
      <c r="AC77" s="111">
        <f>AC31*$I$83/4</f>
        <v>5845.8866358658179</v>
      </c>
      <c r="AD77" s="112"/>
      <c r="AE77" s="111">
        <f>AE31*$I$83/4</f>
        <v>5838.1076101964472</v>
      </c>
      <c r="AF77" s="112"/>
      <c r="AG77" s="111">
        <f>AG31*$I$83/4</f>
        <v>5811.3181523297235</v>
      </c>
      <c r="AH77" s="110"/>
      <c r="AI77" s="154">
        <f>SUM(AA77,AC77,AE77,AG77)</f>
        <v>22108.919002821549</v>
      </c>
      <c r="AJ77" s="153">
        <f>SUM(AA77,AC77)</f>
        <v>10459.493240295378</v>
      </c>
      <c r="AK77" s="160">
        <f>SUM(AE77,AG77)</f>
        <v>11649.425762526171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>
        <f>IF(AA75&lt;0,0,AA75)</f>
        <v>0</v>
      </c>
      <c r="AD78" s="112"/>
      <c r="AE78" s="112">
        <f>AC75</f>
        <v>0</v>
      </c>
      <c r="AF78" s="112"/>
      <c r="AG78" s="112">
        <f>AE75</f>
        <v>0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230" t="s">
        <v>186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-2825.7782093688625</v>
      </c>
      <c r="AB79" s="112"/>
      <c r="AC79" s="112">
        <f>AA79-AA74+AC65-AC70</f>
        <v>-3696.0282093688625</v>
      </c>
      <c r="AD79" s="112"/>
      <c r="AE79" s="112">
        <f>AC79-AC74+AE65-AE70</f>
        <v>-3696.0282093688625</v>
      </c>
      <c r="AF79" s="112"/>
      <c r="AG79" s="112">
        <f>AE79-AE74+AG65-AG70</f>
        <v>-3696.0282093688625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v>0.66091214045306179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30">
        <v>8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v>7.1446277643945102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13788.155987238539</v>
      </c>
      <c r="C83" s="39"/>
      <c r="D83" s="38"/>
      <c r="E83" s="32"/>
      <c r="F83" s="32"/>
      <c r="G83" s="32"/>
      <c r="H83" s="24">
        <f>G$37*F$9/F$7</f>
        <v>1</v>
      </c>
      <c r="I83" s="39">
        <f xml:space="preserve"> B83*H83</f>
        <v>13788.155987238539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$I$83*Z82/4</f>
        <v>3447.0389968096347</v>
      </c>
      <c r="AB83" s="112"/>
      <c r="AC83" s="165">
        <f>$I$83*AB82/4</f>
        <v>3447.0389968096347</v>
      </c>
      <c r="AD83" s="112"/>
      <c r="AE83" s="165">
        <f>$I$83*AD82/4</f>
        <v>3447.0389968096347</v>
      </c>
      <c r="AF83" s="112"/>
      <c r="AG83" s="165">
        <f>$I$83*AF82/4</f>
        <v>3447.0389968096347</v>
      </c>
      <c r="AH83" s="165">
        <f>SUM(AA83,AC83,AE83,AG83)</f>
        <v>13788.155987238539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4">
        <f>B70+((1-D29)*B83)</f>
        <v>25222.651681256466</v>
      </c>
      <c r="C84" s="46"/>
      <c r="D84" s="235"/>
      <c r="E84" s="64"/>
      <c r="F84" s="64"/>
      <c r="G84" s="64"/>
      <c r="H84" s="236">
        <f>IF(B84=0,0,I84/B84)</f>
        <v>1.2304809535560171</v>
      </c>
      <c r="I84" s="234">
        <f>(B70*H70)+((1-(D29*H29))*I83)</f>
        <v>31035.992491963734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56"/>
      <c r="Z86" s="56"/>
      <c r="AA86" s="41"/>
      <c r="AB86" s="56"/>
      <c r="AC86" s="41"/>
      <c r="AD86" s="56"/>
      <c r="AE86" s="41"/>
      <c r="AF86" s="56"/>
      <c r="AG86" s="41"/>
      <c r="AH86" s="67"/>
      <c r="AI86" s="67"/>
      <c r="AJ86" s="67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/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59"/>
      <c r="Z87" s="56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Very Poor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49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49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 t="shared" ref="A91:A106" si="50">IF(A37="","",A37)</f>
        <v>Cattle sales - local: no. sold</v>
      </c>
      <c r="B91" s="75">
        <f t="shared" ref="B91:C118" si="51">(B37/$B$83)</f>
        <v>0.14505202884642993</v>
      </c>
      <c r="C91" s="75">
        <f t="shared" si="51"/>
        <v>-7.2526014423214963E-2</v>
      </c>
      <c r="D91" s="24">
        <f t="shared" ref="D91:D106" si="52">(B91+C91)</f>
        <v>7.2526014423214963E-2</v>
      </c>
      <c r="H91" s="24">
        <f t="shared" ref="H91:H106" si="53">(E37*F37/G37*F$7/F$9)</f>
        <v>0.59</v>
      </c>
      <c r="I91" s="22">
        <f t="shared" ref="I91:I106" si="54">(D91*H91)</f>
        <v>4.2790348509696825E-2</v>
      </c>
      <c r="J91" s="24">
        <f t="shared" ref="J91:J99" si="55">IF(I$32&lt;=1+I$131,I91,L91+J$33*(I91-L91))</f>
        <v>4.2790348509696825E-2</v>
      </c>
      <c r="K91" s="22">
        <f t="shared" ref="K91:K106" si="56">(B91)</f>
        <v>0.14505202884642993</v>
      </c>
      <c r="L91" s="22">
        <f t="shared" ref="L91:L106" si="57">(K91*H91)</f>
        <v>8.5580697019393651E-2</v>
      </c>
      <c r="M91" s="227">
        <f t="shared" si="49"/>
        <v>4.2790348509696825E-2</v>
      </c>
      <c r="N91" s="229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si="50"/>
        <v>Goat sales - local: no. sold</v>
      </c>
      <c r="B92" s="75">
        <f t="shared" si="51"/>
        <v>3.4449856851027104E-2</v>
      </c>
      <c r="C92" s="75">
        <f t="shared" si="51"/>
        <v>0</v>
      </c>
      <c r="D92" s="24">
        <f t="shared" si="52"/>
        <v>3.4449856851027104E-2</v>
      </c>
      <c r="H92" s="24">
        <f t="shared" si="53"/>
        <v>0.59</v>
      </c>
      <c r="I92" s="22">
        <f t="shared" si="54"/>
        <v>2.0325415542105991E-2</v>
      </c>
      <c r="J92" s="24">
        <f t="shared" si="55"/>
        <v>2.0325415542105991E-2</v>
      </c>
      <c r="K92" s="22">
        <f t="shared" si="56"/>
        <v>3.4449856851027104E-2</v>
      </c>
      <c r="L92" s="22">
        <f t="shared" si="57"/>
        <v>2.0325415542105991E-2</v>
      </c>
      <c r="M92" s="227">
        <f t="shared" si="49"/>
        <v>2.0325415542105991E-2</v>
      </c>
      <c r="N92" s="229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0"/>
        <v>Sheep sales - local: no. sold</v>
      </c>
      <c r="B93" s="75">
        <f t="shared" si="51"/>
        <v>0</v>
      </c>
      <c r="C93" s="75">
        <f t="shared" si="51"/>
        <v>0</v>
      </c>
      <c r="D93" s="24">
        <f t="shared" si="52"/>
        <v>0</v>
      </c>
      <c r="H93" s="24">
        <f t="shared" si="53"/>
        <v>0.59</v>
      </c>
      <c r="I93" s="22">
        <f t="shared" si="54"/>
        <v>0</v>
      </c>
      <c r="J93" s="24">
        <f t="shared" si="55"/>
        <v>0</v>
      </c>
      <c r="K93" s="22">
        <f t="shared" si="56"/>
        <v>0</v>
      </c>
      <c r="L93" s="22">
        <f t="shared" si="57"/>
        <v>0</v>
      </c>
      <c r="M93" s="227">
        <f t="shared" si="49"/>
        <v>0</v>
      </c>
      <c r="N93" s="229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0"/>
        <v>Chicken sales: no. sold</v>
      </c>
      <c r="B94" s="75">
        <f t="shared" si="51"/>
        <v>0</v>
      </c>
      <c r="C94" s="75">
        <f t="shared" si="51"/>
        <v>0</v>
      </c>
      <c r="D94" s="24">
        <f t="shared" si="52"/>
        <v>0</v>
      </c>
      <c r="H94" s="24">
        <f t="shared" si="53"/>
        <v>1.18</v>
      </c>
      <c r="I94" s="22">
        <f t="shared" si="54"/>
        <v>0</v>
      </c>
      <c r="J94" s="24">
        <f t="shared" si="55"/>
        <v>0</v>
      </c>
      <c r="K94" s="22">
        <f t="shared" si="56"/>
        <v>0</v>
      </c>
      <c r="L94" s="22">
        <f t="shared" si="57"/>
        <v>0</v>
      </c>
      <c r="M94" s="228">
        <f t="shared" si="49"/>
        <v>0</v>
      </c>
      <c r="N94" s="229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0"/>
        <v>Maize: kg produced</v>
      </c>
      <c r="B95" s="75">
        <f t="shared" si="51"/>
        <v>0</v>
      </c>
      <c r="C95" s="75">
        <f t="shared" si="51"/>
        <v>0</v>
      </c>
      <c r="D95" s="24">
        <f t="shared" si="52"/>
        <v>0</v>
      </c>
      <c r="H95" s="24">
        <f t="shared" si="53"/>
        <v>0.42</v>
      </c>
      <c r="I95" s="22">
        <f t="shared" si="54"/>
        <v>0</v>
      </c>
      <c r="J95" s="24">
        <f t="shared" si="55"/>
        <v>0</v>
      </c>
      <c r="K95" s="22">
        <f t="shared" si="56"/>
        <v>0</v>
      </c>
      <c r="L95" s="22">
        <f t="shared" si="57"/>
        <v>0</v>
      </c>
      <c r="M95" s="228">
        <f t="shared" si="49"/>
        <v>0</v>
      </c>
      <c r="N95" s="229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0"/>
        <v>Beans: kg produced</v>
      </c>
      <c r="B96" s="75">
        <f t="shared" si="51"/>
        <v>0</v>
      </c>
      <c r="C96" s="75">
        <f t="shared" si="51"/>
        <v>0</v>
      </c>
      <c r="D96" s="24">
        <f t="shared" si="52"/>
        <v>0</v>
      </c>
      <c r="H96" s="24">
        <f t="shared" si="53"/>
        <v>0.27999999999999997</v>
      </c>
      <c r="I96" s="22">
        <f t="shared" si="54"/>
        <v>0</v>
      </c>
      <c r="J96" s="24">
        <f t="shared" si="55"/>
        <v>0</v>
      </c>
      <c r="K96" s="22">
        <f t="shared" si="56"/>
        <v>0</v>
      </c>
      <c r="L96" s="22">
        <f t="shared" si="57"/>
        <v>0</v>
      </c>
      <c r="M96" s="228">
        <f t="shared" si="49"/>
        <v>0</v>
      </c>
      <c r="N96" s="229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0"/>
        <v>potatoes: kg produced</v>
      </c>
      <c r="B97" s="75">
        <f t="shared" si="51"/>
        <v>0</v>
      </c>
      <c r="C97" s="75">
        <f t="shared" si="51"/>
        <v>0</v>
      </c>
      <c r="D97" s="24">
        <f t="shared" si="52"/>
        <v>0</v>
      </c>
      <c r="H97" s="24">
        <f t="shared" si="53"/>
        <v>0.27999999999999997</v>
      </c>
      <c r="I97" s="22">
        <f t="shared" si="54"/>
        <v>0</v>
      </c>
      <c r="J97" s="24">
        <f t="shared" si="55"/>
        <v>0</v>
      </c>
      <c r="K97" s="22">
        <f t="shared" si="56"/>
        <v>0</v>
      </c>
      <c r="L97" s="22">
        <f t="shared" si="57"/>
        <v>0</v>
      </c>
      <c r="M97" s="228">
        <f t="shared" si="49"/>
        <v>0</v>
      </c>
      <c r="N97" s="229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0"/>
        <v>Amadumbe: kg produced</v>
      </c>
      <c r="B98" s="75">
        <f t="shared" si="51"/>
        <v>0</v>
      </c>
      <c r="C98" s="75">
        <f t="shared" si="51"/>
        <v>0</v>
      </c>
      <c r="D98" s="24">
        <f t="shared" si="52"/>
        <v>0</v>
      </c>
      <c r="H98" s="24">
        <f t="shared" si="53"/>
        <v>0.27999999999999997</v>
      </c>
      <c r="I98" s="22">
        <f t="shared" si="54"/>
        <v>0</v>
      </c>
      <c r="J98" s="24">
        <f t="shared" si="55"/>
        <v>0</v>
      </c>
      <c r="K98" s="22">
        <f t="shared" si="56"/>
        <v>0</v>
      </c>
      <c r="L98" s="22">
        <f t="shared" si="57"/>
        <v>0</v>
      </c>
      <c r="M98" s="228">
        <f t="shared" si="49"/>
        <v>0</v>
      </c>
      <c r="N98" s="229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0"/>
        <v>Sweet Potatoes: kg produced</v>
      </c>
      <c r="B99" s="75">
        <f t="shared" si="51"/>
        <v>0</v>
      </c>
      <c r="C99" s="75">
        <f t="shared" si="51"/>
        <v>0</v>
      </c>
      <c r="D99" s="24">
        <f t="shared" si="52"/>
        <v>0</v>
      </c>
      <c r="H99" s="24">
        <f t="shared" si="53"/>
        <v>0.27999999999999997</v>
      </c>
      <c r="I99" s="22">
        <f t="shared" si="54"/>
        <v>0</v>
      </c>
      <c r="J99" s="24">
        <f t="shared" si="55"/>
        <v>0</v>
      </c>
      <c r="K99" s="22">
        <f t="shared" si="56"/>
        <v>0</v>
      </c>
      <c r="L99" s="22">
        <f t="shared" si="57"/>
        <v>0</v>
      </c>
      <c r="M99" s="228">
        <f t="shared" si="49"/>
        <v>0</v>
      </c>
      <c r="N99" s="229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0"/>
        <v>Other crop: Cabbage</v>
      </c>
      <c r="B100" s="75">
        <f t="shared" si="51"/>
        <v>0</v>
      </c>
      <c r="C100" s="75">
        <f t="shared" si="51"/>
        <v>0</v>
      </c>
      <c r="D100" s="24">
        <f t="shared" si="52"/>
        <v>0</v>
      </c>
      <c r="H100" s="24">
        <f t="shared" si="53"/>
        <v>0.27999999999999997</v>
      </c>
      <c r="I100" s="22">
        <f t="shared" si="54"/>
        <v>0</v>
      </c>
      <c r="J100" s="24">
        <f>IF(I$32&lt;=1+I131,I100,L100+J$33*(I100-L100))</f>
        <v>0</v>
      </c>
      <c r="K100" s="22">
        <f t="shared" si="56"/>
        <v>0</v>
      </c>
      <c r="L100" s="22">
        <f t="shared" si="57"/>
        <v>0</v>
      </c>
      <c r="M100" s="228">
        <f t="shared" si="49"/>
        <v>0</v>
      </c>
      <c r="N100" s="229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0"/>
        <v>beetroot: no. local meas</v>
      </c>
      <c r="B101" s="75">
        <f t="shared" si="51"/>
        <v>0</v>
      </c>
      <c r="C101" s="75">
        <f t="shared" si="51"/>
        <v>0</v>
      </c>
      <c r="D101" s="24">
        <f t="shared" si="52"/>
        <v>0</v>
      </c>
      <c r="H101" s="24">
        <f t="shared" si="53"/>
        <v>0.27999999999999997</v>
      </c>
      <c r="I101" s="22">
        <f t="shared" si="54"/>
        <v>0</v>
      </c>
      <c r="J101" s="24">
        <f>IF(I$32&lt;=1+I131,I101,L101+J$33*(I101-L101))</f>
        <v>0</v>
      </c>
      <c r="K101" s="22">
        <f t="shared" si="56"/>
        <v>0</v>
      </c>
      <c r="L101" s="22">
        <f t="shared" si="57"/>
        <v>0</v>
      </c>
      <c r="M101" s="227">
        <f t="shared" si="49"/>
        <v>0</v>
      </c>
      <c r="N101" s="229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0"/>
        <v>Spinach: no produced</v>
      </c>
      <c r="B102" s="75">
        <f t="shared" si="51"/>
        <v>1.5230463028875142E-3</v>
      </c>
      <c r="C102" s="75">
        <f t="shared" si="51"/>
        <v>-3.6263007211607479E-4</v>
      </c>
      <c r="D102" s="24">
        <f t="shared" si="52"/>
        <v>1.1604162307714393E-3</v>
      </c>
      <c r="H102" s="24">
        <f t="shared" si="53"/>
        <v>0.27999999999999997</v>
      </c>
      <c r="I102" s="22">
        <f t="shared" si="54"/>
        <v>3.2491654461600298E-4</v>
      </c>
      <c r="J102" s="24">
        <f>IF(I$32&lt;=1+I131,I102,L102+J$33*(I102-L102))</f>
        <v>3.2491654461600298E-4</v>
      </c>
      <c r="K102" s="22">
        <f t="shared" si="56"/>
        <v>1.5230463028875142E-3</v>
      </c>
      <c r="L102" s="22">
        <f t="shared" si="57"/>
        <v>4.2645296480850394E-4</v>
      </c>
      <c r="M102" s="228">
        <f t="shared" si="49"/>
        <v>3.2491654461600298E-4</v>
      </c>
      <c r="N102" s="229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0"/>
        <v>Other crop: pumpkin</v>
      </c>
      <c r="B103" s="75">
        <f t="shared" si="51"/>
        <v>0</v>
      </c>
      <c r="C103" s="75">
        <f t="shared" si="51"/>
        <v>0</v>
      </c>
      <c r="D103" s="24">
        <f t="shared" si="52"/>
        <v>0</v>
      </c>
      <c r="H103" s="24">
        <f t="shared" si="53"/>
        <v>0.27999999999999997</v>
      </c>
      <c r="I103" s="22">
        <f t="shared" si="54"/>
        <v>0</v>
      </c>
      <c r="J103" s="24">
        <f>IF(I$32&lt;=1+I131,I103,L103+J$33*(I103-L103))</f>
        <v>0</v>
      </c>
      <c r="K103" s="22">
        <f t="shared" si="56"/>
        <v>0</v>
      </c>
      <c r="L103" s="22">
        <f t="shared" si="57"/>
        <v>0</v>
      </c>
      <c r="M103" s="228">
        <f t="shared" si="49"/>
        <v>0</v>
      </c>
      <c r="N103" s="229">
        <v>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0"/>
        <v>Other cashcrop: sugar cane (tons)</v>
      </c>
      <c r="B104" s="75">
        <f t="shared" si="51"/>
        <v>0</v>
      </c>
      <c r="C104" s="75">
        <f t="shared" si="51"/>
        <v>0</v>
      </c>
      <c r="D104" s="24">
        <f t="shared" si="52"/>
        <v>0</v>
      </c>
      <c r="H104" s="24">
        <f t="shared" si="53"/>
        <v>0.27999999999999997</v>
      </c>
      <c r="I104" s="22">
        <f t="shared" si="54"/>
        <v>0</v>
      </c>
      <c r="J104" s="24">
        <f>IF(I$32&lt;=1+I131,I104,L104+J$33*(I104-L104))</f>
        <v>0</v>
      </c>
      <c r="K104" s="22">
        <f t="shared" si="56"/>
        <v>0</v>
      </c>
      <c r="L104" s="22">
        <f t="shared" si="57"/>
        <v>0</v>
      </c>
      <c r="M104" s="228">
        <f t="shared" si="49"/>
        <v>0</v>
      </c>
      <c r="N104" s="229">
        <v>2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0"/>
        <v>Agricultural cash income -- see Data2</v>
      </c>
      <c r="B105" s="75">
        <f t="shared" si="51"/>
        <v>7.4460041474500707E-2</v>
      </c>
      <c r="C105" s="75">
        <f t="shared" si="51"/>
        <v>0</v>
      </c>
      <c r="D105" s="24">
        <f t="shared" si="52"/>
        <v>7.4460041474500707E-2</v>
      </c>
      <c r="H105" s="24">
        <f t="shared" si="53"/>
        <v>0.55500000000000005</v>
      </c>
      <c r="I105" s="22">
        <f t="shared" si="54"/>
        <v>4.1325323018347897E-2</v>
      </c>
      <c r="J105" s="24">
        <f>IF(I$32&lt;=1+I131,I105,L105+J$33*(I105-L105))</f>
        <v>4.1325323018347897E-2</v>
      </c>
      <c r="K105" s="22">
        <f t="shared" si="56"/>
        <v>7.4460041474500707E-2</v>
      </c>
      <c r="L105" s="22">
        <f t="shared" si="57"/>
        <v>4.1325323018347897E-2</v>
      </c>
      <c r="M105" s="228">
        <f t="shared" si="49"/>
        <v>4.1325323018347897E-2</v>
      </c>
      <c r="N105" s="229">
        <v>7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0"/>
        <v>Construction cash income -- see Data2</v>
      </c>
      <c r="B106" s="75">
        <f t="shared" si="51"/>
        <v>2.2724817852607354E-2</v>
      </c>
      <c r="C106" s="75">
        <f t="shared" si="51"/>
        <v>0</v>
      </c>
      <c r="D106" s="24">
        <f t="shared" si="52"/>
        <v>2.2724817852607354E-2</v>
      </c>
      <c r="H106" s="24">
        <f t="shared" si="53"/>
        <v>0.55500000000000005</v>
      </c>
      <c r="I106" s="22">
        <f t="shared" si="54"/>
        <v>1.2612273908197082E-2</v>
      </c>
      <c r="J106" s="24">
        <f>IF(I$32&lt;=1+I132,I106,L106+J$33*(I106-L106))</f>
        <v>1.2612273908197082E-2</v>
      </c>
      <c r="K106" s="22">
        <f t="shared" si="56"/>
        <v>2.2724817852607354E-2</v>
      </c>
      <c r="L106" s="22">
        <f t="shared" si="57"/>
        <v>1.2612273908197082E-2</v>
      </c>
      <c r="M106" s="228">
        <f>(J106)</f>
        <v>1.2612273908197082E-2</v>
      </c>
      <c r="N106" s="229">
        <v>7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ref="A107:A118" si="58">IF(A53="","",A53)</f>
        <v>Domestic work cash income -- see Data2</v>
      </c>
      <c r="B107" s="75">
        <f t="shared" si="51"/>
        <v>0.2117759621157877</v>
      </c>
      <c r="C107" s="75">
        <f t="shared" si="51"/>
        <v>0</v>
      </c>
      <c r="D107" s="24">
        <f t="shared" ref="D107:D118" si="59">(B107+C107)</f>
        <v>0.2117759621157877</v>
      </c>
      <c r="H107" s="24">
        <f t="shared" ref="H107:H118" si="60">(E53*F53/G53*F$7/F$9)</f>
        <v>0.55500000000000005</v>
      </c>
      <c r="I107" s="22">
        <f t="shared" ref="I107:I118" si="61">(D107*H107)</f>
        <v>0.11753565897426219</v>
      </c>
      <c r="J107" s="24">
        <f t="shared" ref="J107:J118" si="62">IF(I$32&lt;=1+I133,I107,L107+J$33*(I107-L107))</f>
        <v>0.11753565897426219</v>
      </c>
      <c r="K107" s="22">
        <f t="shared" ref="K107:K118" si="63">(B107)</f>
        <v>0.2117759621157877</v>
      </c>
      <c r="L107" s="22">
        <f t="shared" ref="L107:L118" si="64">(K107*H107)</f>
        <v>0.11753565897426219</v>
      </c>
      <c r="M107" s="228">
        <f t="shared" ref="M107:M118" si="65">(J107)</f>
        <v>0.11753565897426219</v>
      </c>
      <c r="N107" s="229">
        <v>7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8"/>
        <v>Formal Employment (conservancies, etc.)</v>
      </c>
      <c r="B108" s="75">
        <f t="shared" si="51"/>
        <v>0</v>
      </c>
      <c r="C108" s="75">
        <f t="shared" si="51"/>
        <v>0</v>
      </c>
      <c r="D108" s="24">
        <f t="shared" si="59"/>
        <v>0</v>
      </c>
      <c r="H108" s="24">
        <f t="shared" si="60"/>
        <v>0.47199999999999992</v>
      </c>
      <c r="I108" s="22">
        <f t="shared" si="61"/>
        <v>0</v>
      </c>
      <c r="J108" s="24">
        <f t="shared" si="62"/>
        <v>0</v>
      </c>
      <c r="K108" s="22">
        <f t="shared" si="63"/>
        <v>0</v>
      </c>
      <c r="L108" s="22">
        <f t="shared" si="64"/>
        <v>0</v>
      </c>
      <c r="M108" s="228">
        <f t="shared" si="65"/>
        <v>0</v>
      </c>
      <c r="N108" s="229">
        <v>8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8"/>
        <v>Labour migration(formal employment): no. people per HH</v>
      </c>
      <c r="B109" s="75">
        <f t="shared" si="51"/>
        <v>0</v>
      </c>
      <c r="C109" s="75">
        <f t="shared" si="51"/>
        <v>0</v>
      </c>
      <c r="D109" s="24">
        <f t="shared" si="59"/>
        <v>0</v>
      </c>
      <c r="H109" s="24">
        <f t="shared" si="60"/>
        <v>0.47199999999999992</v>
      </c>
      <c r="I109" s="22">
        <f t="shared" si="61"/>
        <v>0</v>
      </c>
      <c r="J109" s="24">
        <f t="shared" si="62"/>
        <v>0</v>
      </c>
      <c r="K109" s="22">
        <f t="shared" si="63"/>
        <v>0</v>
      </c>
      <c r="L109" s="22">
        <f t="shared" si="64"/>
        <v>0</v>
      </c>
      <c r="M109" s="228">
        <f t="shared" si="65"/>
        <v>0</v>
      </c>
      <c r="N109" s="229">
        <v>8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8"/>
        <v>Small business -- see Data2</v>
      </c>
      <c r="B110" s="75">
        <f t="shared" si="51"/>
        <v>9.2833298461715147E-2</v>
      </c>
      <c r="C110" s="75">
        <f t="shared" si="51"/>
        <v>0</v>
      </c>
      <c r="D110" s="24">
        <f t="shared" si="59"/>
        <v>9.2833298461715147E-2</v>
      </c>
      <c r="H110" s="24">
        <f t="shared" si="60"/>
        <v>0.94399999999999984</v>
      </c>
      <c r="I110" s="22">
        <f t="shared" si="61"/>
        <v>8.7634633747859084E-2</v>
      </c>
      <c r="J110" s="24">
        <f t="shared" si="62"/>
        <v>8.7634633747859084E-2</v>
      </c>
      <c r="K110" s="22">
        <f t="shared" si="63"/>
        <v>9.2833298461715147E-2</v>
      </c>
      <c r="L110" s="22">
        <f t="shared" si="64"/>
        <v>8.7634633747859084E-2</v>
      </c>
      <c r="M110" s="228">
        <f t="shared" si="65"/>
        <v>8.7634633747859084E-2</v>
      </c>
      <c r="N110" s="229">
        <v>11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8"/>
        <v>Social development -- see Data2</v>
      </c>
      <c r="B111" s="75">
        <f t="shared" si="51"/>
        <v>1.3901786444641844</v>
      </c>
      <c r="C111" s="75">
        <f t="shared" si="51"/>
        <v>0</v>
      </c>
      <c r="D111" s="24">
        <f t="shared" si="59"/>
        <v>1.3901786444641844</v>
      </c>
      <c r="H111" s="24">
        <f t="shared" si="60"/>
        <v>1.18</v>
      </c>
      <c r="I111" s="22">
        <f t="shared" si="61"/>
        <v>1.6404108004677376</v>
      </c>
      <c r="J111" s="24">
        <f t="shared" si="62"/>
        <v>1.6404108004677376</v>
      </c>
      <c r="K111" s="22">
        <f t="shared" si="63"/>
        <v>1.3901786444641844</v>
      </c>
      <c r="L111" s="22">
        <f t="shared" si="64"/>
        <v>1.6404108004677376</v>
      </c>
      <c r="M111" s="228">
        <f t="shared" si="65"/>
        <v>1.6404108004677376</v>
      </c>
      <c r="N111" s="229">
        <v>14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8"/>
        <v>Public works -- see Data2</v>
      </c>
      <c r="B112" s="75">
        <f t="shared" si="51"/>
        <v>0.29590613884671707</v>
      </c>
      <c r="C112" s="75">
        <f t="shared" si="51"/>
        <v>0</v>
      </c>
      <c r="D112" s="24">
        <f t="shared" si="59"/>
        <v>0.29590613884671707</v>
      </c>
      <c r="H112" s="24">
        <f t="shared" si="60"/>
        <v>1.18</v>
      </c>
      <c r="I112" s="22">
        <f t="shared" si="61"/>
        <v>0.34916924383912612</v>
      </c>
      <c r="J112" s="24">
        <f t="shared" si="62"/>
        <v>0.34916924383912612</v>
      </c>
      <c r="K112" s="22">
        <f t="shared" si="63"/>
        <v>0.29590613884671707</v>
      </c>
      <c r="L112" s="22">
        <f t="shared" si="64"/>
        <v>0.34916924383912612</v>
      </c>
      <c r="M112" s="228">
        <f t="shared" si="65"/>
        <v>0.34916924383912612</v>
      </c>
      <c r="N112" s="229">
        <v>9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8"/>
        <v>Gifts/social support: type (Child support, Pension and Foster Care)</v>
      </c>
      <c r="B113" s="75">
        <f t="shared" si="51"/>
        <v>0</v>
      </c>
      <c r="C113" s="75">
        <f t="shared" si="51"/>
        <v>0</v>
      </c>
      <c r="D113" s="24">
        <f t="shared" si="59"/>
        <v>0</v>
      </c>
      <c r="H113" s="24">
        <f t="shared" si="60"/>
        <v>1.1100000000000001</v>
      </c>
      <c r="I113" s="22">
        <f t="shared" si="61"/>
        <v>0</v>
      </c>
      <c r="J113" s="24">
        <f t="shared" si="62"/>
        <v>0</v>
      </c>
      <c r="K113" s="22">
        <f t="shared" si="63"/>
        <v>0</v>
      </c>
      <c r="L113" s="22">
        <f t="shared" si="64"/>
        <v>0</v>
      </c>
      <c r="M113" s="228">
        <f t="shared" si="65"/>
        <v>0</v>
      </c>
      <c r="N113" s="229">
        <v>15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8"/>
        <v>Other income: e.g. Credit (cotton loans)</v>
      </c>
      <c r="B114" s="75">
        <f t="shared" si="51"/>
        <v>0</v>
      </c>
      <c r="C114" s="75">
        <f t="shared" si="51"/>
        <v>0</v>
      </c>
      <c r="D114" s="24">
        <f t="shared" si="59"/>
        <v>0</v>
      </c>
      <c r="H114" s="24">
        <f t="shared" si="60"/>
        <v>1</v>
      </c>
      <c r="I114" s="22">
        <f t="shared" si="61"/>
        <v>0</v>
      </c>
      <c r="J114" s="24">
        <f t="shared" si="62"/>
        <v>0</v>
      </c>
      <c r="K114" s="22">
        <f t="shared" si="63"/>
        <v>0</v>
      </c>
      <c r="L114" s="22">
        <f t="shared" si="64"/>
        <v>0</v>
      </c>
      <c r="M114" s="228">
        <f t="shared" si="65"/>
        <v>0</v>
      </c>
      <c r="N114" s="229">
        <v>16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8"/>
        <v>Remittances: no. times per year</v>
      </c>
      <c r="B115" s="75">
        <f t="shared" si="51"/>
        <v>0</v>
      </c>
      <c r="C115" s="75">
        <f t="shared" si="51"/>
        <v>0</v>
      </c>
      <c r="D115" s="24">
        <f t="shared" si="59"/>
        <v>0</v>
      </c>
      <c r="H115" s="24">
        <f t="shared" si="60"/>
        <v>1.1100000000000001</v>
      </c>
      <c r="I115" s="22">
        <f t="shared" si="61"/>
        <v>0</v>
      </c>
      <c r="J115" s="24">
        <f t="shared" si="62"/>
        <v>0</v>
      </c>
      <c r="K115" s="22">
        <f t="shared" si="63"/>
        <v>0</v>
      </c>
      <c r="L115" s="22">
        <f t="shared" si="64"/>
        <v>0</v>
      </c>
      <c r="M115" s="228">
        <f t="shared" si="65"/>
        <v>0</v>
      </c>
      <c r="N115" s="229">
        <v>15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8"/>
        <v/>
      </c>
      <c r="B116" s="75">
        <f t="shared" si="51"/>
        <v>0</v>
      </c>
      <c r="C116" s="75">
        <f t="shared" si="51"/>
        <v>0</v>
      </c>
      <c r="D116" s="24">
        <f t="shared" si="59"/>
        <v>0</v>
      </c>
      <c r="H116" s="24">
        <f t="shared" si="60"/>
        <v>1</v>
      </c>
      <c r="I116" s="22">
        <f t="shared" si="61"/>
        <v>0</v>
      </c>
      <c r="J116" s="24">
        <f t="shared" si="62"/>
        <v>0</v>
      </c>
      <c r="K116" s="22">
        <f t="shared" si="63"/>
        <v>0</v>
      </c>
      <c r="L116" s="22">
        <f t="shared" si="64"/>
        <v>0</v>
      </c>
      <c r="M116" s="228">
        <f t="shared" si="65"/>
        <v>0</v>
      </c>
      <c r="N116" s="229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8"/>
        <v/>
      </c>
      <c r="B117" s="75">
        <f t="shared" si="51"/>
        <v>0</v>
      </c>
      <c r="C117" s="75">
        <f t="shared" si="51"/>
        <v>0</v>
      </c>
      <c r="D117" s="24">
        <f t="shared" si="59"/>
        <v>0</v>
      </c>
      <c r="H117" s="24">
        <f t="shared" si="60"/>
        <v>1</v>
      </c>
      <c r="I117" s="22">
        <f t="shared" si="61"/>
        <v>0</v>
      </c>
      <c r="J117" s="24">
        <f t="shared" si="62"/>
        <v>0</v>
      </c>
      <c r="K117" s="22">
        <f t="shared" si="63"/>
        <v>0</v>
      </c>
      <c r="L117" s="22">
        <f t="shared" si="64"/>
        <v>0</v>
      </c>
      <c r="M117" s="228">
        <f t="shared" si="65"/>
        <v>0</v>
      </c>
      <c r="N117" s="229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8"/>
        <v/>
      </c>
      <c r="B118" s="75">
        <f t="shared" si="51"/>
        <v>0</v>
      </c>
      <c r="C118" s="75">
        <f t="shared" si="51"/>
        <v>0</v>
      </c>
      <c r="D118" s="24">
        <f t="shared" si="59"/>
        <v>0</v>
      </c>
      <c r="H118" s="24">
        <f t="shared" si="60"/>
        <v>1</v>
      </c>
      <c r="I118" s="22">
        <f t="shared" si="61"/>
        <v>0</v>
      </c>
      <c r="J118" s="24">
        <f t="shared" si="62"/>
        <v>0</v>
      </c>
      <c r="K118" s="22">
        <f t="shared" si="63"/>
        <v>0</v>
      </c>
      <c r="L118" s="22">
        <f t="shared" si="64"/>
        <v>0</v>
      </c>
      <c r="M118" s="228">
        <f t="shared" si="65"/>
        <v>0</v>
      </c>
      <c r="N118" s="229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2.2689038352158568</v>
      </c>
      <c r="C119" s="22">
        <f>SUM(C91:C118)</f>
        <v>-7.2888644495331043E-2</v>
      </c>
      <c r="D119" s="24">
        <f>SUM(D91:D118)</f>
        <v>2.1960151907205261</v>
      </c>
      <c r="E119" s="22"/>
      <c r="F119" s="2"/>
      <c r="G119" s="2"/>
      <c r="H119" s="31"/>
      <c r="I119" s="22">
        <f>SUM(I91:I118)</f>
        <v>2.3121286145519488</v>
      </c>
      <c r="J119" s="24">
        <f>SUM(J91:J118)</f>
        <v>2.3121286145519488</v>
      </c>
      <c r="K119" s="22">
        <f>SUM(K91:K118)</f>
        <v>2.2689038352158568</v>
      </c>
      <c r="L119" s="22">
        <f>SUM(L91:L118)</f>
        <v>2.3550204994818382</v>
      </c>
      <c r="M119" s="57">
        <f t="shared" si="49"/>
        <v>2.3121286145519488</v>
      </c>
      <c r="N119" s="223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Very Poor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66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66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60">
        <f>B70/B$83</f>
        <v>1.0540460987110494</v>
      </c>
      <c r="C124" s="2"/>
      <c r="D124" s="24"/>
      <c r="H124" s="96">
        <f>(E70*F70/G$37*F$7/F$9)</f>
        <v>1.4</v>
      </c>
      <c r="I124" s="29">
        <f>IF(SUMPRODUCT($B$124:$B124,$H$124:$H124)&lt;I$119,($B124*$H124),I$119)</f>
        <v>1.4756645381954689</v>
      </c>
      <c r="J124" s="237">
        <f>IF(SUMPRODUCT($B$124:$B124,$H$124:$H124)&lt;J$119,($B124*$H124),J$119)</f>
        <v>1.4756645381954689</v>
      </c>
      <c r="K124" s="29">
        <f>(B124)</f>
        <v>1.0540460987110494</v>
      </c>
      <c r="L124" s="29">
        <f>IF(SUMPRODUCT($B$124:$B124,$H$124:$H124)&lt;L$119,($B124*$H124),L$119)</f>
        <v>1.4756645381954689</v>
      </c>
      <c r="M124" s="240">
        <f t="shared" si="66"/>
        <v>1.4756645381954689</v>
      </c>
      <c r="N124" s="58"/>
      <c r="O124" s="174">
        <f>B124*H124</f>
        <v>1.4756645381954689</v>
      </c>
      <c r="P124" s="172"/>
      <c r="Q124" s="173"/>
      <c r="R124" s="69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1.0426501002402324</v>
      </c>
      <c r="C125" s="2"/>
      <c r="D125" s="24"/>
      <c r="H125" s="96">
        <f>(E71*F71/G$37*F$7/F$9)</f>
        <v>1.18</v>
      </c>
      <c r="I125" s="29">
        <f>IF(SUMPRODUCT($B$124:$B125,$H$124:$H125)&lt;I$119,($B125*$H125),IF(SUMPRODUCT($B$124:$B124,$H$124:$H124)&lt;I$119,I$119-SUMPRODUCT($B$124:$B124,$H$124:$H124),0))</f>
        <v>0.8364640763564799</v>
      </c>
      <c r="J125" s="237">
        <f>IF(SUMPRODUCT($B$124:$B125,$H$124:$H125)&lt;J$119,($B125*$H125),IF(SUMPRODUCT($B$124:$B124,$H$124:$H124)&lt;J$119,J$119-SUMPRODUCT($B$124:$B124,$H$124:$H124),0))</f>
        <v>0.8364640763564799</v>
      </c>
      <c r="K125" s="29">
        <f>(B125)</f>
        <v>1.0426501002402324</v>
      </c>
      <c r="L125" s="29">
        <f>IF(SUMPRODUCT($B$124:$B125,$H$124:$H125)&lt;L$119,($B125*$H125),IF(SUMPRODUCT($B$124:$B124,$H$124:$H124)&lt;L$119,L$119-SUMPRODUCT($B$124:$B124,$H$124:$H124),0))</f>
        <v>0.87935596128636928</v>
      </c>
      <c r="M125" s="240">
        <f t="shared" si="66"/>
        <v>0.8364640763564799</v>
      </c>
      <c r="N125" s="58"/>
      <c r="O125" s="174"/>
      <c r="P125" s="172"/>
      <c r="Q125" s="173"/>
      <c r="R125" s="69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1.9283216714844393</v>
      </c>
      <c r="C126" s="2"/>
      <c r="D126" s="24"/>
      <c r="H126" s="96">
        <f>(E72*F72/G$37*F$7/F$9)</f>
        <v>1.18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7">
        <f>IF(SUMPRODUCT($B$124:$B126,$H$124:$H126)&lt;(J$119-J$128),($B126*$H126),IF(SUMPRODUCT($B$124:$B125,$H$124:$H125)&lt;(J$119-J$128),J$119-J$128-SUMPRODUCT($B$124:$B125,$H$124:$H125),0))</f>
        <v>0</v>
      </c>
      <c r="K126" s="29">
        <f t="shared" ref="K126:K127" si="67">(B126)</f>
        <v>1.9283216714844393</v>
      </c>
      <c r="L126" s="29">
        <f>IF(SUMPRODUCT($B$124:$B126,$H$124:$H126)&lt;(L$119-L$128),($B126*$H126),IF(SUMPRODUCT($B$124:$B125,$H$124:$H125)&lt;(L$119-L$128),L$119-L$128-SUMPRODUCT($B$124:$B125,$H$124:$H125),0))</f>
        <v>0</v>
      </c>
      <c r="M126" s="240">
        <f t="shared" si="66"/>
        <v>0</v>
      </c>
      <c r="N126" s="58"/>
      <c r="O126" s="174"/>
      <c r="P126" s="172"/>
      <c r="Q126" s="173"/>
      <c r="R126" s="69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60">
        <f>B73/B$83</f>
        <v>0.17848652149553201</v>
      </c>
      <c r="C127" s="2"/>
      <c r="D127" s="24"/>
      <c r="H127" s="96">
        <f>(E73*F73/G$37*F$7/F$9)</f>
        <v>1.18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7">
        <f>IF(SUMPRODUCT($B$124:$B127,$H$124:$H127)&lt;(J$119-J$128),($B127*$H127),IF(SUMPRODUCT($B$124:$B126,$H$124:$H126)&lt;(J$119-J128),J$119-J$128-SUMPRODUCT($B$124:$B126,$H$124:$H126),0))</f>
        <v>0</v>
      </c>
      <c r="K127" s="29">
        <f t="shared" si="67"/>
        <v>0.17848652149553201</v>
      </c>
      <c r="L127" s="29">
        <f>IF(SUMPRODUCT($B$124:$B127,$H$124:$H127)&lt;(L$119-L$128),($B127*$H127),IF(SUMPRODUCT($B$124:$B126,$H$124:$H126)&lt;(L$119-L128),L$119-L$128-SUMPRODUCT($B$124:$B126,$H$124:$H126),0))</f>
        <v>0</v>
      </c>
      <c r="M127" s="240">
        <f t="shared" si="66"/>
        <v>0</v>
      </c>
      <c r="N127" s="58"/>
      <c r="O127" s="174">
        <f>B127*H127</f>
        <v>0.21061409536472778</v>
      </c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9">
        <f>(B30)</f>
        <v>0.61947890193026156</v>
      </c>
      <c r="C128" s="2"/>
      <c r="D128" s="31"/>
      <c r="E128" s="2"/>
      <c r="F128" s="2"/>
      <c r="G128" s="2"/>
      <c r="H128" s="24"/>
      <c r="I128" s="29">
        <f>(I30)</f>
        <v>0.8364640763564799</v>
      </c>
      <c r="J128" s="228">
        <f>(J30)</f>
        <v>0.58747615672459363</v>
      </c>
      <c r="K128" s="29">
        <f>(B128)</f>
        <v>0.61947890193026156</v>
      </c>
      <c r="L128" s="29">
        <f>IF(L124=L119,0,(L119-L124)/(B119-B124)*K128)</f>
        <v>0.44840021093396065</v>
      </c>
      <c r="M128" s="240">
        <f t="shared" si="66"/>
        <v>0.58747615672459363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0</v>
      </c>
      <c r="C129" s="2"/>
      <c r="D129" s="31"/>
      <c r="E129" s="2"/>
      <c r="F129" s="2"/>
      <c r="G129" s="2"/>
      <c r="H129" s="24"/>
      <c r="I129" s="29"/>
      <c r="J129" s="228">
        <f>IF(SUM(J124:J128)&gt;J130,0,J130-SUM(J124:J128))</f>
        <v>0</v>
      </c>
      <c r="K129" s="29">
        <f>(B129)</f>
        <v>0</v>
      </c>
      <c r="L129" s="60">
        <f>IF(SUM(L124:L128)&gt;L130,0,L130-SUM(L124:L128))</f>
        <v>0</v>
      </c>
      <c r="M129" s="240">
        <f t="shared" si="66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9">
        <f>(B119)</f>
        <v>2.2689038352158568</v>
      </c>
      <c r="C130" s="2"/>
      <c r="D130" s="31"/>
      <c r="E130" s="2"/>
      <c r="F130" s="2"/>
      <c r="G130" s="2"/>
      <c r="H130" s="24"/>
      <c r="I130" s="29">
        <f>(I119)</f>
        <v>2.3121286145519488</v>
      </c>
      <c r="J130" s="228">
        <f>(J119)</f>
        <v>2.3121286145519488</v>
      </c>
      <c r="K130" s="29">
        <f>(B130)</f>
        <v>2.2689038352158568</v>
      </c>
      <c r="L130" s="29">
        <f>(L119)</f>
        <v>2.3550204994818382</v>
      </c>
      <c r="M130" s="240">
        <f t="shared" si="66"/>
        <v>2.3121286145519488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1.2303271182834741</v>
      </c>
      <c r="J131" s="237">
        <f>IF(SUMPRODUCT($B124:$B125,$H124:$H125)&gt;(J119-J128),SUMPRODUCT($B124:$B125,$H124:$H125)+J128-J119,0)</f>
        <v>0.98133919865158825</v>
      </c>
      <c r="K131" s="29"/>
      <c r="L131" s="29">
        <f>IF(I131&lt;SUM(L126:L127),0,I131-(SUM(L126:L127)))</f>
        <v>1.2303271182834741</v>
      </c>
      <c r="M131" s="237">
        <f>IF(I131&lt;SUM(M126:M127),0,I131-(SUM(M126:M127)))</f>
        <v>1.2303271182834741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8">
    <mergeCell ref="AF1:AG1"/>
    <mergeCell ref="AF2:AG2"/>
    <mergeCell ref="Z2:AA2"/>
    <mergeCell ref="AB2:AC2"/>
    <mergeCell ref="Z1:AA1"/>
    <mergeCell ref="AB1:AC1"/>
    <mergeCell ref="AD1:AE1"/>
    <mergeCell ref="AD2:AE2"/>
  </mergeCells>
  <phoneticPr fontId="1" type="noConversion"/>
  <conditionalFormatting sqref="U7:U22">
    <cfRule type="cellIs" dxfId="411" priority="132" operator="equal">
      <formula>16</formula>
    </cfRule>
    <cfRule type="cellIs" dxfId="410" priority="133" operator="equal">
      <formula>15</formula>
    </cfRule>
    <cfRule type="cellIs" dxfId="409" priority="134" operator="equal">
      <formula>14</formula>
    </cfRule>
    <cfRule type="cellIs" dxfId="408" priority="135" operator="equal">
      <formula>13</formula>
    </cfRule>
    <cfRule type="cellIs" dxfId="407" priority="136" operator="equal">
      <formula>12</formula>
    </cfRule>
    <cfRule type="cellIs" dxfId="406" priority="137" operator="equal">
      <formula>11</formula>
    </cfRule>
    <cfRule type="cellIs" dxfId="405" priority="138" operator="equal">
      <formula>10</formula>
    </cfRule>
    <cfRule type="cellIs" dxfId="404" priority="139" operator="equal">
      <formula>9</formula>
    </cfRule>
    <cfRule type="cellIs" dxfId="403" priority="140" operator="equal">
      <formula>8</formula>
    </cfRule>
    <cfRule type="cellIs" dxfId="402" priority="141" operator="equal">
      <formula>7</formula>
    </cfRule>
    <cfRule type="cellIs" dxfId="401" priority="142" operator="equal">
      <formula>6</formula>
    </cfRule>
    <cfRule type="cellIs" dxfId="400" priority="143" operator="equal">
      <formula>5</formula>
    </cfRule>
    <cfRule type="cellIs" dxfId="399" priority="144" operator="equal">
      <formula>4</formula>
    </cfRule>
    <cfRule type="cellIs" dxfId="398" priority="145" operator="equal">
      <formula>3</formula>
    </cfRule>
    <cfRule type="cellIs" dxfId="397" priority="146" operator="equal">
      <formula>2</formula>
    </cfRule>
    <cfRule type="cellIs" dxfId="396" priority="147" operator="equal">
      <formula>1</formula>
    </cfRule>
  </conditionalFormatting>
  <conditionalFormatting sqref="N29">
    <cfRule type="cellIs" dxfId="395" priority="116" operator="equal">
      <formula>16</formula>
    </cfRule>
    <cfRule type="cellIs" dxfId="394" priority="117" operator="equal">
      <formula>15</formula>
    </cfRule>
    <cfRule type="cellIs" dxfId="393" priority="118" operator="equal">
      <formula>14</formula>
    </cfRule>
    <cfRule type="cellIs" dxfId="392" priority="119" operator="equal">
      <formula>13</formula>
    </cfRule>
    <cfRule type="cellIs" dxfId="391" priority="120" operator="equal">
      <formula>12</formula>
    </cfRule>
    <cfRule type="cellIs" dxfId="390" priority="121" operator="equal">
      <formula>11</formula>
    </cfRule>
    <cfRule type="cellIs" dxfId="389" priority="122" operator="equal">
      <formula>10</formula>
    </cfRule>
    <cfRule type="cellIs" dxfId="388" priority="123" operator="equal">
      <formula>9</formula>
    </cfRule>
    <cfRule type="cellIs" dxfId="387" priority="124" operator="equal">
      <formula>8</formula>
    </cfRule>
    <cfRule type="cellIs" dxfId="386" priority="125" operator="equal">
      <formula>7</formula>
    </cfRule>
    <cfRule type="cellIs" dxfId="385" priority="126" operator="equal">
      <formula>6</formula>
    </cfRule>
    <cfRule type="cellIs" dxfId="384" priority="127" operator="equal">
      <formula>5</formula>
    </cfRule>
    <cfRule type="cellIs" dxfId="383" priority="128" operator="equal">
      <formula>4</formula>
    </cfRule>
    <cfRule type="cellIs" dxfId="382" priority="129" operator="equal">
      <formula>3</formula>
    </cfRule>
    <cfRule type="cellIs" dxfId="381" priority="130" operator="equal">
      <formula>2</formula>
    </cfRule>
    <cfRule type="cellIs" dxfId="380" priority="131" operator="equal">
      <formula>1</formula>
    </cfRule>
  </conditionalFormatting>
  <conditionalFormatting sqref="N116:N119">
    <cfRule type="cellIs" dxfId="379" priority="100" operator="equal">
      <formula>16</formula>
    </cfRule>
    <cfRule type="cellIs" dxfId="378" priority="101" operator="equal">
      <formula>15</formula>
    </cfRule>
    <cfRule type="cellIs" dxfId="377" priority="102" operator="equal">
      <formula>14</formula>
    </cfRule>
    <cfRule type="cellIs" dxfId="376" priority="103" operator="equal">
      <formula>13</formula>
    </cfRule>
    <cfRule type="cellIs" dxfId="375" priority="104" operator="equal">
      <formula>12</formula>
    </cfRule>
    <cfRule type="cellIs" dxfId="374" priority="105" operator="equal">
      <formula>11</formula>
    </cfRule>
    <cfRule type="cellIs" dxfId="373" priority="106" operator="equal">
      <formula>10</formula>
    </cfRule>
    <cfRule type="cellIs" dxfId="372" priority="107" operator="equal">
      <formula>9</formula>
    </cfRule>
    <cfRule type="cellIs" dxfId="371" priority="108" operator="equal">
      <formula>8</formula>
    </cfRule>
    <cfRule type="cellIs" dxfId="370" priority="109" operator="equal">
      <formula>7</formula>
    </cfRule>
    <cfRule type="cellIs" dxfId="369" priority="110" operator="equal">
      <formula>6</formula>
    </cfRule>
    <cfRule type="cellIs" dxfId="368" priority="111" operator="equal">
      <formula>5</formula>
    </cfRule>
    <cfRule type="cellIs" dxfId="367" priority="112" operator="equal">
      <formula>4</formula>
    </cfRule>
    <cfRule type="cellIs" dxfId="366" priority="113" operator="equal">
      <formula>3</formula>
    </cfRule>
    <cfRule type="cellIs" dxfId="365" priority="114" operator="equal">
      <formula>2</formula>
    </cfRule>
    <cfRule type="cellIs" dxfId="364" priority="115" operator="equal">
      <formula>1</formula>
    </cfRule>
  </conditionalFormatting>
  <conditionalFormatting sqref="N6:N28">
    <cfRule type="cellIs" dxfId="363" priority="52" operator="equal">
      <formula>16</formula>
    </cfRule>
    <cfRule type="cellIs" dxfId="362" priority="53" operator="equal">
      <formula>15</formula>
    </cfRule>
    <cfRule type="cellIs" dxfId="361" priority="54" operator="equal">
      <formula>14</formula>
    </cfRule>
    <cfRule type="cellIs" dxfId="360" priority="55" operator="equal">
      <formula>13</formula>
    </cfRule>
    <cfRule type="cellIs" dxfId="359" priority="56" operator="equal">
      <formula>12</formula>
    </cfRule>
    <cfRule type="cellIs" dxfId="358" priority="57" operator="equal">
      <formula>11</formula>
    </cfRule>
    <cfRule type="cellIs" dxfId="357" priority="58" operator="equal">
      <formula>10</formula>
    </cfRule>
    <cfRule type="cellIs" dxfId="356" priority="59" operator="equal">
      <formula>9</formula>
    </cfRule>
    <cfRule type="cellIs" dxfId="355" priority="60" operator="equal">
      <formula>8</formula>
    </cfRule>
    <cfRule type="cellIs" dxfId="354" priority="61" operator="equal">
      <formula>7</formula>
    </cfRule>
    <cfRule type="cellIs" dxfId="353" priority="62" operator="equal">
      <formula>6</formula>
    </cfRule>
    <cfRule type="cellIs" dxfId="352" priority="63" operator="equal">
      <formula>5</formula>
    </cfRule>
    <cfRule type="cellIs" dxfId="351" priority="64" operator="equal">
      <formula>4</formula>
    </cfRule>
    <cfRule type="cellIs" dxfId="350" priority="65" operator="equal">
      <formula>3</formula>
    </cfRule>
    <cfRule type="cellIs" dxfId="349" priority="66" operator="equal">
      <formula>2</formula>
    </cfRule>
    <cfRule type="cellIs" dxfId="348" priority="67" operator="equal">
      <formula>1</formula>
    </cfRule>
  </conditionalFormatting>
  <conditionalFormatting sqref="R31:T31">
    <cfRule type="cellIs" dxfId="347" priority="51" operator="greaterThan">
      <formula>0</formula>
    </cfRule>
  </conditionalFormatting>
  <conditionalFormatting sqref="R32:T32">
    <cfRule type="cellIs" dxfId="346" priority="50" operator="greaterThan">
      <formula>0</formula>
    </cfRule>
  </conditionalFormatting>
  <conditionalFormatting sqref="R30:T30">
    <cfRule type="cellIs" dxfId="345" priority="49" operator="greaterThan">
      <formula>0</formula>
    </cfRule>
  </conditionalFormatting>
  <conditionalFormatting sqref="N113:N115">
    <cfRule type="cellIs" dxfId="344" priority="33" operator="equal">
      <formula>16</formula>
    </cfRule>
    <cfRule type="cellIs" dxfId="343" priority="34" operator="equal">
      <formula>15</formula>
    </cfRule>
    <cfRule type="cellIs" dxfId="342" priority="35" operator="equal">
      <formula>14</formula>
    </cfRule>
    <cfRule type="cellIs" dxfId="341" priority="36" operator="equal">
      <formula>13</formula>
    </cfRule>
    <cfRule type="cellIs" dxfId="340" priority="37" operator="equal">
      <formula>12</formula>
    </cfRule>
    <cfRule type="cellIs" dxfId="339" priority="38" operator="equal">
      <formula>11</formula>
    </cfRule>
    <cfRule type="cellIs" dxfId="338" priority="39" operator="equal">
      <formula>10</formula>
    </cfRule>
    <cfRule type="cellIs" dxfId="337" priority="40" operator="equal">
      <formula>9</formula>
    </cfRule>
    <cfRule type="cellIs" dxfId="336" priority="41" operator="equal">
      <formula>8</formula>
    </cfRule>
    <cfRule type="cellIs" dxfId="335" priority="42" operator="equal">
      <formula>7</formula>
    </cfRule>
    <cfRule type="cellIs" dxfId="334" priority="43" operator="equal">
      <formula>6</formula>
    </cfRule>
    <cfRule type="cellIs" dxfId="333" priority="44" operator="equal">
      <formula>5</formula>
    </cfRule>
    <cfRule type="cellIs" dxfId="332" priority="45" operator="equal">
      <formula>4</formula>
    </cfRule>
    <cfRule type="cellIs" dxfId="331" priority="46" operator="equal">
      <formula>3</formula>
    </cfRule>
    <cfRule type="cellIs" dxfId="330" priority="47" operator="equal">
      <formula>2</formula>
    </cfRule>
    <cfRule type="cellIs" dxfId="329" priority="48" operator="equal">
      <formula>1</formula>
    </cfRule>
  </conditionalFormatting>
  <conditionalFormatting sqref="N91:N104">
    <cfRule type="cellIs" dxfId="328" priority="17" operator="equal">
      <formula>16</formula>
    </cfRule>
    <cfRule type="cellIs" dxfId="327" priority="18" operator="equal">
      <formula>15</formula>
    </cfRule>
    <cfRule type="cellIs" dxfId="326" priority="19" operator="equal">
      <formula>14</formula>
    </cfRule>
    <cfRule type="cellIs" dxfId="325" priority="20" operator="equal">
      <formula>13</formula>
    </cfRule>
    <cfRule type="cellIs" dxfId="324" priority="21" operator="equal">
      <formula>12</formula>
    </cfRule>
    <cfRule type="cellIs" dxfId="323" priority="22" operator="equal">
      <formula>11</formula>
    </cfRule>
    <cfRule type="cellIs" dxfId="322" priority="23" operator="equal">
      <formula>10</formula>
    </cfRule>
    <cfRule type="cellIs" dxfId="321" priority="24" operator="equal">
      <formula>9</formula>
    </cfRule>
    <cfRule type="cellIs" dxfId="320" priority="25" operator="equal">
      <formula>8</formula>
    </cfRule>
    <cfRule type="cellIs" dxfId="319" priority="26" operator="equal">
      <formula>7</formula>
    </cfRule>
    <cfRule type="cellIs" dxfId="318" priority="27" operator="equal">
      <formula>6</formula>
    </cfRule>
    <cfRule type="cellIs" dxfId="317" priority="28" operator="equal">
      <formula>5</formula>
    </cfRule>
    <cfRule type="cellIs" dxfId="316" priority="29" operator="equal">
      <formula>4</formula>
    </cfRule>
    <cfRule type="cellIs" dxfId="315" priority="30" operator="equal">
      <formula>3</formula>
    </cfRule>
    <cfRule type="cellIs" dxfId="314" priority="31" operator="equal">
      <formula>2</formula>
    </cfRule>
    <cfRule type="cellIs" dxfId="313" priority="32" operator="equal">
      <formula>1</formula>
    </cfRule>
  </conditionalFormatting>
  <conditionalFormatting sqref="N105:N112">
    <cfRule type="cellIs" dxfId="312" priority="1" operator="equal">
      <formula>16</formula>
    </cfRule>
    <cfRule type="cellIs" dxfId="311" priority="2" operator="equal">
      <formula>15</formula>
    </cfRule>
    <cfRule type="cellIs" dxfId="310" priority="3" operator="equal">
      <formula>14</formula>
    </cfRule>
    <cfRule type="cellIs" dxfId="309" priority="4" operator="equal">
      <formula>13</formula>
    </cfRule>
    <cfRule type="cellIs" dxfId="308" priority="5" operator="equal">
      <formula>12</formula>
    </cfRule>
    <cfRule type="cellIs" dxfId="307" priority="6" operator="equal">
      <formula>11</formula>
    </cfRule>
    <cfRule type="cellIs" dxfId="306" priority="7" operator="equal">
      <formula>10</formula>
    </cfRule>
    <cfRule type="cellIs" dxfId="305" priority="8" operator="equal">
      <formula>9</formula>
    </cfRule>
    <cfRule type="cellIs" dxfId="304" priority="9" operator="equal">
      <formula>8</formula>
    </cfRule>
    <cfRule type="cellIs" dxfId="303" priority="10" operator="equal">
      <formula>7</formula>
    </cfRule>
    <cfRule type="cellIs" dxfId="302" priority="11" operator="equal">
      <formula>6</formula>
    </cfRule>
    <cfRule type="cellIs" dxfId="301" priority="12" operator="equal">
      <formula>5</formula>
    </cfRule>
    <cfRule type="cellIs" dxfId="300" priority="13" operator="equal">
      <formula>4</formula>
    </cfRule>
    <cfRule type="cellIs" dxfId="299" priority="14" operator="equal">
      <formula>3</formula>
    </cfRule>
    <cfRule type="cellIs" dxfId="298" priority="15" operator="equal">
      <formula>2</formula>
    </cfRule>
    <cfRule type="cellIs" dxfId="297" priority="16" operator="equal">
      <formula>1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tabSelected="1" workbookViewId="0">
      <pane xSplit="1" ySplit="2" topLeftCell="B20" activePane="bottomRight" state="frozen"/>
      <selection pane="topRight" activeCell="B1" sqref="B1"/>
      <selection pane="bottomLeft" activeCell="A3" sqref="A3"/>
      <selection pane="bottomRight" activeCell="E56" sqref="E56"/>
    </sheetView>
  </sheetViews>
  <sheetFormatPr baseColWidth="10" defaultColWidth="8" defaultRowHeight="15" x14ac:dyDescent="0"/>
  <cols>
    <col min="1" max="1" width="21.85546875" style="67" customWidth="1"/>
    <col min="2" max="3" width="6.85546875" style="67" customWidth="1"/>
    <col min="4" max="6" width="6.85546875" style="4" customWidth="1"/>
    <col min="7" max="7" width="6.5703125" style="4" customWidth="1"/>
    <col min="8" max="8" width="6.7109375" style="4" customWidth="1"/>
    <col min="9" max="12" width="6.85546875" style="4" customWidth="1"/>
    <col min="13" max="13" width="7.7109375" style="4" customWidth="1"/>
    <col min="14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73" t="s">
        <v>187</v>
      </c>
      <c r="B1" s="244" t="s">
        <v>188</v>
      </c>
      <c r="C1" s="1"/>
      <c r="D1" s="2"/>
      <c r="E1" s="2"/>
      <c r="F1" s="2"/>
      <c r="G1" s="2"/>
      <c r="H1" s="2" t="s">
        <v>0</v>
      </c>
      <c r="I1" s="2"/>
      <c r="J1" s="3"/>
      <c r="L1" s="2"/>
      <c r="O1" s="2"/>
      <c r="P1" s="2"/>
      <c r="Q1" s="56"/>
      <c r="R1" s="56"/>
      <c r="S1" s="67"/>
      <c r="T1" s="56"/>
      <c r="U1" s="56"/>
      <c r="V1" s="56"/>
      <c r="W1" s="110"/>
      <c r="X1" s="114" t="s">
        <v>67</v>
      </c>
      <c r="Y1" s="115" t="s">
        <v>58</v>
      </c>
      <c r="Z1" s="261" t="s">
        <v>105</v>
      </c>
      <c r="AA1" s="262"/>
      <c r="AB1" s="261" t="s">
        <v>106</v>
      </c>
      <c r="AC1" s="262"/>
      <c r="AD1" s="261" t="s">
        <v>107</v>
      </c>
      <c r="AE1" s="262"/>
      <c r="AF1" s="261" t="s">
        <v>108</v>
      </c>
      <c r="AG1" s="262"/>
      <c r="AH1" s="117"/>
      <c r="AI1" s="110"/>
      <c r="AJ1" s="199" t="str">
        <f>LEFT(Z1,4) &amp; MID(AB1,5,3)</f>
        <v>Apr-Sep</v>
      </c>
      <c r="AK1" s="200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8"/>
      <c r="C2" s="9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56"/>
      <c r="R2" s="56"/>
      <c r="S2" s="67"/>
      <c r="T2" s="56"/>
      <c r="U2" s="56"/>
      <c r="V2" s="56"/>
      <c r="W2" s="110"/>
      <c r="X2" s="118" t="s">
        <v>59</v>
      </c>
      <c r="Y2" s="115" t="s">
        <v>60</v>
      </c>
      <c r="Z2" s="259" t="s">
        <v>109</v>
      </c>
      <c r="AA2" s="263"/>
      <c r="AB2" s="259" t="s">
        <v>110</v>
      </c>
      <c r="AC2" s="263"/>
      <c r="AD2" s="259" t="s">
        <v>111</v>
      </c>
      <c r="AE2" s="263"/>
      <c r="AF2" s="259" t="s">
        <v>112</v>
      </c>
      <c r="AG2" s="263"/>
      <c r="AH2" s="117"/>
      <c r="AI2" s="110"/>
      <c r="AJ2" s="197" t="s">
        <v>113</v>
      </c>
      <c r="AK2" s="198" t="s">
        <v>114</v>
      </c>
      <c r="CM2" s="6"/>
    </row>
    <row r="3" spans="1:91">
      <c r="A3" s="15" t="s">
        <v>5</v>
      </c>
      <c r="B3" s="1"/>
      <c r="C3" s="1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1"/>
      <c r="B4" s="1" t="s">
        <v>7</v>
      </c>
      <c r="C4" s="1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1"/>
      <c r="B5" s="1" t="s">
        <v>16</v>
      </c>
      <c r="C5" s="1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85" t="s">
        <v>145</v>
      </c>
      <c r="B6" s="215">
        <v>3.5977546699875462E-2</v>
      </c>
      <c r="C6" s="215">
        <v>0</v>
      </c>
      <c r="D6" s="24">
        <f t="shared" ref="D6:D16" si="0">SUM(B6,C6)</f>
        <v>3.5977546699875462E-2</v>
      </c>
      <c r="E6" s="26">
        <v>0.2</v>
      </c>
      <c r="F6" s="2" t="s">
        <v>21</v>
      </c>
      <c r="H6" s="24">
        <f t="shared" ref="H6:H29" si="1">(E6*F$7/F$9)</f>
        <v>0.2</v>
      </c>
      <c r="I6" s="22">
        <f t="shared" ref="I6:I29" si="2">(D6*H6)</f>
        <v>7.1955093399750925E-3</v>
      </c>
      <c r="J6" s="24">
        <f t="shared" ref="J6:J13" si="3">IF(I$32&lt;=1+I$131,I6,B6*H6+J$33*(I6-B6*H6))</f>
        <v>7.1955093399750925E-3</v>
      </c>
      <c r="K6" s="22">
        <f t="shared" ref="K6:K31" si="4">B6</f>
        <v>3.5977546699875462E-2</v>
      </c>
      <c r="L6" s="22">
        <f t="shared" ref="L6:L29" si="5">IF(K6="","",K6*H6)</f>
        <v>7.1955093399750925E-3</v>
      </c>
      <c r="M6" s="224">
        <f t="shared" ref="M6:M31" si="6">J6</f>
        <v>7.1955093399750925E-3</v>
      </c>
      <c r="N6" s="229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2.878203735990037E-2</v>
      </c>
      <c r="Z6" s="116">
        <v>0.17</v>
      </c>
      <c r="AA6" s="121">
        <f>$M6*Z6*4</f>
        <v>4.8929463511830631E-3</v>
      </c>
      <c r="AB6" s="116">
        <v>0.17</v>
      </c>
      <c r="AC6" s="121">
        <f t="shared" ref="AC6:AC29" si="7">$M6*AB6*4</f>
        <v>4.8929463511830631E-3</v>
      </c>
      <c r="AD6" s="116">
        <v>0.33</v>
      </c>
      <c r="AE6" s="121">
        <f t="shared" ref="AE6:AE29" si="8">$M6*AD6*4</f>
        <v>9.4980723287671227E-3</v>
      </c>
      <c r="AF6" s="122">
        <f>1-SUM(Z6,AB6,AD6)</f>
        <v>0.32999999999999996</v>
      </c>
      <c r="AG6" s="121">
        <f>$M6*AF6*4</f>
        <v>9.4980723287671209E-3</v>
      </c>
      <c r="AH6" s="123">
        <f>SUM(Z6,AB6,AD6,AF6)</f>
        <v>1</v>
      </c>
      <c r="AI6" s="183">
        <f>SUM(AA6,AC6,AE6,AG6)/4</f>
        <v>7.1955093399750925E-3</v>
      </c>
      <c r="AJ6" s="120">
        <f>(AA6+AC6)/2</f>
        <v>4.8929463511830631E-3</v>
      </c>
      <c r="AK6" s="119">
        <f>(AE6+AG6)/2</f>
        <v>9.4980723287671209E-3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85" t="s">
        <v>146</v>
      </c>
      <c r="B7" s="215">
        <v>2.8596602194894145E-2</v>
      </c>
      <c r="C7" s="215">
        <v>0</v>
      </c>
      <c r="D7" s="24">
        <f t="shared" si="0"/>
        <v>2.8596602194894145E-2</v>
      </c>
      <c r="E7" s="26">
        <v>0.2</v>
      </c>
      <c r="F7" s="27">
        <v>8800</v>
      </c>
      <c r="H7" s="24">
        <f t="shared" si="1"/>
        <v>0.2</v>
      </c>
      <c r="I7" s="22">
        <f t="shared" si="2"/>
        <v>5.7193204389788289E-3</v>
      </c>
      <c r="J7" s="24">
        <f t="shared" si="3"/>
        <v>5.7193204389788289E-3</v>
      </c>
      <c r="K7" s="22">
        <f t="shared" si="4"/>
        <v>2.8596602194894145E-2</v>
      </c>
      <c r="L7" s="22">
        <f t="shared" si="5"/>
        <v>5.7193204389788289E-3</v>
      </c>
      <c r="M7" s="224">
        <f t="shared" si="6"/>
        <v>5.7193204389788289E-3</v>
      </c>
      <c r="N7" s="229">
        <v>3</v>
      </c>
      <c r="O7" s="2"/>
      <c r="P7" s="22"/>
      <c r="Q7" s="59" t="s">
        <v>71</v>
      </c>
      <c r="R7" s="222">
        <f>IF($B$81=0,0,(SUMIF($N$6:$N$28,$U7,K$6:K$28)+SUMIF($N$91:$N$118,$U7,K$91:K$118))*$B$83*$H$84*Poor!$B$81/$B$81)</f>
        <v>3310.8818669346656</v>
      </c>
      <c r="S7" s="222">
        <f>IF($B$81=0,0,(SUMIF($N$6:$N$28,$U7,L$6:L$28)+SUMIF($N$91:$N$118,$U7,L$91:L$118))*$I$83*Poor!$B$81/$B$81)</f>
        <v>708.04227716205048</v>
      </c>
      <c r="T7" s="222">
        <f>IF($B$81=0,0,(SUMIF($N$6:$N$28,$U7,M$6:M$28)+SUMIF($N$91:$N$118,$U7,M$91:M$118))*$I$83*Poor!$B$81/$B$81)</f>
        <v>719.16936201777662</v>
      </c>
      <c r="U7" s="223">
        <v>1</v>
      </c>
      <c r="V7" s="56"/>
      <c r="W7" s="115"/>
      <c r="X7" s="124">
        <v>4</v>
      </c>
      <c r="Y7" s="183">
        <f t="shared" ref="Y7:Y29" si="9">M7*4</f>
        <v>2.2877281755915316E-2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2.2877281755915316E-2</v>
      </c>
      <c r="AH7" s="123">
        <f t="shared" ref="AH7:AH30" si="12">SUM(Z7,AB7,AD7,AF7)</f>
        <v>1</v>
      </c>
      <c r="AI7" s="183">
        <f t="shared" ref="AI7:AI30" si="13">SUM(AA7,AC7,AE7,AG7)/4</f>
        <v>5.7193204389788289E-3</v>
      </c>
      <c r="AJ7" s="120">
        <f t="shared" ref="AJ7:AJ31" si="14">(AA7+AC7)/2</f>
        <v>0</v>
      </c>
      <c r="AK7" s="119">
        <f t="shared" ref="AK7:AK31" si="15">(AE7+AG7)/2</f>
        <v>1.1438640877957658E-2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85" t="s">
        <v>147</v>
      </c>
      <c r="B8" s="215">
        <v>1.361111111111111E-2</v>
      </c>
      <c r="C8" s="215">
        <v>0</v>
      </c>
      <c r="D8" s="24">
        <f t="shared" si="0"/>
        <v>1.361111111111111E-2</v>
      </c>
      <c r="E8" s="26">
        <v>0.2</v>
      </c>
      <c r="F8" s="22" t="s">
        <v>23</v>
      </c>
      <c r="H8" s="24">
        <f t="shared" si="1"/>
        <v>0.2</v>
      </c>
      <c r="I8" s="22">
        <f t="shared" si="2"/>
        <v>2.7222222222222222E-3</v>
      </c>
      <c r="J8" s="24">
        <f t="shared" si="3"/>
        <v>2.7222222222222222E-3</v>
      </c>
      <c r="K8" s="22">
        <f t="shared" si="4"/>
        <v>1.361111111111111E-2</v>
      </c>
      <c r="L8" s="22">
        <f t="shared" si="5"/>
        <v>2.7222222222222222E-3</v>
      </c>
      <c r="M8" s="224">
        <f t="shared" si="6"/>
        <v>2.7222222222222222E-3</v>
      </c>
      <c r="N8" s="229">
        <v>1</v>
      </c>
      <c r="O8" s="2"/>
      <c r="P8" s="22"/>
      <c r="Q8" s="59" t="s">
        <v>72</v>
      </c>
      <c r="R8" s="222">
        <f>IF($B$81=0,0,(SUMIF($N$6:$N$28,$U8,K$6:K$28)+SUMIF($N$91:$N$118,$U8,K$91:K$118))*$B$83*$H$84*Poor!$B$81/$B$81)</f>
        <v>1526.206542727313</v>
      </c>
      <c r="S8" s="222">
        <f>IF($B$81=0,0,(SUMIF($N$6:$N$28,$U8,L$6:L$28)+SUMIF($N$91:$N$118,$U8,L$91:L$118))*$I$83*Poor!$B$81/$B$81)</f>
        <v>347.29333333333335</v>
      </c>
      <c r="T8" s="222">
        <f>IF($B$81=0,0,(SUMIF($N$6:$N$28,$U8,M$6:M$28)+SUMIF($N$91:$N$118,$U8,M$91:M$118))*$I$83*Poor!$B$81/$B$81)</f>
        <v>316.30266981633775</v>
      </c>
      <c r="U8" s="223">
        <v>2</v>
      </c>
      <c r="V8" s="184"/>
      <c r="W8" s="115"/>
      <c r="X8" s="124">
        <v>1</v>
      </c>
      <c r="Y8" s="183">
        <f t="shared" si="9"/>
        <v>1.0888888888888889E-2</v>
      </c>
      <c r="Z8" s="125">
        <f>IF($Y8=0,0,AA8/$Y8)</f>
        <v>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1.0888888888888889E-2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2.7222222222222222E-3</v>
      </c>
      <c r="AJ8" s="120">
        <f t="shared" si="14"/>
        <v>5.4444444444444445E-3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85" t="s">
        <v>148</v>
      </c>
      <c r="B9" s="215">
        <v>0.12322019489414693</v>
      </c>
      <c r="C9" s="215">
        <v>0</v>
      </c>
      <c r="D9" s="24">
        <f t="shared" si="0"/>
        <v>0.12322019489414693</v>
      </c>
      <c r="E9" s="26">
        <v>0.3</v>
      </c>
      <c r="F9" s="28">
        <v>8800</v>
      </c>
      <c r="H9" s="24">
        <f t="shared" si="1"/>
        <v>0.3</v>
      </c>
      <c r="I9" s="22">
        <f t="shared" si="2"/>
        <v>3.6966058468244078E-2</v>
      </c>
      <c r="J9" s="24">
        <f t="shared" si="3"/>
        <v>3.6966058468244078E-2</v>
      </c>
      <c r="K9" s="22">
        <f t="shared" si="4"/>
        <v>0.12322019489414693</v>
      </c>
      <c r="L9" s="22">
        <f t="shared" si="5"/>
        <v>3.6966058468244078E-2</v>
      </c>
      <c r="M9" s="224">
        <f t="shared" si="6"/>
        <v>3.6966058468244078E-2</v>
      </c>
      <c r="N9" s="229">
        <v>1</v>
      </c>
      <c r="O9" s="2"/>
      <c r="P9" s="22"/>
      <c r="Q9" s="59" t="s">
        <v>73</v>
      </c>
      <c r="R9" s="222">
        <f>IF($B$81=0,0,(SUMIF($N$6:$N$28,$U9,K$6:K$28)+SUMIF($N$91:$N$118,$U9,K$91:K$118))*$B$83*$H$84*Poor!$B$81/$B$81)</f>
        <v>1095.5690994329716</v>
      </c>
      <c r="S9" s="222">
        <f>IF($B$81=0,0,(SUMIF($N$6:$N$28,$U9,L$6:L$28)+SUMIF($N$91:$N$118,$U9,L$91:L$118))*$I$83*Poor!$B$81/$B$81)</f>
        <v>178.07168754085009</v>
      </c>
      <c r="T9" s="222">
        <f>IF($B$81=0,0,(SUMIF($N$6:$N$28,$U9,M$6:M$28)+SUMIF($N$91:$N$118,$U9,M$91:M$118))*$I$83*Poor!$B$81/$B$81)</f>
        <v>178.07168754085009</v>
      </c>
      <c r="U9" s="223">
        <v>3</v>
      </c>
      <c r="V9" s="56"/>
      <c r="W9" s="115"/>
      <c r="X9" s="124">
        <v>1</v>
      </c>
      <c r="Y9" s="183">
        <f t="shared" si="9"/>
        <v>0.14786423387297631</v>
      </c>
      <c r="Z9" s="125">
        <f>IF($Y9=0,0,AA9/$Y9)</f>
        <v>1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0.14786423387297631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3.6966058468244078E-2</v>
      </c>
      <c r="AJ9" s="120">
        <f t="shared" si="14"/>
        <v>7.3932116936488157E-2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85" t="s">
        <v>149</v>
      </c>
      <c r="B10" s="215">
        <v>2.3382926058530512E-2</v>
      </c>
      <c r="C10" s="215">
        <v>-5.2473495485678727E-3</v>
      </c>
      <c r="D10" s="24">
        <f t="shared" si="0"/>
        <v>1.8135576509962639E-2</v>
      </c>
      <c r="E10" s="26">
        <v>0.2</v>
      </c>
      <c r="H10" s="24">
        <f t="shared" si="1"/>
        <v>0.2</v>
      </c>
      <c r="I10" s="22">
        <f t="shared" si="2"/>
        <v>3.627115301992528E-3</v>
      </c>
      <c r="J10" s="24">
        <f t="shared" si="3"/>
        <v>4.4367579908589994E-3</v>
      </c>
      <c r="K10" s="22">
        <f t="shared" si="4"/>
        <v>2.3382926058530512E-2</v>
      </c>
      <c r="L10" s="22">
        <f t="shared" si="5"/>
        <v>4.6765852117061028E-3</v>
      </c>
      <c r="M10" s="224">
        <f t="shared" si="6"/>
        <v>4.4367579908589994E-3</v>
      </c>
      <c r="N10" s="229">
        <v>1</v>
      </c>
      <c r="O10" s="2"/>
      <c r="P10" s="22"/>
      <c r="Q10" s="59" t="s">
        <v>74</v>
      </c>
      <c r="R10" s="222">
        <f>IF($B$81=0,0,(SUMIF($N$6:$N$28,$U10,K$6:K$28)+SUMIF($N$91:$N$118,$U10,K$91:K$118))*$B$83*$H$84*Poor!$B$81/$B$81)</f>
        <v>0</v>
      </c>
      <c r="S10" s="222">
        <f>IF($B$81=0,0,(SUMIF($N$6:$N$28,$U10,L$6:L$28)+SUMIF($N$91:$N$118,$U10,L$91:L$118))*$I$83*Poor!$B$81/$B$81)</f>
        <v>0</v>
      </c>
      <c r="T10" s="222">
        <f>IF($B$81=0,0,(SUMIF($N$6:$N$28,$U10,M$6:M$28)+SUMIF($N$91:$N$118,$U10,M$91:M$118))*$I$83*Poor!$B$81/$B$81)</f>
        <v>0</v>
      </c>
      <c r="U10" s="223">
        <v>4</v>
      </c>
      <c r="V10" s="56"/>
      <c r="W10" s="115"/>
      <c r="X10" s="124">
        <v>1</v>
      </c>
      <c r="Y10" s="183">
        <f t="shared" si="9"/>
        <v>1.7747031963435998E-2</v>
      </c>
      <c r="Z10" s="125">
        <f>IF($Y10=0,0,AA10/$Y10)</f>
        <v>1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1.7747031963435998E-2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0</v>
      </c>
      <c r="AG10" s="121">
        <f t="shared" si="11"/>
        <v>0</v>
      </c>
      <c r="AH10" s="123">
        <f t="shared" si="12"/>
        <v>1</v>
      </c>
      <c r="AI10" s="183">
        <f t="shared" si="13"/>
        <v>4.4367579908589994E-3</v>
      </c>
      <c r="AJ10" s="120">
        <f t="shared" si="14"/>
        <v>8.8735159817179988E-3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85" t="s">
        <v>150</v>
      </c>
      <c r="B11" s="215">
        <v>5.6812901618929013E-3</v>
      </c>
      <c r="C11" s="215">
        <v>9.7512702366127028E-3</v>
      </c>
      <c r="D11" s="24">
        <f t="shared" si="0"/>
        <v>1.5432560398505605E-2</v>
      </c>
      <c r="E11" s="26">
        <v>0.2</v>
      </c>
      <c r="H11" s="24">
        <f t="shared" si="1"/>
        <v>0.2</v>
      </c>
      <c r="I11" s="22">
        <f t="shared" si="2"/>
        <v>3.0865120797011212E-3</v>
      </c>
      <c r="J11" s="24">
        <f t="shared" si="3"/>
        <v>1.5819344674874562E-3</v>
      </c>
      <c r="K11" s="22">
        <f t="shared" si="4"/>
        <v>5.6812901618929013E-3</v>
      </c>
      <c r="L11" s="22">
        <f t="shared" si="5"/>
        <v>1.1362580323785803E-3</v>
      </c>
      <c r="M11" s="224">
        <f t="shared" si="6"/>
        <v>1.5819344674874562E-3</v>
      </c>
      <c r="N11" s="229">
        <v>1</v>
      </c>
      <c r="O11" s="2"/>
      <c r="P11" s="22"/>
      <c r="Q11" s="59" t="s">
        <v>75</v>
      </c>
      <c r="R11" s="222">
        <f>IF($B$81=0,0,(SUMIF($N$6:$N$28,$U11,K$6:K$28)+SUMIF($N$91:$N$118,$U11,K$91:K$118))*$B$83*$H$84*Poor!$B$81/$B$81)</f>
        <v>10048.517627056288</v>
      </c>
      <c r="S11" s="222">
        <f>IF($B$81=0,0,(SUMIF($N$6:$N$28,$U11,L$6:L$28)+SUMIF($N$91:$N$118,$U11,L$91:L$118))*$I$83*Poor!$B$81/$B$81)</f>
        <v>4867.1066666666666</v>
      </c>
      <c r="T11" s="222">
        <f>IF($B$81=0,0,(SUMIF($N$6:$N$28,$U11,M$6:M$28)+SUMIF($N$91:$N$118,$U11,M$91:M$118))*$I$83*Poor!$B$81/$B$81)</f>
        <v>4754.7498957307489</v>
      </c>
      <c r="U11" s="223">
        <v>5</v>
      </c>
      <c r="V11" s="56"/>
      <c r="W11" s="115"/>
      <c r="X11" s="124">
        <v>1</v>
      </c>
      <c r="Y11" s="183">
        <f t="shared" si="9"/>
        <v>6.3277378699498248E-3</v>
      </c>
      <c r="Z11" s="125">
        <f>IF($Y11=0,0,AA11/$Y11)</f>
        <v>1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6.3277378699498248E-3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1.5819344674874562E-3</v>
      </c>
      <c r="AJ11" s="120">
        <f t="shared" si="14"/>
        <v>3.1638689349749124E-3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85" t="s">
        <v>151</v>
      </c>
      <c r="B12" s="215">
        <v>3.4044831880448317E-3</v>
      </c>
      <c r="C12" s="215">
        <v>6.8648816936488167E-4</v>
      </c>
      <c r="D12" s="24">
        <f t="shared" si="0"/>
        <v>4.0909713574097135E-3</v>
      </c>
      <c r="E12" s="26">
        <v>0.2</v>
      </c>
      <c r="H12" s="24">
        <f t="shared" si="1"/>
        <v>0.2</v>
      </c>
      <c r="I12" s="22">
        <f t="shared" si="2"/>
        <v>8.1819427148194278E-4</v>
      </c>
      <c r="J12" s="24">
        <f t="shared" si="3"/>
        <v>7.1227220126817196E-4</v>
      </c>
      <c r="K12" s="22">
        <f t="shared" si="4"/>
        <v>3.4044831880448317E-3</v>
      </c>
      <c r="L12" s="22">
        <f t="shared" si="5"/>
        <v>6.8089663760896634E-4</v>
      </c>
      <c r="M12" s="224">
        <f t="shared" si="6"/>
        <v>7.1227220126817196E-4</v>
      </c>
      <c r="N12" s="229">
        <v>1</v>
      </c>
      <c r="O12" s="2"/>
      <c r="P12" s="22"/>
      <c r="Q12" s="126" t="s">
        <v>124</v>
      </c>
      <c r="R12" s="222">
        <f>IF($B$81=0,0,(SUMIF($N$6:$N$28,$U12,K$6:K$28)+SUMIF($N$91:$N$118,$U12,K$91:K$118))*$B$83*$H$84*Poor!$B$81/$B$81)</f>
        <v>121.2080495528232</v>
      </c>
      <c r="S12" s="222">
        <f>IF($B$81=0,0,(SUMIF($N$6:$N$28,$U12,L$6:L$28)+SUMIF($N$91:$N$118,$U12,L$91:L$118))*$I$83*Poor!$B$81/$B$81)</f>
        <v>98.504612527759264</v>
      </c>
      <c r="T12" s="222">
        <f>IF($B$81=0,0,(SUMIF($N$6:$N$28,$U12,M$6:M$28)+SUMIF($N$91:$N$118,$U12,M$91:M$118))*$I$83*Poor!$B$81/$B$81)</f>
        <v>104.13223635110471</v>
      </c>
      <c r="U12" s="223">
        <v>6</v>
      </c>
      <c r="V12" s="56"/>
      <c r="W12" s="117"/>
      <c r="X12" s="118"/>
      <c r="Y12" s="183">
        <f t="shared" si="9"/>
        <v>2.8490888050726878E-3</v>
      </c>
      <c r="Z12" s="116">
        <v>0</v>
      </c>
      <c r="AA12" s="121">
        <f>$M12*Z12*4</f>
        <v>0</v>
      </c>
      <c r="AB12" s="116">
        <v>0</v>
      </c>
      <c r="AC12" s="121">
        <f>$M12*AB12*4</f>
        <v>0</v>
      </c>
      <c r="AD12" s="116">
        <v>0.67</v>
      </c>
      <c r="AE12" s="121">
        <f>$M12*AD12*4</f>
        <v>1.908889499398701E-3</v>
      </c>
      <c r="AF12" s="122">
        <f>1-SUM(Z12,AB12,AD12)</f>
        <v>0.32999999999999996</v>
      </c>
      <c r="AG12" s="121">
        <f>$M12*AF12*4</f>
        <v>9.4019930567398684E-4</v>
      </c>
      <c r="AH12" s="123">
        <f t="shared" si="12"/>
        <v>1</v>
      </c>
      <c r="AI12" s="183">
        <f t="shared" si="13"/>
        <v>7.1227220126817196E-4</v>
      </c>
      <c r="AJ12" s="120">
        <f t="shared" si="14"/>
        <v>0</v>
      </c>
      <c r="AK12" s="119">
        <f t="shared" si="15"/>
        <v>1.4245444025363439E-3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85" t="s">
        <v>152</v>
      </c>
      <c r="B13" s="215">
        <v>7.5887297633872976E-4</v>
      </c>
      <c r="C13" s="215">
        <v>1.517745952677459E-4</v>
      </c>
      <c r="D13" s="24">
        <f t="shared" si="0"/>
        <v>9.1064757160647569E-4</v>
      </c>
      <c r="E13" s="26">
        <v>0.2</v>
      </c>
      <c r="H13" s="24">
        <f t="shared" si="1"/>
        <v>0.2</v>
      </c>
      <c r="I13" s="22">
        <f t="shared" si="2"/>
        <v>1.8212951432129514E-4</v>
      </c>
      <c r="J13" s="24">
        <f t="shared" si="3"/>
        <v>1.5871136954614175E-4</v>
      </c>
      <c r="K13" s="22">
        <f t="shared" si="4"/>
        <v>7.5887297633872976E-4</v>
      </c>
      <c r="L13" s="22">
        <f t="shared" si="5"/>
        <v>1.5177459526774596E-4</v>
      </c>
      <c r="M13" s="225">
        <f t="shared" si="6"/>
        <v>1.5871136954614175E-4</v>
      </c>
      <c r="N13" s="229">
        <v>1</v>
      </c>
      <c r="O13" s="2"/>
      <c r="P13" s="22"/>
      <c r="Q13" s="59" t="s">
        <v>76</v>
      </c>
      <c r="R13" s="222">
        <f>IF($B$81=0,0,(SUMIF($N$6:$N$28,$U13,K$6:K$28)+SUMIF($N$91:$N$118,$U13,K$91:K$118))*$B$83*$H$84*Poor!$B$81/$B$81)</f>
        <v>2477.3683198261147</v>
      </c>
      <c r="S13" s="222">
        <f>IF($B$81=0,0,(SUMIF($N$6:$N$28,$U13,L$6:L$28)+SUMIF($N$91:$N$118,$U13,L$91:L$118))*$I$83*Poor!$B$81/$B$81)</f>
        <v>1117.4000000000001</v>
      </c>
      <c r="T13" s="222">
        <f>IF($B$81=0,0,(SUMIF($N$6:$N$28,$U13,M$6:M$28)+SUMIF($N$91:$N$118,$U13,M$91:M$118))*$I$83*Poor!$B$81/$B$81)</f>
        <v>1117.4000000000001</v>
      </c>
      <c r="U13" s="223">
        <v>7</v>
      </c>
      <c r="V13" s="56"/>
      <c r="W13" s="110"/>
      <c r="X13" s="118"/>
      <c r="Y13" s="183">
        <f t="shared" si="9"/>
        <v>6.3484547818456701E-4</v>
      </c>
      <c r="Z13" s="116">
        <v>1</v>
      </c>
      <c r="AA13" s="121">
        <f>$M13*Z13*4</f>
        <v>6.3484547818456701E-4</v>
      </c>
      <c r="AB13" s="116">
        <v>0</v>
      </c>
      <c r="AC13" s="121">
        <f>$M13*AB13*4</f>
        <v>0</v>
      </c>
      <c r="AD13" s="116"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1.5871136954614175E-4</v>
      </c>
      <c r="AJ13" s="120">
        <f t="shared" si="14"/>
        <v>3.1742273909228351E-4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85" t="s">
        <v>153</v>
      </c>
      <c r="B14" s="215">
        <v>6.2893244084682443E-3</v>
      </c>
      <c r="C14" s="215">
        <v>0</v>
      </c>
      <c r="D14" s="24">
        <f t="shared" si="0"/>
        <v>6.2893244084682443E-3</v>
      </c>
      <c r="E14" s="26">
        <v>0.2</v>
      </c>
      <c r="F14" s="22"/>
      <c r="H14" s="24">
        <f t="shared" si="1"/>
        <v>0.2</v>
      </c>
      <c r="I14" s="22">
        <f t="shared" si="2"/>
        <v>1.2578648816936489E-3</v>
      </c>
      <c r="J14" s="24">
        <f>IF(I$32&lt;=1+I131,I14,B14*H14+J$33*(I14-B14*H14))</f>
        <v>1.2578648816936489E-3</v>
      </c>
      <c r="K14" s="22">
        <f t="shared" si="4"/>
        <v>6.2893244084682443E-3</v>
      </c>
      <c r="L14" s="22">
        <f t="shared" si="5"/>
        <v>1.2578648816936489E-3</v>
      </c>
      <c r="M14" s="225">
        <f t="shared" si="6"/>
        <v>1.2578648816936489E-3</v>
      </c>
      <c r="N14" s="229">
        <v>1</v>
      </c>
      <c r="O14" s="2"/>
      <c r="P14" s="22"/>
      <c r="Q14" s="126" t="s">
        <v>77</v>
      </c>
      <c r="R14" s="222">
        <f>IF($B$81=0,0,(SUMIF($N$6:$N$28,$U14,K$6:K$28)+SUMIF($N$91:$N$118,$U14,K$91:K$118))*$B$83*$H$84*Poor!$B$81/$B$81)</f>
        <v>0</v>
      </c>
      <c r="S14" s="222">
        <f>IF($B$81=0,0,(SUMIF($N$6:$N$28,$U14,L$6:L$28)+SUMIF($N$91:$N$118,$U14,L$91:L$118))*$I$83*Poor!$B$81/$B$81)</f>
        <v>0</v>
      </c>
      <c r="T14" s="222">
        <f>IF($B$81=0,0,(SUMIF($N$6:$N$28,$U14,M$6:M$28)+SUMIF($N$91:$N$118,$U14,M$91:M$118))*$I$83*Poor!$B$81/$B$81)</f>
        <v>0</v>
      </c>
      <c r="U14" s="223">
        <v>8</v>
      </c>
      <c r="V14" s="56"/>
      <c r="W14" s="110"/>
      <c r="X14" s="118"/>
      <c r="Y14" s="183">
        <f>M14*4</f>
        <v>5.0314595267745956E-3</v>
      </c>
      <c r="Z14" s="116">
        <v>0</v>
      </c>
      <c r="AA14" s="121">
        <f t="shared" ref="AA14:AA29" si="16">$M14*Z14*4</f>
        <v>0</v>
      </c>
      <c r="AB14" s="116">
        <v>1</v>
      </c>
      <c r="AC14" s="121">
        <f t="shared" si="7"/>
        <v>5.0314595267745956E-3</v>
      </c>
      <c r="AD14" s="116"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1.2578648816936489E-3</v>
      </c>
      <c r="AJ14" s="120">
        <f t="shared" si="14"/>
        <v>2.5157297633872978E-3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85" t="s">
        <v>154</v>
      </c>
      <c r="B15" s="215">
        <v>2.9898731320049808E-3</v>
      </c>
      <c r="C15" s="215">
        <v>0</v>
      </c>
      <c r="D15" s="24">
        <f t="shared" si="0"/>
        <v>2.9898731320049808E-3</v>
      </c>
      <c r="E15" s="26">
        <v>0.2</v>
      </c>
      <c r="F15" s="22"/>
      <c r="H15" s="24">
        <f t="shared" si="1"/>
        <v>0.2</v>
      </c>
      <c r="I15" s="22">
        <f t="shared" si="2"/>
        <v>5.9797462640099621E-4</v>
      </c>
      <c r="J15" s="24">
        <f>IF(I$32&lt;=1+I131,I15,B15*H15+J$33*(I15-B15*H15))</f>
        <v>5.9797462640099621E-4</v>
      </c>
      <c r="K15" s="22">
        <f t="shared" si="4"/>
        <v>2.9898731320049808E-3</v>
      </c>
      <c r="L15" s="22">
        <f t="shared" si="5"/>
        <v>5.9797462640099621E-4</v>
      </c>
      <c r="M15" s="226">
        <f t="shared" si="6"/>
        <v>5.9797462640099621E-4</v>
      </c>
      <c r="N15" s="229">
        <v>1</v>
      </c>
      <c r="O15" s="2"/>
      <c r="P15" s="22"/>
      <c r="Q15" s="59" t="s">
        <v>127</v>
      </c>
      <c r="R15" s="222">
        <f>IF($B$81=0,0,(SUMIF($N$6:$N$28,$U15,K$6:K$28)+SUMIF($N$91:$N$118,$U15,K$91:K$118))*$B$83*$H$84*Poor!$B$81/$B$81)</f>
        <v>9071.1055896149574</v>
      </c>
      <c r="S15" s="222">
        <f>IF($B$81=0,0,(SUMIF($N$6:$N$28,$U15,L$6:L$28)+SUMIF($N$91:$N$118,$U15,L$91:L$118))*$I$83*Poor!$B$81/$B$81)</f>
        <v>8698.9599999999991</v>
      </c>
      <c r="T15" s="222">
        <f>IF($B$81=0,0,(SUMIF($N$6:$N$28,$U15,M$6:M$28)+SUMIF($N$91:$N$118,$U15,M$91:M$118))*$I$83*Poor!$B$81/$B$81)</f>
        <v>8698.9599999999991</v>
      </c>
      <c r="U15" s="223">
        <v>9</v>
      </c>
      <c r="V15" s="56"/>
      <c r="W15" s="110"/>
      <c r="X15" s="118"/>
      <c r="Y15" s="183">
        <f t="shared" si="9"/>
        <v>2.3918985056039848E-3</v>
      </c>
      <c r="Z15" s="116">
        <v>0.25</v>
      </c>
      <c r="AA15" s="121">
        <f t="shared" si="16"/>
        <v>5.9797462640099621E-4</v>
      </c>
      <c r="AB15" s="116">
        <v>0.25</v>
      </c>
      <c r="AC15" s="121">
        <f t="shared" si="7"/>
        <v>5.9797462640099621E-4</v>
      </c>
      <c r="AD15" s="116">
        <v>0.25</v>
      </c>
      <c r="AE15" s="121">
        <f t="shared" si="8"/>
        <v>5.9797462640099621E-4</v>
      </c>
      <c r="AF15" s="122">
        <f t="shared" si="10"/>
        <v>0.25</v>
      </c>
      <c r="AG15" s="121">
        <f t="shared" si="11"/>
        <v>5.9797462640099621E-4</v>
      </c>
      <c r="AH15" s="123">
        <f t="shared" si="12"/>
        <v>1</v>
      </c>
      <c r="AI15" s="183">
        <f t="shared" si="13"/>
        <v>5.9797462640099621E-4</v>
      </c>
      <c r="AJ15" s="120">
        <f t="shared" si="14"/>
        <v>5.9797462640099621E-4</v>
      </c>
      <c r="AK15" s="119">
        <f t="shared" si="15"/>
        <v>5.9797462640099621E-4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85" t="s">
        <v>155</v>
      </c>
      <c r="B16" s="215">
        <v>8.0923100871731007E-4</v>
      </c>
      <c r="C16" s="215">
        <v>1.5644458281444587E-4</v>
      </c>
      <c r="D16" s="24">
        <f t="shared" si="0"/>
        <v>9.6567559153175591E-4</v>
      </c>
      <c r="E16" s="26">
        <v>0.2</v>
      </c>
      <c r="F16" s="22"/>
      <c r="H16" s="24">
        <f t="shared" si="1"/>
        <v>0.2</v>
      </c>
      <c r="I16" s="22">
        <f t="shared" si="2"/>
        <v>1.9313511830635119E-4</v>
      </c>
      <c r="J16" s="24">
        <f>IF(I$32&lt;=1+I131,I16,B16*H16+J$33*(I16-B16*H16))</f>
        <v>1.6899641523042384E-4</v>
      </c>
      <c r="K16" s="22">
        <f t="shared" si="4"/>
        <v>8.0923100871731007E-4</v>
      </c>
      <c r="L16" s="22">
        <f t="shared" si="5"/>
        <v>1.6184620174346202E-4</v>
      </c>
      <c r="M16" s="224">
        <f t="shared" si="6"/>
        <v>1.6899641523042384E-4</v>
      </c>
      <c r="N16" s="229">
        <v>1</v>
      </c>
      <c r="O16" s="2"/>
      <c r="P16" s="22"/>
      <c r="Q16" s="126" t="s">
        <v>78</v>
      </c>
      <c r="R16" s="222">
        <f>IF($B$81=0,0,(SUMIF($N$6:$N$28,$U16,K$6:K$28)+SUMIF($N$91:$N$118,$U16,K$91:K$118))*$B$83*$H$84*Poor!$B$81/$B$81)</f>
        <v>0</v>
      </c>
      <c r="S16" s="222">
        <f>IF($B$81=0,0,(SUMIF($N$6:$N$28,$U16,L$6:L$28)+SUMIF($N$91:$N$118,$U16,L$91:L$118))*$I$83*Poor!$B$81/$B$81)</f>
        <v>0</v>
      </c>
      <c r="T16" s="222">
        <f>IF($B$81=0,0,(SUMIF($N$6:$N$28,$U16,M$6:M$28)+SUMIF($N$91:$N$118,$U16,M$91:M$118))*$I$83*Poor!$B$81/$B$81)</f>
        <v>0</v>
      </c>
      <c r="U16" s="223">
        <v>10</v>
      </c>
      <c r="V16" s="56"/>
      <c r="W16" s="110"/>
      <c r="X16" s="118"/>
      <c r="Y16" s="183">
        <f t="shared" si="9"/>
        <v>6.7598566092169534E-4</v>
      </c>
      <c r="Z16" s="116">
        <v>0</v>
      </c>
      <c r="AA16" s="121">
        <f t="shared" si="16"/>
        <v>0</v>
      </c>
      <c r="AB16" s="116">
        <v>0</v>
      </c>
      <c r="AC16" s="121">
        <f t="shared" si="7"/>
        <v>0</v>
      </c>
      <c r="AD16" s="116">
        <v>0</v>
      </c>
      <c r="AE16" s="121">
        <f t="shared" si="8"/>
        <v>0</v>
      </c>
      <c r="AF16" s="122">
        <f t="shared" si="10"/>
        <v>1</v>
      </c>
      <c r="AG16" s="121">
        <f t="shared" si="11"/>
        <v>6.7598566092169534E-4</v>
      </c>
      <c r="AH16" s="123">
        <f t="shared" si="12"/>
        <v>1</v>
      </c>
      <c r="AI16" s="183">
        <f t="shared" si="13"/>
        <v>1.6899641523042384E-4</v>
      </c>
      <c r="AJ16" s="120">
        <f t="shared" si="14"/>
        <v>0</v>
      </c>
      <c r="AK16" s="119">
        <f t="shared" si="15"/>
        <v>3.3799283046084767E-4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85" t="s">
        <v>156</v>
      </c>
      <c r="B17" s="215">
        <v>3.8126992528019926E-3</v>
      </c>
      <c r="C17" s="215">
        <v>0</v>
      </c>
      <c r="D17" s="24">
        <f>SUM(B17,C17)</f>
        <v>3.8126992528019926E-3</v>
      </c>
      <c r="E17" s="26">
        <v>0.2</v>
      </c>
      <c r="F17" s="22"/>
      <c r="H17" s="24">
        <f t="shared" si="1"/>
        <v>0.2</v>
      </c>
      <c r="I17" s="22">
        <f t="shared" si="2"/>
        <v>7.625398505603986E-4</v>
      </c>
      <c r="J17" s="24">
        <f t="shared" ref="J17:J25" si="17">IF(I$32&lt;=1+I131,I17,B17*H17+J$33*(I17-B17*H17))</f>
        <v>7.625398505603986E-4</v>
      </c>
      <c r="K17" s="22">
        <f t="shared" si="4"/>
        <v>3.8126992528019926E-3</v>
      </c>
      <c r="L17" s="22">
        <f t="shared" si="5"/>
        <v>7.625398505603986E-4</v>
      </c>
      <c r="M17" s="225">
        <f t="shared" si="6"/>
        <v>7.625398505603986E-4</v>
      </c>
      <c r="N17" s="229">
        <v>1</v>
      </c>
      <c r="O17" s="2"/>
      <c r="P17" s="22"/>
      <c r="Q17" s="126" t="s">
        <v>125</v>
      </c>
      <c r="R17" s="222">
        <f>IF($B$81=0,0,(SUMIF($N$6:$N$28,$U17,K$6:K$28)+SUMIF($N$91:$N$118,$U17,K$91:K$118))*$B$83*$H$84*Poor!$B$81/$B$81)</f>
        <v>1148.448889985616</v>
      </c>
      <c r="S17" s="222">
        <f>IF($B$81=0,0,(SUMIF($N$6:$N$28,$U17,L$6:L$28)+SUMIF($N$91:$N$118,$U17,L$91:L$118))*$I$83*Poor!$B$81/$B$81)</f>
        <v>881.06666666666661</v>
      </c>
      <c r="T17" s="222">
        <f>IF($B$81=0,0,(SUMIF($N$6:$N$28,$U17,M$6:M$28)+SUMIF($N$91:$N$118,$U17,M$91:M$118))*$I$83*Poor!$B$81/$B$81)</f>
        <v>881.06666666666661</v>
      </c>
      <c r="U17" s="223">
        <v>11</v>
      </c>
      <c r="V17" s="56"/>
      <c r="W17" s="110"/>
      <c r="X17" s="118"/>
      <c r="Y17" s="183">
        <f t="shared" si="9"/>
        <v>3.0501594022415944E-3</v>
      </c>
      <c r="Z17" s="116">
        <v>0.29409999999999997</v>
      </c>
      <c r="AA17" s="121">
        <f t="shared" si="16"/>
        <v>8.9705188019925284E-4</v>
      </c>
      <c r="AB17" s="116">
        <v>0.17649999999999999</v>
      </c>
      <c r="AC17" s="121">
        <f t="shared" si="7"/>
        <v>5.3835313449564139E-4</v>
      </c>
      <c r="AD17" s="116">
        <v>0.23530000000000001</v>
      </c>
      <c r="AE17" s="121">
        <f t="shared" si="8"/>
        <v>7.1770250734744722E-4</v>
      </c>
      <c r="AF17" s="122">
        <f t="shared" si="10"/>
        <v>0.29410000000000003</v>
      </c>
      <c r="AG17" s="121">
        <f t="shared" si="11"/>
        <v>8.9705188019925295E-4</v>
      </c>
      <c r="AH17" s="123">
        <f t="shared" si="12"/>
        <v>1</v>
      </c>
      <c r="AI17" s="183">
        <f t="shared" si="13"/>
        <v>7.625398505603986E-4</v>
      </c>
      <c r="AJ17" s="120">
        <f t="shared" si="14"/>
        <v>7.1770250734744712E-4</v>
      </c>
      <c r="AK17" s="119">
        <f t="shared" si="15"/>
        <v>8.0737719377335009E-4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85" t="s">
        <v>157</v>
      </c>
      <c r="B18" s="215">
        <v>7.4533001245330015E-3</v>
      </c>
      <c r="C18" s="215">
        <v>4.9688667496886668E-3</v>
      </c>
      <c r="D18" s="24">
        <f t="shared" ref="D18:D20" si="18">SUM(B18,C18)</f>
        <v>1.2422166874221669E-2</v>
      </c>
      <c r="E18" s="26">
        <v>0.2</v>
      </c>
      <c r="F18" s="22"/>
      <c r="H18" s="24">
        <f t="shared" ref="H18:H20" si="19">(E18*F$7/F$9)</f>
        <v>0.2</v>
      </c>
      <c r="I18" s="22">
        <f t="shared" ref="I18:I20" si="20">(D18*H18)</f>
        <v>2.4844333748443338E-3</v>
      </c>
      <c r="J18" s="24">
        <f t="shared" si="17"/>
        <v>1.7177593428208504E-3</v>
      </c>
      <c r="K18" s="22">
        <f t="shared" ref="K18:K20" si="21">B18</f>
        <v>7.4533001245330015E-3</v>
      </c>
      <c r="L18" s="22">
        <f t="shared" ref="L18:L20" si="22">IF(K18="","",K18*H18)</f>
        <v>1.4906600249066004E-3</v>
      </c>
      <c r="M18" s="225">
        <f t="shared" ref="M18:M20" si="23">J18</f>
        <v>1.7177593428208504E-3</v>
      </c>
      <c r="N18" s="229">
        <v>1</v>
      </c>
      <c r="O18" s="2"/>
      <c r="P18" s="22"/>
      <c r="Q18" s="59" t="s">
        <v>79</v>
      </c>
      <c r="R18" s="222">
        <f>IF($B$81=0,0,(SUMIF($N$6:$N$28,$U18,K$6:K$28)+SUMIF($N$91:$N$118,$U18,K$91:K$118))*$B$83*$H$84*Poor!$B$81/$B$81)</f>
        <v>2592.6389326114268</v>
      </c>
      <c r="S18" s="222">
        <f>IF($B$81=0,0,(SUMIF($N$6:$N$28,$U18,L$6:L$28)+SUMIF($N$91:$N$118,$U18,L$91:L$118))*$I$83*Poor!$B$81/$B$81)</f>
        <v>2107.0126482810269</v>
      </c>
      <c r="T18" s="222">
        <f>IF($B$81=0,0,(SUMIF($N$6:$N$28,$U18,M$6:M$28)+SUMIF($N$91:$N$118,$U18,M$91:M$118))*$I$83*Poor!$B$81/$B$81)</f>
        <v>2107.0126482810269</v>
      </c>
      <c r="U18" s="223">
        <v>12</v>
      </c>
      <c r="V18" s="56"/>
      <c r="W18" s="110"/>
      <c r="X18" s="118"/>
      <c r="Y18" s="183">
        <f t="shared" ref="Y18:Y20" si="24">M18*4</f>
        <v>6.8710373712834016E-3</v>
      </c>
      <c r="Z18" s="116">
        <v>1.2941</v>
      </c>
      <c r="AA18" s="121">
        <f t="shared" ref="AA18:AA20" si="25">$M18*Z18*4</f>
        <v>8.8918094621778503E-3</v>
      </c>
      <c r="AB18" s="116">
        <v>1.1765000000000001</v>
      </c>
      <c r="AC18" s="121">
        <f t="shared" ref="AC18:AC20" si="26">$M18*AB18*4</f>
        <v>8.0837754673149225E-3</v>
      </c>
      <c r="AD18" s="116">
        <v>1.2353000000000001</v>
      </c>
      <c r="AE18" s="121">
        <f t="shared" ref="AE18:AE20" si="27">$M18*AD18*4</f>
        <v>8.4877924647463864E-3</v>
      </c>
      <c r="AF18" s="122">
        <f t="shared" ref="AF18:AF20" si="28">1-SUM(Z18,AB18,AD18)</f>
        <v>-2.7059000000000002</v>
      </c>
      <c r="AG18" s="121">
        <f t="shared" ref="AG18:AG20" si="29">$M18*AF18*4</f>
        <v>-1.8592340022955758E-2</v>
      </c>
      <c r="AH18" s="123">
        <f t="shared" ref="AH18:AH20" si="30">SUM(Z18,AB18,AD18,AF18)</f>
        <v>1</v>
      </c>
      <c r="AI18" s="183">
        <f t="shared" ref="AI18:AI20" si="31">SUM(AA18,AC18,AE18,AG18)/4</f>
        <v>1.71775934282085E-3</v>
      </c>
      <c r="AJ18" s="120">
        <f t="shared" ref="AJ18:AJ20" si="32">(AA18+AC18)/2</f>
        <v>8.4877924647463864E-3</v>
      </c>
      <c r="AK18" s="119">
        <f t="shared" ref="AK18:AK20" si="33">(AE18+AG18)/2</f>
        <v>-5.0522737791046856E-3</v>
      </c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85" t="s">
        <v>158</v>
      </c>
      <c r="B19" s="215">
        <v>3.518264840182648E-3</v>
      </c>
      <c r="C19" s="215">
        <v>7.189497716894977E-3</v>
      </c>
      <c r="D19" s="24">
        <f t="shared" si="18"/>
        <v>1.0707762557077624E-2</v>
      </c>
      <c r="E19" s="26">
        <v>0.2</v>
      </c>
      <c r="F19" s="22"/>
      <c r="H19" s="24">
        <f t="shared" si="19"/>
        <v>0.2</v>
      </c>
      <c r="I19" s="22">
        <f t="shared" si="20"/>
        <v>2.1415525114155251E-3</v>
      </c>
      <c r="J19" s="24">
        <f t="shared" si="17"/>
        <v>1.0322450011706862E-3</v>
      </c>
      <c r="K19" s="22">
        <f t="shared" si="21"/>
        <v>3.518264840182648E-3</v>
      </c>
      <c r="L19" s="22">
        <f t="shared" si="22"/>
        <v>7.0365296803652966E-4</v>
      </c>
      <c r="M19" s="225">
        <f t="shared" si="23"/>
        <v>1.0322450011706862E-3</v>
      </c>
      <c r="N19" s="229">
        <v>1</v>
      </c>
      <c r="O19" s="2"/>
      <c r="P19" s="22"/>
      <c r="Q19" s="59" t="s">
        <v>80</v>
      </c>
      <c r="R19" s="222">
        <f>IF($B$81=0,0,(SUMIF($N$6:$N$28,$U19,K$6:K$28)+SUMIF($N$91:$N$118,$U19,K$91:K$118))*$B$83*$H$84*Poor!$B$81/$B$81)</f>
        <v>0</v>
      </c>
      <c r="S19" s="222">
        <f>IF($B$81=0,0,(SUMIF($N$6:$N$28,$U19,L$6:L$28)+SUMIF($N$91:$N$118,$U19,L$91:L$118))*$I$83*Poor!$B$81/$B$81)</f>
        <v>0</v>
      </c>
      <c r="T19" s="222">
        <f>IF($B$81=0,0,(SUMIF($N$6:$N$28,$U19,M$6:M$28)+SUMIF($N$91:$N$118,$U19,M$91:M$118))*$I$83*Poor!$B$81/$B$81)</f>
        <v>0</v>
      </c>
      <c r="U19" s="223">
        <v>13</v>
      </c>
      <c r="V19" s="56"/>
      <c r="W19" s="110"/>
      <c r="X19" s="118"/>
      <c r="Y19" s="183">
        <f t="shared" si="24"/>
        <v>4.1289800046827446E-3</v>
      </c>
      <c r="Z19" s="116">
        <v>2.2940999999999998</v>
      </c>
      <c r="AA19" s="121">
        <f t="shared" si="25"/>
        <v>9.4722930287426833E-3</v>
      </c>
      <c r="AB19" s="116">
        <v>2.1764999999999999</v>
      </c>
      <c r="AC19" s="121">
        <f t="shared" si="26"/>
        <v>8.9867249801919933E-3</v>
      </c>
      <c r="AD19" s="116">
        <v>2.2353000000000001</v>
      </c>
      <c r="AE19" s="121">
        <f t="shared" si="27"/>
        <v>9.22950900446734E-3</v>
      </c>
      <c r="AF19" s="122">
        <f t="shared" si="28"/>
        <v>-5.7058999999999997</v>
      </c>
      <c r="AG19" s="121">
        <f t="shared" si="29"/>
        <v>-2.3559547008719272E-2</v>
      </c>
      <c r="AH19" s="123">
        <f t="shared" si="30"/>
        <v>1</v>
      </c>
      <c r="AI19" s="183">
        <f t="shared" si="31"/>
        <v>1.0322450011706862E-3</v>
      </c>
      <c r="AJ19" s="120">
        <f t="shared" si="32"/>
        <v>9.2295090044673383E-3</v>
      </c>
      <c r="AK19" s="119">
        <f t="shared" si="33"/>
        <v>-7.165019002125966E-3</v>
      </c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85" t="s">
        <v>159</v>
      </c>
      <c r="B20" s="215">
        <v>2.1575342465753424E-4</v>
      </c>
      <c r="C20" s="215">
        <v>0</v>
      </c>
      <c r="D20" s="24">
        <f t="shared" si="18"/>
        <v>2.1575342465753424E-4</v>
      </c>
      <c r="E20" s="26">
        <v>0.2</v>
      </c>
      <c r="F20" s="22"/>
      <c r="H20" s="24">
        <f t="shared" si="19"/>
        <v>0.2</v>
      </c>
      <c r="I20" s="22">
        <f t="shared" si="20"/>
        <v>4.3150684931506848E-5</v>
      </c>
      <c r="J20" s="24">
        <f t="shared" si="17"/>
        <v>4.3150684931506848E-5</v>
      </c>
      <c r="K20" s="22">
        <f t="shared" si="21"/>
        <v>2.1575342465753424E-4</v>
      </c>
      <c r="L20" s="22">
        <f t="shared" si="22"/>
        <v>4.3150684931506848E-5</v>
      </c>
      <c r="M20" s="225">
        <f t="shared" si="23"/>
        <v>4.3150684931506848E-5</v>
      </c>
      <c r="N20" s="229">
        <v>1</v>
      </c>
      <c r="O20" s="2"/>
      <c r="P20" s="22"/>
      <c r="Q20" s="59" t="s">
        <v>81</v>
      </c>
      <c r="R20" s="222">
        <f>IF($B$81=0,0,(SUMIF($N$6:$N$28,$U20,K$6:K$28)+SUMIF($N$91:$N$118,$U20,K$91:K$118))*$B$83*$H$84*Poor!$B$81/$B$81)</f>
        <v>31271.442953672617</v>
      </c>
      <c r="S20" s="222">
        <f>IF($B$81=0,0,(SUMIF($N$6:$N$28,$U20,L$6:L$28)+SUMIF($N$91:$N$118,$U20,L$91:L$118))*$I$83*Poor!$B$81/$B$81)</f>
        <v>29988.519999999997</v>
      </c>
      <c r="T20" s="222">
        <f>IF($B$81=0,0,(SUMIF($N$6:$N$28,$U20,M$6:M$28)+SUMIF($N$91:$N$118,$U20,M$91:M$118))*$I$83*Poor!$B$81/$B$81)</f>
        <v>29988.519999999997</v>
      </c>
      <c r="U20" s="223">
        <v>14</v>
      </c>
      <c r="V20" s="56"/>
      <c r="W20" s="110"/>
      <c r="X20" s="118"/>
      <c r="Y20" s="183">
        <f t="shared" si="24"/>
        <v>1.7260273972602739E-4</v>
      </c>
      <c r="Z20" s="116">
        <v>3.2940999999999998</v>
      </c>
      <c r="AA20" s="121">
        <f t="shared" si="25"/>
        <v>5.6857068493150682E-4</v>
      </c>
      <c r="AB20" s="116">
        <v>3.1764999999999999</v>
      </c>
      <c r="AC20" s="121">
        <f t="shared" si="26"/>
        <v>5.4827260273972601E-4</v>
      </c>
      <c r="AD20" s="116">
        <v>3.2353000000000001</v>
      </c>
      <c r="AE20" s="121">
        <f t="shared" si="27"/>
        <v>5.5842164383561647E-4</v>
      </c>
      <c r="AF20" s="122">
        <f t="shared" si="28"/>
        <v>-8.7058999999999997</v>
      </c>
      <c r="AG20" s="121">
        <f t="shared" si="29"/>
        <v>-1.5026621917808218E-3</v>
      </c>
      <c r="AH20" s="123">
        <f t="shared" si="30"/>
        <v>1</v>
      </c>
      <c r="AI20" s="183">
        <f t="shared" si="31"/>
        <v>4.3150684931506902E-5</v>
      </c>
      <c r="AJ20" s="120">
        <f t="shared" si="32"/>
        <v>5.5842164383561647E-4</v>
      </c>
      <c r="AK20" s="119">
        <f t="shared" si="33"/>
        <v>-4.7212027397260266E-4</v>
      </c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85" t="s">
        <v>160</v>
      </c>
      <c r="B21" s="215">
        <v>6.8041718555417185E-3</v>
      </c>
      <c r="C21" s="215">
        <v>1.7010429638854303E-3</v>
      </c>
      <c r="D21" s="24">
        <f t="shared" ref="D21:D25" si="34">SUM(B21,C21)</f>
        <v>8.5052148194271482E-3</v>
      </c>
      <c r="E21" s="26">
        <v>1</v>
      </c>
      <c r="F21" s="22"/>
      <c r="H21" s="24">
        <f t="shared" ref="H21:H25" si="35">(E21*F$7/F$9)</f>
        <v>1</v>
      </c>
      <c r="I21" s="22">
        <f t="shared" ref="I21:I25" si="36">(D21*H21)</f>
        <v>8.5052148194271482E-3</v>
      </c>
      <c r="J21" s="24">
        <f t="shared" si="17"/>
        <v>7.1928980141425904E-3</v>
      </c>
      <c r="K21" s="22">
        <f t="shared" ref="K21:K25" si="37">B21</f>
        <v>6.8041718555417185E-3</v>
      </c>
      <c r="L21" s="22">
        <f t="shared" ref="L21:L25" si="38">IF(K21="","",K21*H21)</f>
        <v>6.8041718555417185E-3</v>
      </c>
      <c r="M21" s="225">
        <f t="shared" ref="M21:M25" si="39">J21</f>
        <v>7.1928980141425904E-3</v>
      </c>
      <c r="N21" s="229">
        <v>6</v>
      </c>
      <c r="O21" s="2"/>
      <c r="P21" s="22"/>
      <c r="Q21" s="59" t="s">
        <v>82</v>
      </c>
      <c r="R21" s="222">
        <f>IF($B$81=0,0,(SUMIF($N$6:$N$28,$U21,K$6:K$28)+SUMIF($N$91:$N$118,$U21,K$91:K$118))*$B$83*$H$84*Poor!$B$81/$B$81)</f>
        <v>348.63627017420481</v>
      </c>
      <c r="S21" s="222">
        <f>IF($B$81=0,0,(SUMIF($N$6:$N$28,$U21,L$6:L$28)+SUMIF($N$91:$N$118,$U21,L$91:L$118))*$I$83*Poor!$B$81/$B$81)</f>
        <v>314.5</v>
      </c>
      <c r="T21" s="222">
        <f>IF($B$81=0,0,(SUMIF($N$6:$N$28,$U21,M$6:M$28)+SUMIF($N$91:$N$118,$U21,M$91:M$118))*$I$83*Poor!$B$81/$B$81)</f>
        <v>314.5</v>
      </c>
      <c r="U21" s="223">
        <v>15</v>
      </c>
      <c r="V21" s="56"/>
      <c r="W21" s="110"/>
      <c r="X21" s="118"/>
      <c r="Y21" s="183">
        <f t="shared" ref="Y21:Y25" si="40">M21*4</f>
        <v>2.8771592056570362E-2</v>
      </c>
      <c r="Z21" s="116">
        <v>4.2941000000000003</v>
      </c>
      <c r="AA21" s="121">
        <f t="shared" ref="AA21:AA25" si="41">$M21*Z21*4</f>
        <v>0.1235480934501188</v>
      </c>
      <c r="AB21" s="116">
        <v>4.1764999999999999</v>
      </c>
      <c r="AC21" s="121">
        <f t="shared" ref="AC21:AC25" si="42">$M21*AB21*4</f>
        <v>0.12016455422426611</v>
      </c>
      <c r="AD21" s="116">
        <v>4.2352999999999996</v>
      </c>
      <c r="AE21" s="121">
        <f t="shared" ref="AE21:AE25" si="43">$M21*AD21*4</f>
        <v>0.12185632383719244</v>
      </c>
      <c r="AF21" s="122">
        <f t="shared" ref="AF21:AF25" si="44">1-SUM(Z21,AB21,AD21)</f>
        <v>-11.7059</v>
      </c>
      <c r="AG21" s="121">
        <f t="shared" ref="AG21:AG25" si="45">$M21*AF21*4</f>
        <v>-0.33679737945500698</v>
      </c>
      <c r="AH21" s="123">
        <f t="shared" ref="AH21:AH25" si="46">SUM(Z21,AB21,AD21,AF21)</f>
        <v>1</v>
      </c>
      <c r="AI21" s="183">
        <f t="shared" ref="AI21:AI25" si="47">SUM(AA21,AC21,AE21,AG21)/4</f>
        <v>7.192898014142593E-3</v>
      </c>
      <c r="AJ21" s="120">
        <f t="shared" ref="AJ21:AJ25" si="48">(AA21+AC21)/2</f>
        <v>0.12185632383719246</v>
      </c>
      <c r="AK21" s="119">
        <f t="shared" ref="AK21:AK25" si="49">(AE21+AG21)/2</f>
        <v>-0.10747052780890727</v>
      </c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85" t="s">
        <v>161</v>
      </c>
      <c r="B22" s="215">
        <v>3.3997509339975094E-4</v>
      </c>
      <c r="C22" s="215">
        <v>8.4993773349937763E-5</v>
      </c>
      <c r="D22" s="24">
        <f t="shared" si="34"/>
        <v>4.2496886674968869E-4</v>
      </c>
      <c r="E22" s="26">
        <v>1</v>
      </c>
      <c r="F22" s="22"/>
      <c r="H22" s="24">
        <f t="shared" si="35"/>
        <v>1</v>
      </c>
      <c r="I22" s="22">
        <f t="shared" si="36"/>
        <v>4.2496886674968869E-4</v>
      </c>
      <c r="J22" s="24">
        <f t="shared" si="17"/>
        <v>3.5939806137925918E-4</v>
      </c>
      <c r="K22" s="22">
        <f t="shared" si="37"/>
        <v>3.3997509339975094E-4</v>
      </c>
      <c r="L22" s="22">
        <f t="shared" si="38"/>
        <v>3.3997509339975094E-4</v>
      </c>
      <c r="M22" s="225">
        <f t="shared" si="39"/>
        <v>3.5939806137925918E-4</v>
      </c>
      <c r="N22" s="229">
        <v>6</v>
      </c>
      <c r="O22" s="2"/>
      <c r="P22" s="22"/>
      <c r="Q22" s="59" t="s">
        <v>83</v>
      </c>
      <c r="R22" s="222">
        <f>IF($B$81=0,0,(SUMIF($N$6:$N$28,$U22,K$6:K$28)+SUMIF($N$91:$N$118,$U22,K$91:K$118))*$B$83*$H$84*Poor!$B$81/$B$81)</f>
        <v>943.77889137746513</v>
      </c>
      <c r="S22" s="222">
        <f>IF($B$81=0,0,(SUMIF($N$6:$N$28,$U22,L$6:L$28)+SUMIF($N$91:$N$118,$U22,L$91:L$118))*$I$83*Poor!$B$81/$B$81)</f>
        <v>767</v>
      </c>
      <c r="T22" s="222">
        <f>IF($B$81=0,0,(SUMIF($N$6:$N$28,$U22,M$6:M$28)+SUMIF($N$91:$N$118,$U22,M$91:M$118))*$I$83*Poor!$B$81/$B$81)</f>
        <v>767</v>
      </c>
      <c r="U22" s="223">
        <v>16</v>
      </c>
      <c r="V22" s="56"/>
      <c r="W22" s="110"/>
      <c r="X22" s="118"/>
      <c r="Y22" s="183">
        <f t="shared" si="40"/>
        <v>1.4375922455170367E-3</v>
      </c>
      <c r="Z22" s="116">
        <v>5.2941000000000003</v>
      </c>
      <c r="AA22" s="121">
        <f t="shared" si="41"/>
        <v>7.6107571069917446E-3</v>
      </c>
      <c r="AB22" s="116">
        <v>5.1764999999999999</v>
      </c>
      <c r="AC22" s="121">
        <f t="shared" si="42"/>
        <v>7.4416962589189404E-3</v>
      </c>
      <c r="AD22" s="116">
        <v>5.2352999999999996</v>
      </c>
      <c r="AE22" s="121">
        <f t="shared" si="43"/>
        <v>7.526226682955342E-3</v>
      </c>
      <c r="AF22" s="122">
        <f t="shared" si="44"/>
        <v>-14.7059</v>
      </c>
      <c r="AG22" s="121">
        <f t="shared" si="45"/>
        <v>-2.1141087803348991E-2</v>
      </c>
      <c r="AH22" s="123">
        <f t="shared" si="46"/>
        <v>1</v>
      </c>
      <c r="AI22" s="183">
        <f t="shared" si="47"/>
        <v>3.593980613792588E-4</v>
      </c>
      <c r="AJ22" s="120">
        <f t="shared" si="48"/>
        <v>7.526226682955342E-3</v>
      </c>
      <c r="AK22" s="119">
        <f t="shared" si="49"/>
        <v>-6.8074305601968244E-3</v>
      </c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85" t="s">
        <v>162</v>
      </c>
      <c r="B23" s="215">
        <v>0</v>
      </c>
      <c r="C23" s="215">
        <v>0</v>
      </c>
      <c r="D23" s="24">
        <f t="shared" si="34"/>
        <v>0</v>
      </c>
      <c r="E23" s="26">
        <v>1</v>
      </c>
      <c r="F23" s="22"/>
      <c r="H23" s="24">
        <f t="shared" si="35"/>
        <v>1</v>
      </c>
      <c r="I23" s="22">
        <f t="shared" si="36"/>
        <v>0</v>
      </c>
      <c r="J23" s="24">
        <f t="shared" si="17"/>
        <v>0</v>
      </c>
      <c r="K23" s="22">
        <f t="shared" si="37"/>
        <v>0</v>
      </c>
      <c r="L23" s="22">
        <f t="shared" si="38"/>
        <v>0</v>
      </c>
      <c r="M23" s="225">
        <f t="shared" si="39"/>
        <v>0</v>
      </c>
      <c r="N23" s="229"/>
      <c r="O23" s="2"/>
      <c r="P23" s="22"/>
      <c r="Q23" s="171" t="s">
        <v>100</v>
      </c>
      <c r="R23" s="179">
        <f>SUM(R7:R22)</f>
        <v>63955.803032966454</v>
      </c>
      <c r="S23" s="179">
        <f>SUM(S7:S22)</f>
        <v>50073.477892178351</v>
      </c>
      <c r="T23" s="179">
        <f>SUM(T7:T22)</f>
        <v>49946.885166404507</v>
      </c>
      <c r="U23" s="56"/>
      <c r="V23" s="56"/>
      <c r="W23" s="110"/>
      <c r="X23" s="118"/>
      <c r="Y23" s="183">
        <f t="shared" si="40"/>
        <v>0</v>
      </c>
      <c r="Z23" s="116">
        <v>6.2941000000000003</v>
      </c>
      <c r="AA23" s="121">
        <f t="shared" si="41"/>
        <v>0</v>
      </c>
      <c r="AB23" s="116">
        <v>6.1764999999999999</v>
      </c>
      <c r="AC23" s="121">
        <f t="shared" si="42"/>
        <v>0</v>
      </c>
      <c r="AD23" s="116">
        <v>6.2352999999999996</v>
      </c>
      <c r="AE23" s="121">
        <f t="shared" si="43"/>
        <v>0</v>
      </c>
      <c r="AF23" s="122">
        <f t="shared" si="44"/>
        <v>-17.7059</v>
      </c>
      <c r="AG23" s="121">
        <f t="shared" si="45"/>
        <v>0</v>
      </c>
      <c r="AH23" s="123">
        <f t="shared" si="46"/>
        <v>1</v>
      </c>
      <c r="AI23" s="183">
        <f t="shared" si="47"/>
        <v>0</v>
      </c>
      <c r="AJ23" s="120">
        <f t="shared" si="48"/>
        <v>0</v>
      </c>
      <c r="AK23" s="119">
        <f t="shared" si="49"/>
        <v>0</v>
      </c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85" t="s">
        <v>162</v>
      </c>
      <c r="B24" s="215">
        <v>0</v>
      </c>
      <c r="C24" s="215">
        <v>0</v>
      </c>
      <c r="D24" s="24">
        <f t="shared" si="34"/>
        <v>0</v>
      </c>
      <c r="E24" s="26">
        <v>1</v>
      </c>
      <c r="F24" s="22"/>
      <c r="H24" s="24">
        <f t="shared" si="35"/>
        <v>1</v>
      </c>
      <c r="I24" s="22">
        <f t="shared" si="36"/>
        <v>0</v>
      </c>
      <c r="J24" s="24">
        <f t="shared" si="17"/>
        <v>0</v>
      </c>
      <c r="K24" s="22">
        <f t="shared" si="37"/>
        <v>0</v>
      </c>
      <c r="L24" s="22">
        <f t="shared" si="38"/>
        <v>0</v>
      </c>
      <c r="M24" s="225">
        <f t="shared" si="39"/>
        <v>0</v>
      </c>
      <c r="N24" s="229"/>
      <c r="O24" s="2"/>
      <c r="P24" s="22"/>
      <c r="Q24" s="59" t="s">
        <v>137</v>
      </c>
      <c r="R24" s="41">
        <f>IF($B$81=0,0,(SUM(($B$70*$H$70))+((1-$D$29)*$I$83))*Poor!$B$81/$B$81)</f>
        <v>31035.992491963734</v>
      </c>
      <c r="S24" s="41">
        <f>IF($B$81=0,0,(SUM(($B$70*$H$70))+((1-$D$29)*$I$83))*Poor!$B$81/$B$81)</f>
        <v>31035.992491963734</v>
      </c>
      <c r="T24" s="41">
        <f>IF($B$81=0,0,(SUM(($B$70*$H$70))+((1-$D$29)*$I$83))*Poor!$B$81/$B$81)</f>
        <v>31035.992491963734</v>
      </c>
      <c r="U24" s="56"/>
      <c r="V24" s="56"/>
      <c r="W24" s="110"/>
      <c r="X24" s="118"/>
      <c r="Y24" s="183">
        <f t="shared" si="40"/>
        <v>0</v>
      </c>
      <c r="Z24" s="116">
        <v>7.2941000000000003</v>
      </c>
      <c r="AA24" s="121">
        <f t="shared" si="41"/>
        <v>0</v>
      </c>
      <c r="AB24" s="116">
        <v>7.1764999999999999</v>
      </c>
      <c r="AC24" s="121">
        <f t="shared" si="42"/>
        <v>0</v>
      </c>
      <c r="AD24" s="116">
        <v>7.2352999999999996</v>
      </c>
      <c r="AE24" s="121">
        <f t="shared" si="43"/>
        <v>0</v>
      </c>
      <c r="AF24" s="122">
        <f t="shared" si="44"/>
        <v>-20.7059</v>
      </c>
      <c r="AG24" s="121">
        <f t="shared" si="45"/>
        <v>0</v>
      </c>
      <c r="AH24" s="123">
        <f t="shared" si="46"/>
        <v>1</v>
      </c>
      <c r="AI24" s="183">
        <f t="shared" si="47"/>
        <v>0</v>
      </c>
      <c r="AJ24" s="120">
        <f t="shared" si="48"/>
        <v>0</v>
      </c>
      <c r="AK24" s="119">
        <f t="shared" si="49"/>
        <v>0</v>
      </c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85" t="s">
        <v>162</v>
      </c>
      <c r="B25" s="215">
        <v>0</v>
      </c>
      <c r="C25" s="215">
        <v>0</v>
      </c>
      <c r="D25" s="24">
        <f t="shared" si="34"/>
        <v>0</v>
      </c>
      <c r="E25" s="26">
        <v>1</v>
      </c>
      <c r="F25" s="22"/>
      <c r="H25" s="24">
        <f t="shared" si="35"/>
        <v>1</v>
      </c>
      <c r="I25" s="22">
        <f t="shared" si="36"/>
        <v>0</v>
      </c>
      <c r="J25" s="24">
        <f t="shared" si="17"/>
        <v>0</v>
      </c>
      <c r="K25" s="22">
        <f t="shared" si="37"/>
        <v>0</v>
      </c>
      <c r="L25" s="22">
        <f t="shared" si="38"/>
        <v>0</v>
      </c>
      <c r="M25" s="225">
        <f t="shared" si="39"/>
        <v>0</v>
      </c>
      <c r="N25" s="229"/>
      <c r="O25" s="2"/>
      <c r="P25" s="22"/>
      <c r="Q25" s="142" t="s">
        <v>138</v>
      </c>
      <c r="R25" s="41">
        <f>IF($B$81=0,0,(SUM(($B$70*$H$70),($B$71*$H$71))+((1-$D$29)*$I$83))*Poor!$B$81/$B$81)</f>
        <v>47999.934714185954</v>
      </c>
      <c r="S25" s="41">
        <f>IF($B$81=0,0,(SUM(($B$70*$H$70),($B$71*$H$71))+((1-$D$29)*$I$83))*Poor!$B$81/$B$81)</f>
        <v>47999.934714185954</v>
      </c>
      <c r="T25" s="41">
        <f>IF($B$81=0,0,(SUM(($B$70*$H$70),($B$71*$H$71))+((1-$D$29)*$I$83))*Poor!$B$81/$B$81)</f>
        <v>47999.934714185954</v>
      </c>
      <c r="U25" s="56"/>
      <c r="V25" s="56"/>
      <c r="W25" s="110"/>
      <c r="X25" s="118"/>
      <c r="Y25" s="183">
        <f t="shared" si="40"/>
        <v>0</v>
      </c>
      <c r="Z25" s="116">
        <v>8.2941000000000003</v>
      </c>
      <c r="AA25" s="121">
        <f t="shared" si="41"/>
        <v>0</v>
      </c>
      <c r="AB25" s="116">
        <v>8.1765000000000008</v>
      </c>
      <c r="AC25" s="121">
        <f t="shared" si="42"/>
        <v>0</v>
      </c>
      <c r="AD25" s="116">
        <v>8.2353000000000005</v>
      </c>
      <c r="AE25" s="121">
        <f t="shared" si="43"/>
        <v>0</v>
      </c>
      <c r="AF25" s="122">
        <f t="shared" si="44"/>
        <v>-23.7059</v>
      </c>
      <c r="AG25" s="121">
        <f t="shared" si="45"/>
        <v>0</v>
      </c>
      <c r="AH25" s="123">
        <f t="shared" si="46"/>
        <v>1</v>
      </c>
      <c r="AI25" s="183">
        <f t="shared" si="47"/>
        <v>0</v>
      </c>
      <c r="AJ25" s="120">
        <f t="shared" si="48"/>
        <v>0</v>
      </c>
      <c r="AK25" s="119">
        <f t="shared" si="49"/>
        <v>0</v>
      </c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85" t="s">
        <v>163</v>
      </c>
      <c r="B26" s="215">
        <v>0.15281322971912611</v>
      </c>
      <c r="C26" s="215">
        <v>0</v>
      </c>
      <c r="D26" s="24">
        <f>SUM(B26,C26)</f>
        <v>0.15281322971912611</v>
      </c>
      <c r="E26" s="26">
        <v>1</v>
      </c>
      <c r="F26" s="22"/>
      <c r="H26" s="24">
        <f t="shared" si="1"/>
        <v>1</v>
      </c>
      <c r="I26" s="22">
        <f t="shared" si="2"/>
        <v>0.15281322971912611</v>
      </c>
      <c r="J26" s="24">
        <f>IF(I$32&lt;=1+I131,I26,B26*H26+J$33*(I26-B26*H26))</f>
        <v>0.15281322971912611</v>
      </c>
      <c r="K26" s="22">
        <f t="shared" si="4"/>
        <v>0.15281322971912611</v>
      </c>
      <c r="L26" s="22">
        <f t="shared" si="5"/>
        <v>0.15281322971912611</v>
      </c>
      <c r="M26" s="224">
        <f t="shared" si="6"/>
        <v>0.15281322971912611</v>
      </c>
      <c r="N26" s="229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79373.774714185944</v>
      </c>
      <c r="S26" s="41">
        <f>IF($B$81=0,0,(SUM(($B$70*$H$70),($B$71*$H$71),($B$72*$H$72))+((1-$D$29)*$I$83))*Poor!$B$81/$B$81)</f>
        <v>79373.774714185944</v>
      </c>
      <c r="T26" s="41">
        <f>IF($B$81=0,0,(SUM(($B$70*$H$70),($B$71*$H$71),($B$72*$H$72))+((1-$D$29)*$I$83))*Poor!$B$81/$B$81)</f>
        <v>79373.774714185944</v>
      </c>
      <c r="U26" s="56"/>
      <c r="V26" s="56"/>
      <c r="W26" s="110"/>
      <c r="X26" s="118"/>
      <c r="Y26" s="183">
        <f t="shared" si="9"/>
        <v>0.61125291887650446</v>
      </c>
      <c r="Z26" s="116">
        <v>0.25</v>
      </c>
      <c r="AA26" s="121">
        <f t="shared" si="16"/>
        <v>0.15281322971912611</v>
      </c>
      <c r="AB26" s="116">
        <v>0.25</v>
      </c>
      <c r="AC26" s="121">
        <f t="shared" si="7"/>
        <v>0.15281322971912611</v>
      </c>
      <c r="AD26" s="116">
        <v>0.25</v>
      </c>
      <c r="AE26" s="121">
        <f t="shared" si="8"/>
        <v>0.15281322971912611</v>
      </c>
      <c r="AF26" s="122">
        <f t="shared" si="10"/>
        <v>0.25</v>
      </c>
      <c r="AG26" s="121">
        <f t="shared" si="11"/>
        <v>0.15281322971912611</v>
      </c>
      <c r="AH26" s="123">
        <f t="shared" si="12"/>
        <v>1</v>
      </c>
      <c r="AI26" s="183">
        <f t="shared" si="13"/>
        <v>0.15281322971912611</v>
      </c>
      <c r="AJ26" s="120">
        <f t="shared" si="14"/>
        <v>0.15281322971912611</v>
      </c>
      <c r="AK26" s="119">
        <f t="shared" si="15"/>
        <v>0.15281322971912611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85" t="s">
        <v>164</v>
      </c>
      <c r="B27" s="215">
        <v>2.7708873287671229E-2</v>
      </c>
      <c r="C27" s="215">
        <v>-2.7708873287671229E-2</v>
      </c>
      <c r="D27" s="24">
        <f>SUM(B27,C27)</f>
        <v>0</v>
      </c>
      <c r="E27" s="26"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2.1376779330636867E-2</v>
      </c>
      <c r="K27" s="22">
        <f t="shared" si="4"/>
        <v>2.7708873287671229E-2</v>
      </c>
      <c r="L27" s="22">
        <f t="shared" si="5"/>
        <v>2.7708873287671229E-2</v>
      </c>
      <c r="M27" s="226">
        <f t="shared" si="6"/>
        <v>2.1376779330636867E-2</v>
      </c>
      <c r="N27" s="229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8.5507117322547468E-2</v>
      </c>
      <c r="Z27" s="116">
        <v>0.25</v>
      </c>
      <c r="AA27" s="121">
        <f t="shared" si="16"/>
        <v>2.1376779330636867E-2</v>
      </c>
      <c r="AB27" s="116">
        <v>0.25</v>
      </c>
      <c r="AC27" s="121">
        <f t="shared" si="7"/>
        <v>2.1376779330636867E-2</v>
      </c>
      <c r="AD27" s="116">
        <v>0.25</v>
      </c>
      <c r="AE27" s="121">
        <f t="shared" si="8"/>
        <v>2.1376779330636867E-2</v>
      </c>
      <c r="AF27" s="122">
        <f t="shared" si="10"/>
        <v>0.25</v>
      </c>
      <c r="AG27" s="121">
        <f t="shared" si="11"/>
        <v>2.1376779330636867E-2</v>
      </c>
      <c r="AH27" s="123">
        <f t="shared" si="12"/>
        <v>1</v>
      </c>
      <c r="AI27" s="183">
        <f t="shared" si="13"/>
        <v>2.1376779330636867E-2</v>
      </c>
      <c r="AJ27" s="120">
        <f t="shared" si="14"/>
        <v>2.1376779330636867E-2</v>
      </c>
      <c r="AK27" s="119">
        <f t="shared" si="15"/>
        <v>2.1376779330636867E-2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85" t="s">
        <v>165</v>
      </c>
      <c r="B28" s="215">
        <v>0</v>
      </c>
      <c r="C28" s="215">
        <v>0</v>
      </c>
      <c r="D28" s="24">
        <f>SUM(B28,C28)</f>
        <v>0</v>
      </c>
      <c r="E28" s="26"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</v>
      </c>
      <c r="K28" s="22">
        <f t="shared" si="4"/>
        <v>0</v>
      </c>
      <c r="L28" s="22">
        <f t="shared" si="5"/>
        <v>0</v>
      </c>
      <c r="M28" s="224">
        <f t="shared" si="6"/>
        <v>0</v>
      </c>
      <c r="N28" s="229"/>
      <c r="O28" s="2"/>
      <c r="P28" s="22"/>
      <c r="V28" s="56"/>
      <c r="W28" s="110"/>
      <c r="X28" s="118"/>
      <c r="Y28" s="183">
        <f t="shared" si="9"/>
        <v>0</v>
      </c>
      <c r="Z28" s="116">
        <v>0</v>
      </c>
      <c r="AA28" s="121">
        <f t="shared" si="16"/>
        <v>0</v>
      </c>
      <c r="AB28" s="116">
        <v>0</v>
      </c>
      <c r="AC28" s="121">
        <f t="shared" si="7"/>
        <v>0</v>
      </c>
      <c r="AD28" s="116">
        <v>0.5</v>
      </c>
      <c r="AE28" s="121">
        <f t="shared" si="8"/>
        <v>0</v>
      </c>
      <c r="AF28" s="122">
        <f t="shared" si="10"/>
        <v>0.5</v>
      </c>
      <c r="AG28" s="121">
        <f t="shared" si="11"/>
        <v>0</v>
      </c>
      <c r="AH28" s="123">
        <f t="shared" si="12"/>
        <v>1</v>
      </c>
      <c r="AI28" s="183">
        <f t="shared" si="13"/>
        <v>0</v>
      </c>
      <c r="AJ28" s="120">
        <f t="shared" si="14"/>
        <v>0</v>
      </c>
      <c r="AK28" s="119">
        <f t="shared" si="15"/>
        <v>0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85" t="s">
        <v>166</v>
      </c>
      <c r="B29" s="215">
        <v>0.22095135289539228</v>
      </c>
      <c r="C29" s="215">
        <v>3.7963461891236893E-3</v>
      </c>
      <c r="D29" s="24">
        <f>SUM(B29,C29)</f>
        <v>0.22474769908451597</v>
      </c>
      <c r="E29" s="26">
        <v>1</v>
      </c>
      <c r="F29" s="22"/>
      <c r="H29" s="24">
        <f t="shared" si="1"/>
        <v>1</v>
      </c>
      <c r="I29" s="22">
        <f t="shared" si="2"/>
        <v>0.22474769908451597</v>
      </c>
      <c r="J29" s="24">
        <f>IF(I$32&lt;=1+I131,I29,B29*H29+J$33*(I29-B29*H29))</f>
        <v>0.22181890245301564</v>
      </c>
      <c r="K29" s="22">
        <f t="shared" si="4"/>
        <v>0.22095135289539228</v>
      </c>
      <c r="L29" s="22">
        <f t="shared" si="5"/>
        <v>0.22095135289539228</v>
      </c>
      <c r="M29" s="224">
        <f t="shared" si="6"/>
        <v>0.22181890245301564</v>
      </c>
      <c r="N29" s="229"/>
      <c r="P29" s="22"/>
      <c r="V29" s="56"/>
      <c r="W29" s="110"/>
      <c r="X29" s="118"/>
      <c r="Y29" s="183">
        <f t="shared" si="9"/>
        <v>0.88727560981206255</v>
      </c>
      <c r="Z29" s="116">
        <v>0.25</v>
      </c>
      <c r="AA29" s="121">
        <f t="shared" si="16"/>
        <v>0.22181890245301564</v>
      </c>
      <c r="AB29" s="116">
        <v>0.25</v>
      </c>
      <c r="AC29" s="121">
        <f t="shared" si="7"/>
        <v>0.22181890245301564</v>
      </c>
      <c r="AD29" s="116">
        <v>0.25</v>
      </c>
      <c r="AE29" s="121">
        <f t="shared" si="8"/>
        <v>0.22181890245301564</v>
      </c>
      <c r="AF29" s="122">
        <f t="shared" si="10"/>
        <v>0.25</v>
      </c>
      <c r="AG29" s="121">
        <f t="shared" si="11"/>
        <v>0.22181890245301564</v>
      </c>
      <c r="AH29" s="123">
        <f t="shared" si="12"/>
        <v>1</v>
      </c>
      <c r="AI29" s="183">
        <f t="shared" si="13"/>
        <v>0.22181890245301564</v>
      </c>
      <c r="AJ29" s="120">
        <f t="shared" si="14"/>
        <v>0.22181890245301564</v>
      </c>
      <c r="AK29" s="119">
        <f t="shared" si="15"/>
        <v>0.22181890245301564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85" t="s">
        <v>56</v>
      </c>
      <c r="B30" s="215">
        <v>0.59274655759651318</v>
      </c>
      <c r="C30" s="103"/>
      <c r="D30" s="24">
        <f>(D119-B124)</f>
        <v>2.2003412204874531</v>
      </c>
      <c r="E30" s="29">
        <v>1</v>
      </c>
      <c r="F30" s="95"/>
      <c r="G30" s="95"/>
      <c r="H30" s="96">
        <f>(E30*F$7/F$9)</f>
        <v>1</v>
      </c>
      <c r="I30" s="29">
        <f>IF(E30&gt;=1,I119-I124,MIN(I119-I124,B30*H30))</f>
        <v>1.8862474324530767</v>
      </c>
      <c r="J30" s="231">
        <f>IF(I$32&lt;=1,I30,1-SUM(J6:J29))</f>
        <v>0.53136547512031007</v>
      </c>
      <c r="K30" s="22">
        <f t="shared" si="4"/>
        <v>0.59274655759651318</v>
      </c>
      <c r="L30" s="22">
        <f>IF(L124=L119,0,IF(K30="",0,(L119-L124)/(B119-B124)*K30))</f>
        <v>0.4987281660199378</v>
      </c>
      <c r="M30" s="175">
        <f t="shared" si="6"/>
        <v>0.53136547512031007</v>
      </c>
      <c r="N30" s="166" t="s">
        <v>86</v>
      </c>
      <c r="O30" s="2"/>
      <c r="P30" s="22"/>
      <c r="Q30" s="234" t="s">
        <v>141</v>
      </c>
      <c r="R30" s="234">
        <f t="shared" ref="R30:T32" si="50">IF(R24&gt;R$23,R24-R$23,0)</f>
        <v>0</v>
      </c>
      <c r="S30" s="234">
        <f t="shared" si="50"/>
        <v>0</v>
      </c>
      <c r="T30" s="234">
        <f t="shared" si="50"/>
        <v>0</v>
      </c>
      <c r="V30" s="56"/>
      <c r="W30" s="110"/>
      <c r="X30" s="118"/>
      <c r="Y30" s="183">
        <f>M30*4</f>
        <v>2.1254619004812403</v>
      </c>
      <c r="Z30" s="122">
        <f>IF($Y30=0,0,AA30/($Y$30))</f>
        <v>0.12423128063281436</v>
      </c>
      <c r="AA30" s="187">
        <f>IF(AA79*4/$I$83+SUM(AA6:AA29)&lt;1,AA79*4/$I$83,1-SUM(AA6:AA29))</f>
        <v>0.26404885383303989</v>
      </c>
      <c r="AB30" s="122">
        <f>IF($Y30=0,0,AC30/($Y$30))</f>
        <v>0.21063907625141029</v>
      </c>
      <c r="AC30" s="187">
        <f>IF(AC79*4/$I$83+SUM(AC6:AC29)&lt;1,AC79*4/$I$83,1-SUM(AC6:AC29))</f>
        <v>0.4477053313249354</v>
      </c>
      <c r="AD30" s="122">
        <f>IF($Y30=0,0,AE30/($Y$30))</f>
        <v>0.20871236308760427</v>
      </c>
      <c r="AE30" s="187">
        <f>IF(AE79*4/$I$83+SUM(AE6:AE29)&lt;1,AE79*4/$I$83,1-SUM(AE6:AE29))</f>
        <v>0.44361017590211005</v>
      </c>
      <c r="AF30" s="122">
        <f>IF($Y30=0,0,AG30/($Y$30))</f>
        <v>0.45641728002817106</v>
      </c>
      <c r="AG30" s="187">
        <f>IF(AG79*4/$I$83+SUM(AG6:AG29)&lt;1,AG79*4/$I$83,1-SUM(AG6:AG29))</f>
        <v>0.97009753942115484</v>
      </c>
      <c r="AH30" s="123">
        <f t="shared" si="12"/>
        <v>0.99999999999999989</v>
      </c>
      <c r="AI30" s="183">
        <f t="shared" si="13"/>
        <v>0.53136547512031007</v>
      </c>
      <c r="AJ30" s="120">
        <f t="shared" si="14"/>
        <v>0.35587709257898764</v>
      </c>
      <c r="AK30" s="119">
        <f t="shared" si="15"/>
        <v>0.70685385766163245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2" t="str">
        <f>IF(1-$B$32&gt;0,1-$B$32,"")</f>
        <v/>
      </c>
      <c r="C31" s="29"/>
      <c r="D31" s="24"/>
      <c r="E31" s="22"/>
      <c r="F31" s="22"/>
      <c r="H31" s="24"/>
      <c r="I31" s="22"/>
      <c r="J31" s="232">
        <f>(1-SUM(J6:J30))</f>
        <v>0</v>
      </c>
      <c r="K31" s="22" t="str">
        <f t="shared" si="4"/>
        <v/>
      </c>
      <c r="L31" s="22">
        <f>(1-SUM(L6:L30))</f>
        <v>2.8387916944276448E-2</v>
      </c>
      <c r="M31" s="178">
        <f t="shared" si="6"/>
        <v>0</v>
      </c>
      <c r="N31" s="167">
        <f>M31*I83</f>
        <v>0</v>
      </c>
      <c r="P31" s="22"/>
      <c r="Q31" s="238" t="s">
        <v>142</v>
      </c>
      <c r="R31" s="234">
        <f t="shared" si="50"/>
        <v>0</v>
      </c>
      <c r="S31" s="234">
        <f t="shared" si="50"/>
        <v>0</v>
      </c>
      <c r="T31" s="234">
        <f>IF(T25&gt;T$23,T25-T$23,0)</f>
        <v>0</v>
      </c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9" t="s">
        <v>24</v>
      </c>
      <c r="B32" s="29">
        <f>SUM(B6:B30)</f>
        <v>1.2610856339238445</v>
      </c>
      <c r="C32" s="29">
        <f>SUM(C6:C31)</f>
        <v>-4.4694978592366239E-3</v>
      </c>
      <c r="D32" s="24">
        <f>SUM(D6:D30)</f>
        <v>2.8642107989555479</v>
      </c>
      <c r="E32" s="2"/>
      <c r="F32" s="2"/>
      <c r="H32" s="17"/>
      <c r="I32" s="22">
        <f>SUM(I6:I30)</f>
        <v>2.3405362576279654</v>
      </c>
      <c r="J32" s="17"/>
      <c r="L32" s="22">
        <f>SUM(L6:L30)</f>
        <v>0.97161208305572355</v>
      </c>
      <c r="M32" s="23"/>
      <c r="N32" s="56"/>
      <c r="O32" s="2"/>
      <c r="P32" s="22"/>
      <c r="Q32" s="234" t="s">
        <v>143</v>
      </c>
      <c r="R32" s="234">
        <f t="shared" si="50"/>
        <v>15417.971681219489</v>
      </c>
      <c r="S32" s="234">
        <f t="shared" si="50"/>
        <v>29300.296822007593</v>
      </c>
      <c r="T32" s="234">
        <f t="shared" si="50"/>
        <v>29426.889547781437</v>
      </c>
      <c r="V32" s="56"/>
      <c r="W32" s="110"/>
      <c r="X32" s="118"/>
      <c r="Y32" s="115">
        <f>SUM(Y6:Y31)</f>
        <v>4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9"/>
      <c r="B33" s="9"/>
      <c r="C33" s="9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0.22852224597135681</v>
      </c>
      <c r="K33" s="14"/>
      <c r="L33" s="11"/>
      <c r="M33" s="30"/>
      <c r="N33" s="168" t="s">
        <v>87</v>
      </c>
      <c r="O33" s="2"/>
      <c r="P33" s="2"/>
      <c r="Q33" s="238"/>
      <c r="R33" s="234"/>
      <c r="S33" s="234"/>
      <c r="T33" s="234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15" t="s">
        <v>26</v>
      </c>
      <c r="B34" s="1"/>
      <c r="C34" s="1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1"/>
      <c r="B35" s="1" t="s">
        <v>7</v>
      </c>
      <c r="C35" s="1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R35" s="41"/>
      <c r="S35" s="41"/>
      <c r="V35" s="184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1" t="s">
        <v>30</v>
      </c>
      <c r="B36" s="1" t="s">
        <v>16</v>
      </c>
      <c r="C36" s="1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2"/>
      <c r="S36" s="242"/>
      <c r="T36" s="252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5" t="s">
        <v>167</v>
      </c>
      <c r="B37" s="216">
        <v>6583.333333333333</v>
      </c>
      <c r="C37" s="216">
        <v>0</v>
      </c>
      <c r="D37" s="38">
        <f>SUM(B37,C37)</f>
        <v>6583.333333333333</v>
      </c>
      <c r="E37" s="233">
        <v>0.5</v>
      </c>
      <c r="F37" s="26">
        <v>1.18</v>
      </c>
      <c r="G37" s="26">
        <v>1</v>
      </c>
      <c r="H37" s="24">
        <f t="shared" ref="H37:H49" si="51">(E37*F37)</f>
        <v>0.59</v>
      </c>
      <c r="I37" s="39">
        <f t="shared" ref="I37:I49" si="52">D37*H37</f>
        <v>3884.1666666666661</v>
      </c>
      <c r="J37" s="38">
        <f t="shared" ref="J37:J49" si="53">J91*I$83</f>
        <v>3884.1666666666665</v>
      </c>
      <c r="K37" s="40">
        <f t="shared" ref="K37:K49" si="54">(B37/B$65)</f>
        <v>0.14252827111402983</v>
      </c>
      <c r="L37" s="22">
        <f t="shared" ref="L37:L49" si="55">(K37*H37)</f>
        <v>8.4091679957277593E-2</v>
      </c>
      <c r="M37" s="24">
        <f t="shared" ref="M37:M49" si="56">J37/B$65</f>
        <v>8.4091679957277593E-2</v>
      </c>
      <c r="N37" s="2"/>
      <c r="O37" s="2"/>
      <c r="Q37" s="59"/>
      <c r="R37" s="252"/>
      <c r="S37" s="252"/>
      <c r="T37" s="29"/>
      <c r="U37" s="56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57">1-SUM(Z37,AB37,AD37)</f>
        <v>1</v>
      </c>
      <c r="AG37" s="147">
        <f>$J37*AF37</f>
        <v>3884.1666666666665</v>
      </c>
      <c r="AH37" s="123">
        <f>SUM(Z37,AB37,AD37,AF37)</f>
        <v>1</v>
      </c>
      <c r="AI37" s="112">
        <f>SUM(AA37,AC37,AE37,AG37)</f>
        <v>3884.1666666666665</v>
      </c>
      <c r="AJ37" s="148">
        <f>(AA37+AC37)</f>
        <v>0</v>
      </c>
      <c r="AK37" s="147">
        <f>(AE37+AG37)</f>
        <v>3884.1666666666665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5" t="s">
        <v>168</v>
      </c>
      <c r="B38" s="216">
        <v>1500</v>
      </c>
      <c r="C38" s="216">
        <v>-833.33333333333337</v>
      </c>
      <c r="D38" s="38">
        <f t="shared" ref="D38:D47" si="58">SUM(B38,C38)</f>
        <v>666.66666666666663</v>
      </c>
      <c r="E38" s="26">
        <v>0.5</v>
      </c>
      <c r="F38" s="26">
        <v>1.18</v>
      </c>
      <c r="G38" s="22">
        <f t="shared" ref="G38:G64" si="59">(G$37)</f>
        <v>1</v>
      </c>
      <c r="H38" s="24">
        <f t="shared" si="51"/>
        <v>0.59</v>
      </c>
      <c r="I38" s="39">
        <f t="shared" si="52"/>
        <v>393.33333333333331</v>
      </c>
      <c r="J38" s="38">
        <f t="shared" si="53"/>
        <v>772.6432290640829</v>
      </c>
      <c r="K38" s="40">
        <f t="shared" si="54"/>
        <v>3.2474795950032109E-2</v>
      </c>
      <c r="L38" s="22">
        <f t="shared" si="55"/>
        <v>1.9160129610518942E-2</v>
      </c>
      <c r="M38" s="24">
        <f t="shared" si="56"/>
        <v>1.6727620804020009E-2</v>
      </c>
      <c r="N38" s="2"/>
      <c r="O38" s="2"/>
      <c r="P38" s="2"/>
      <c r="Q38" s="59"/>
      <c r="R38" s="252"/>
      <c r="S38" s="252"/>
      <c r="T38" s="29"/>
      <c r="U38" s="56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IF(SUM(AC$6:AC$29)+(SUM(AC$40:AC$64,-AC$70)/AC$83)&lt;1,IF(SUM(AC$6:AC$29)+((SUM(AC$40:AC$64,$J$37:$J$41,-AC$70)-SUM($AA$37:$AA$39))/AC$83)&lt;1,$J38-$AA38,(AC$83-(SUM(AC$6:AC$29)*AC$83)-SUM(AC$40:AC$64,-AC$70))*($J38/SUM($J$37:$J$41))),0)</f>
        <v>0</v>
      </c>
      <c r="AD38" s="122">
        <f>IF($J38=0,0,AE38/($J38))</f>
        <v>0</v>
      </c>
      <c r="AE38" s="147">
        <f>IF(SUM(AE$6:AE$29)+(SUM(AE$40:AE$64,-AE$70)/AE$83)&lt;1,IF(SUM(AE$6:AE$29)+((SUM(AE$40:AE$64,$J$37:$J$41,-AE$70)-SUM($AA$37:$AA$39)-SUM($AC$37:$AC$39))/AE$83)&lt;1,$J38-$AA38-$AC38,(AE$83-(SUM(AE$6:AE$29)*AE$83)-SUM(AE$40:AE$64,-AE$70))*($J38/SUM($J$37:$J$41))),0)</f>
        <v>0</v>
      </c>
      <c r="AF38" s="122">
        <f t="shared" si="57"/>
        <v>1</v>
      </c>
      <c r="AG38" s="147">
        <f t="shared" ref="AG38:AG64" si="60">$J38*AF38</f>
        <v>772.6432290640829</v>
      </c>
      <c r="AH38" s="123">
        <f t="shared" ref="AH38:AI58" si="61">SUM(Z38,AB38,AD38,AF38)</f>
        <v>1</v>
      </c>
      <c r="AI38" s="112">
        <f t="shared" si="61"/>
        <v>772.6432290640829</v>
      </c>
      <c r="AJ38" s="148">
        <f t="shared" ref="AJ38:AJ64" si="62">(AA38+AC38)</f>
        <v>0</v>
      </c>
      <c r="AK38" s="147">
        <f t="shared" ref="AK38:AK64" si="63">(AE38+AG38)</f>
        <v>772.6432290640829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5" t="s">
        <v>169</v>
      </c>
      <c r="B39" s="216">
        <v>0</v>
      </c>
      <c r="C39" s="216">
        <v>0</v>
      </c>
      <c r="D39" s="38">
        <f t="shared" si="58"/>
        <v>0</v>
      </c>
      <c r="E39" s="26">
        <v>0.5</v>
      </c>
      <c r="F39" s="26">
        <v>1.18</v>
      </c>
      <c r="G39" s="22">
        <f t="shared" si="59"/>
        <v>1</v>
      </c>
      <c r="H39" s="24">
        <f t="shared" si="51"/>
        <v>0.59</v>
      </c>
      <c r="I39" s="39">
        <f t="shared" si="52"/>
        <v>0</v>
      </c>
      <c r="J39" s="38">
        <f t="shared" si="53"/>
        <v>0</v>
      </c>
      <c r="K39" s="40">
        <f t="shared" si="54"/>
        <v>0</v>
      </c>
      <c r="L39" s="22">
        <f t="shared" si="55"/>
        <v>0</v>
      </c>
      <c r="M39" s="24">
        <f t="shared" si="56"/>
        <v>0</v>
      </c>
      <c r="N39" s="2"/>
      <c r="O39" s="2"/>
      <c r="P39" s="2"/>
      <c r="Q39" s="59"/>
      <c r="R39" s="252"/>
      <c r="S39" s="252"/>
      <c r="T39" s="29"/>
      <c r="U39" s="56"/>
      <c r="V39" s="56"/>
      <c r="W39" s="115"/>
      <c r="X39" s="118">
        <v>1</v>
      </c>
      <c r="Y39" s="110"/>
      <c r="Z39" s="122">
        <f>Z8</f>
        <v>1</v>
      </c>
      <c r="AA39" s="147">
        <f t="shared" ref="AA39:AA64" si="64">$J39*Z39</f>
        <v>0</v>
      </c>
      <c r="AB39" s="122">
        <f>AB8</f>
        <v>0</v>
      </c>
      <c r="AC39" s="147">
        <f t="shared" ref="AC39:AC64" si="65">$J39*AB39</f>
        <v>0</v>
      </c>
      <c r="AD39" s="122">
        <f>AD8</f>
        <v>0</v>
      </c>
      <c r="AE39" s="147">
        <f t="shared" ref="AE39:AE64" si="66">$J39*AD39</f>
        <v>0</v>
      </c>
      <c r="AF39" s="122">
        <f t="shared" si="57"/>
        <v>0</v>
      </c>
      <c r="AG39" s="147">
        <f t="shared" si="60"/>
        <v>0</v>
      </c>
      <c r="AH39" s="123">
        <f t="shared" si="61"/>
        <v>1</v>
      </c>
      <c r="AI39" s="112">
        <f t="shared" si="61"/>
        <v>0</v>
      </c>
      <c r="AJ39" s="148">
        <f t="shared" si="62"/>
        <v>0</v>
      </c>
      <c r="AK39" s="147">
        <f t="shared" si="63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5" t="s">
        <v>170</v>
      </c>
      <c r="B40" s="216">
        <v>83</v>
      </c>
      <c r="C40" s="216">
        <v>0</v>
      </c>
      <c r="D40" s="38">
        <f t="shared" si="58"/>
        <v>83</v>
      </c>
      <c r="E40" s="26">
        <v>1</v>
      </c>
      <c r="F40" s="26">
        <v>1.18</v>
      </c>
      <c r="G40" s="22">
        <f t="shared" si="59"/>
        <v>1</v>
      </c>
      <c r="H40" s="24">
        <f t="shared" si="51"/>
        <v>1.18</v>
      </c>
      <c r="I40" s="39">
        <f t="shared" si="52"/>
        <v>97.94</v>
      </c>
      <c r="J40" s="38">
        <f t="shared" si="53"/>
        <v>97.94</v>
      </c>
      <c r="K40" s="40">
        <f t="shared" si="54"/>
        <v>1.7969387092351102E-3</v>
      </c>
      <c r="L40" s="22">
        <f t="shared" si="55"/>
        <v>2.1203876768974301E-3</v>
      </c>
      <c r="M40" s="24">
        <f t="shared" si="56"/>
        <v>2.1203876768974301E-3</v>
      </c>
      <c r="N40" s="2"/>
      <c r="O40" s="2"/>
      <c r="P40" s="2"/>
      <c r="Q40" s="59"/>
      <c r="R40" s="252"/>
      <c r="S40" s="252"/>
      <c r="T40" s="29"/>
      <c r="U40" s="56"/>
      <c r="V40" s="56"/>
      <c r="W40" s="115"/>
      <c r="X40" s="118">
        <v>1</v>
      </c>
      <c r="Y40" s="110"/>
      <c r="Z40" s="122">
        <f>Z9</f>
        <v>1</v>
      </c>
      <c r="AA40" s="147">
        <f t="shared" si="64"/>
        <v>97.94</v>
      </c>
      <c r="AB40" s="122">
        <f>AB9</f>
        <v>0</v>
      </c>
      <c r="AC40" s="147">
        <f t="shared" si="65"/>
        <v>0</v>
      </c>
      <c r="AD40" s="122">
        <f>AD9</f>
        <v>0</v>
      </c>
      <c r="AE40" s="147">
        <f t="shared" si="66"/>
        <v>0</v>
      </c>
      <c r="AF40" s="122">
        <f t="shared" si="57"/>
        <v>0</v>
      </c>
      <c r="AG40" s="147">
        <f t="shared" si="60"/>
        <v>0</v>
      </c>
      <c r="AH40" s="123">
        <f t="shared" si="61"/>
        <v>1</v>
      </c>
      <c r="AI40" s="112">
        <f t="shared" si="61"/>
        <v>97.94</v>
      </c>
      <c r="AJ40" s="148">
        <f t="shared" si="62"/>
        <v>97.94</v>
      </c>
      <c r="AK40" s="147">
        <f t="shared" si="63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5" t="s">
        <v>148</v>
      </c>
      <c r="B41" s="216">
        <v>0</v>
      </c>
      <c r="C41" s="216">
        <v>0</v>
      </c>
      <c r="D41" s="38">
        <f t="shared" si="58"/>
        <v>0</v>
      </c>
      <c r="E41" s="75">
        <f>E9</f>
        <v>0.3</v>
      </c>
      <c r="F41" s="26">
        <v>1.4</v>
      </c>
      <c r="G41" s="22">
        <f t="shared" si="59"/>
        <v>1</v>
      </c>
      <c r="H41" s="24">
        <f t="shared" si="51"/>
        <v>0.42</v>
      </c>
      <c r="I41" s="39">
        <f t="shared" si="52"/>
        <v>0</v>
      </c>
      <c r="J41" s="38">
        <f t="shared" si="53"/>
        <v>0</v>
      </c>
      <c r="K41" s="40">
        <f t="shared" si="54"/>
        <v>0</v>
      </c>
      <c r="L41" s="22">
        <f t="shared" si="55"/>
        <v>0</v>
      </c>
      <c r="M41" s="24">
        <f t="shared" si="56"/>
        <v>0</v>
      </c>
      <c r="N41" s="2"/>
      <c r="O41" s="2"/>
      <c r="P41" s="2"/>
      <c r="Q41" s="59"/>
      <c r="R41" s="252"/>
      <c r="S41" s="252"/>
      <c r="T41" s="253"/>
      <c r="U41" s="56"/>
      <c r="V41" s="56"/>
      <c r="W41" s="115"/>
      <c r="X41" s="118">
        <v>1</v>
      </c>
      <c r="Y41" s="110"/>
      <c r="Z41" s="122">
        <f>Z11</f>
        <v>1</v>
      </c>
      <c r="AA41" s="147">
        <f t="shared" si="64"/>
        <v>0</v>
      </c>
      <c r="AB41" s="122">
        <f>AB11</f>
        <v>0</v>
      </c>
      <c r="AC41" s="147">
        <f t="shared" si="65"/>
        <v>0</v>
      </c>
      <c r="AD41" s="122">
        <f>AD11</f>
        <v>0</v>
      </c>
      <c r="AE41" s="147">
        <f t="shared" si="66"/>
        <v>0</v>
      </c>
      <c r="AF41" s="122">
        <f t="shared" si="57"/>
        <v>0</v>
      </c>
      <c r="AG41" s="147">
        <f t="shared" si="60"/>
        <v>0</v>
      </c>
      <c r="AH41" s="123">
        <f t="shared" si="61"/>
        <v>1</v>
      </c>
      <c r="AI41" s="112">
        <f t="shared" si="61"/>
        <v>0</v>
      </c>
      <c r="AJ41" s="148">
        <f t="shared" si="62"/>
        <v>0</v>
      </c>
      <c r="AK41" s="147">
        <f t="shared" si="63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5" t="s">
        <v>149</v>
      </c>
      <c r="B42" s="216">
        <v>600</v>
      </c>
      <c r="C42" s="216">
        <v>140</v>
      </c>
      <c r="D42" s="38">
        <f t="shared" si="58"/>
        <v>740</v>
      </c>
      <c r="E42" s="75">
        <f>E10</f>
        <v>0.2</v>
      </c>
      <c r="F42" s="26">
        <v>1.4</v>
      </c>
      <c r="G42" s="22">
        <f t="shared" si="59"/>
        <v>1</v>
      </c>
      <c r="H42" s="24">
        <f t="shared" si="51"/>
        <v>0.27999999999999997</v>
      </c>
      <c r="I42" s="39">
        <f t="shared" si="52"/>
        <v>207.2</v>
      </c>
      <c r="J42" s="38">
        <f t="shared" si="53"/>
        <v>176.95807204207716</v>
      </c>
      <c r="K42" s="40">
        <f t="shared" si="54"/>
        <v>1.2989918380012844E-2</v>
      </c>
      <c r="L42" s="22">
        <f t="shared" si="55"/>
        <v>3.637177146403596E-3</v>
      </c>
      <c r="M42" s="24">
        <f t="shared" si="56"/>
        <v>3.8311181875183586E-3</v>
      </c>
      <c r="N42" s="2"/>
      <c r="O42" s="2"/>
      <c r="P42" s="56"/>
      <c r="Q42" s="41"/>
      <c r="R42" s="41"/>
      <c r="S42" s="254"/>
      <c r="T42" s="254"/>
      <c r="U42" s="56"/>
      <c r="V42" s="56"/>
      <c r="W42" s="115"/>
      <c r="X42" s="118"/>
      <c r="Y42" s="110"/>
      <c r="Z42" s="116">
        <v>0.25</v>
      </c>
      <c r="AA42" s="147">
        <f t="shared" si="64"/>
        <v>44.239518010519291</v>
      </c>
      <c r="AB42" s="116">
        <v>0</v>
      </c>
      <c r="AC42" s="147">
        <f t="shared" si="65"/>
        <v>0</v>
      </c>
      <c r="AD42" s="116">
        <v>0.5</v>
      </c>
      <c r="AE42" s="147">
        <f t="shared" si="66"/>
        <v>88.479036021038581</v>
      </c>
      <c r="AF42" s="122">
        <f t="shared" si="57"/>
        <v>0.25</v>
      </c>
      <c r="AG42" s="147">
        <f t="shared" si="60"/>
        <v>44.239518010519291</v>
      </c>
      <c r="AH42" s="123">
        <f t="shared" si="61"/>
        <v>1</v>
      </c>
      <c r="AI42" s="112">
        <f t="shared" si="61"/>
        <v>176.95807204207716</v>
      </c>
      <c r="AJ42" s="148">
        <f t="shared" si="62"/>
        <v>44.239518010519291</v>
      </c>
      <c r="AK42" s="147">
        <f t="shared" si="63"/>
        <v>132.71855403155786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5" t="s">
        <v>171</v>
      </c>
      <c r="B43" s="216">
        <v>153.33333333333334</v>
      </c>
      <c r="C43" s="216">
        <v>-153.33333333333334</v>
      </c>
      <c r="D43" s="38">
        <f t="shared" si="58"/>
        <v>0</v>
      </c>
      <c r="E43" s="75">
        <f>E11</f>
        <v>0.2</v>
      </c>
      <c r="F43" s="26">
        <v>1.4</v>
      </c>
      <c r="G43" s="22">
        <f t="shared" si="59"/>
        <v>1</v>
      </c>
      <c r="H43" s="24">
        <f t="shared" si="51"/>
        <v>0.27999999999999997</v>
      </c>
      <c r="I43" s="39">
        <f t="shared" si="52"/>
        <v>0</v>
      </c>
      <c r="J43" s="38">
        <f t="shared" si="53"/>
        <v>33.122111572963078</v>
      </c>
      <c r="K43" s="40">
        <f t="shared" si="54"/>
        <v>3.3196458082255047E-3</v>
      </c>
      <c r="L43" s="22">
        <f t="shared" si="55"/>
        <v>9.2950082630314124E-4</v>
      </c>
      <c r="M43" s="24">
        <f t="shared" si="56"/>
        <v>7.1708920984411536E-4</v>
      </c>
      <c r="N43" s="2"/>
      <c r="O43" s="2"/>
      <c r="P43" s="59"/>
      <c r="Q43" s="41"/>
      <c r="R43" s="41"/>
      <c r="S43" s="221"/>
      <c r="T43" s="221"/>
      <c r="U43" s="56"/>
      <c r="V43" s="56"/>
      <c r="W43" s="115"/>
      <c r="X43" s="118"/>
      <c r="Y43" s="110"/>
      <c r="Z43" s="116">
        <v>0.25</v>
      </c>
      <c r="AA43" s="147">
        <f t="shared" si="64"/>
        <v>8.2805278932407695</v>
      </c>
      <c r="AB43" s="116">
        <v>0.25</v>
      </c>
      <c r="AC43" s="147">
        <f t="shared" si="65"/>
        <v>8.2805278932407695</v>
      </c>
      <c r="AD43" s="116">
        <v>0.25</v>
      </c>
      <c r="AE43" s="147">
        <f t="shared" si="66"/>
        <v>8.2805278932407695</v>
      </c>
      <c r="AF43" s="122">
        <f t="shared" si="57"/>
        <v>0.25</v>
      </c>
      <c r="AG43" s="147">
        <f t="shared" si="60"/>
        <v>8.2805278932407695</v>
      </c>
      <c r="AH43" s="123">
        <f t="shared" si="61"/>
        <v>1</v>
      </c>
      <c r="AI43" s="112">
        <f t="shared" si="61"/>
        <v>33.122111572963078</v>
      </c>
      <c r="AJ43" s="148">
        <f t="shared" si="62"/>
        <v>16.561055786481539</v>
      </c>
      <c r="AK43" s="147">
        <f t="shared" si="63"/>
        <v>16.561055786481539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5" t="s">
        <v>158</v>
      </c>
      <c r="B44" s="216">
        <v>219.33333333333334</v>
      </c>
      <c r="C44" s="216">
        <v>-219.33333333333334</v>
      </c>
      <c r="D44" s="38">
        <f t="shared" si="58"/>
        <v>0</v>
      </c>
      <c r="E44" s="75">
        <f>E19</f>
        <v>0.2</v>
      </c>
      <c r="F44" s="26">
        <v>1.4</v>
      </c>
      <c r="G44" s="22">
        <f t="shared" si="59"/>
        <v>1</v>
      </c>
      <c r="H44" s="24">
        <f t="shared" si="51"/>
        <v>0.27999999999999997</v>
      </c>
      <c r="I44" s="39">
        <f t="shared" si="52"/>
        <v>0</v>
      </c>
      <c r="J44" s="38">
        <f t="shared" si="53"/>
        <v>47.379020467412403</v>
      </c>
      <c r="K44" s="40">
        <f t="shared" si="54"/>
        <v>4.7485368300269181E-3</v>
      </c>
      <c r="L44" s="22">
        <f t="shared" si="55"/>
        <v>1.329590312407537E-3</v>
      </c>
      <c r="M44" s="24">
        <f t="shared" si="56"/>
        <v>1.0257493479944085E-3</v>
      </c>
      <c r="N44" s="2"/>
      <c r="O44" s="2"/>
      <c r="P44" s="2"/>
      <c r="Q44" s="255"/>
      <c r="R44" s="41"/>
      <c r="S44" s="41"/>
      <c r="T44" s="253"/>
      <c r="U44" s="56"/>
      <c r="V44" s="56"/>
      <c r="W44" s="117"/>
      <c r="X44" s="118"/>
      <c r="Y44" s="110"/>
      <c r="Z44" s="116">
        <v>0.25</v>
      </c>
      <c r="AA44" s="147">
        <f t="shared" si="64"/>
        <v>11.844755116853101</v>
      </c>
      <c r="AB44" s="116">
        <v>0.25</v>
      </c>
      <c r="AC44" s="147">
        <f t="shared" si="65"/>
        <v>11.844755116853101</v>
      </c>
      <c r="AD44" s="116">
        <v>0.25</v>
      </c>
      <c r="AE44" s="147">
        <f t="shared" si="66"/>
        <v>11.844755116853101</v>
      </c>
      <c r="AF44" s="122">
        <f t="shared" si="57"/>
        <v>0.25</v>
      </c>
      <c r="AG44" s="147">
        <f t="shared" si="60"/>
        <v>11.844755116853101</v>
      </c>
      <c r="AH44" s="123">
        <f t="shared" si="61"/>
        <v>1</v>
      </c>
      <c r="AI44" s="112">
        <f t="shared" si="61"/>
        <v>47.379020467412403</v>
      </c>
      <c r="AJ44" s="148">
        <f t="shared" si="62"/>
        <v>23.689510233706201</v>
      </c>
      <c r="AK44" s="147">
        <f t="shared" si="63"/>
        <v>23.689510233706201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5" t="s">
        <v>157</v>
      </c>
      <c r="B45" s="216">
        <v>186.66666666666666</v>
      </c>
      <c r="C45" s="216">
        <v>-186.66666666666666</v>
      </c>
      <c r="D45" s="38">
        <f t="shared" si="58"/>
        <v>0</v>
      </c>
      <c r="E45" s="75">
        <f>E18</f>
        <v>0.2</v>
      </c>
      <c r="F45" s="26">
        <v>1.4</v>
      </c>
      <c r="G45" s="22">
        <f t="shared" si="59"/>
        <v>1</v>
      </c>
      <c r="H45" s="24">
        <f t="shared" si="51"/>
        <v>0.27999999999999997</v>
      </c>
      <c r="I45" s="39">
        <f t="shared" si="52"/>
        <v>0</v>
      </c>
      <c r="J45" s="38">
        <f t="shared" si="53"/>
        <v>40.322570610563744</v>
      </c>
      <c r="K45" s="40">
        <f t="shared" si="54"/>
        <v>4.0413079404484405E-3</v>
      </c>
      <c r="L45" s="22">
        <f t="shared" si="55"/>
        <v>1.1315662233255632E-3</v>
      </c>
      <c r="M45" s="24">
        <f t="shared" si="56"/>
        <v>8.7297816850587955E-4</v>
      </c>
      <c r="N45" s="2"/>
      <c r="O45" s="2"/>
      <c r="P45" s="56"/>
      <c r="Q45" s="255"/>
      <c r="S45" s="41"/>
      <c r="U45" s="56"/>
      <c r="V45" s="56"/>
      <c r="W45" s="110"/>
      <c r="X45" s="118"/>
      <c r="Y45" s="110"/>
      <c r="Z45" s="116">
        <v>0.25</v>
      </c>
      <c r="AA45" s="147">
        <f t="shared" si="64"/>
        <v>10.080642652640936</v>
      </c>
      <c r="AB45" s="116">
        <v>0.25</v>
      </c>
      <c r="AC45" s="147">
        <f t="shared" si="65"/>
        <v>10.080642652640936</v>
      </c>
      <c r="AD45" s="116">
        <v>0.25</v>
      </c>
      <c r="AE45" s="147">
        <f t="shared" si="66"/>
        <v>10.080642652640936</v>
      </c>
      <c r="AF45" s="122">
        <f t="shared" si="57"/>
        <v>0.25</v>
      </c>
      <c r="AG45" s="147">
        <f t="shared" si="60"/>
        <v>10.080642652640936</v>
      </c>
      <c r="AH45" s="123">
        <f t="shared" si="61"/>
        <v>1</v>
      </c>
      <c r="AI45" s="112">
        <f t="shared" si="61"/>
        <v>40.322570610563744</v>
      </c>
      <c r="AJ45" s="148">
        <f t="shared" si="62"/>
        <v>20.161285305281872</v>
      </c>
      <c r="AK45" s="147">
        <f t="shared" si="63"/>
        <v>20.161285305281872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5" t="s">
        <v>172</v>
      </c>
      <c r="B46" s="216">
        <v>45</v>
      </c>
      <c r="C46" s="216">
        <v>-45</v>
      </c>
      <c r="D46" s="38">
        <f t="shared" si="58"/>
        <v>0</v>
      </c>
      <c r="E46" s="75">
        <f>E12</f>
        <v>0.2</v>
      </c>
      <c r="F46" s="26">
        <v>1.4</v>
      </c>
      <c r="G46" s="22">
        <f t="shared" si="59"/>
        <v>1</v>
      </c>
      <c r="H46" s="24">
        <f t="shared" si="51"/>
        <v>0.27999999999999997</v>
      </c>
      <c r="I46" s="39">
        <f t="shared" si="52"/>
        <v>0</v>
      </c>
      <c r="J46" s="38">
        <f t="shared" si="53"/>
        <v>9.7206197007609045</v>
      </c>
      <c r="K46" s="40">
        <f t="shared" si="54"/>
        <v>9.7424387850096334E-4</v>
      </c>
      <c r="L46" s="22">
        <f t="shared" si="55"/>
        <v>2.7278828598026973E-4</v>
      </c>
      <c r="M46" s="24">
        <f t="shared" si="56"/>
        <v>2.1045009419338171E-4</v>
      </c>
      <c r="N46" s="2"/>
      <c r="O46" s="2"/>
      <c r="P46" s="2"/>
      <c r="Q46" s="255"/>
      <c r="S46" s="41"/>
      <c r="U46" s="56"/>
      <c r="V46" s="56"/>
      <c r="W46" s="110"/>
      <c r="X46" s="118"/>
      <c r="Y46" s="110"/>
      <c r="Z46" s="116">
        <v>0.25</v>
      </c>
      <c r="AA46" s="147">
        <f t="shared" si="64"/>
        <v>2.4301549251902261</v>
      </c>
      <c r="AB46" s="116">
        <v>0.25</v>
      </c>
      <c r="AC46" s="147">
        <f t="shared" si="65"/>
        <v>2.4301549251902261</v>
      </c>
      <c r="AD46" s="116">
        <v>0.25</v>
      </c>
      <c r="AE46" s="147">
        <f t="shared" si="66"/>
        <v>2.4301549251902261</v>
      </c>
      <c r="AF46" s="122">
        <f t="shared" si="57"/>
        <v>0.25</v>
      </c>
      <c r="AG46" s="147">
        <f t="shared" si="60"/>
        <v>2.4301549251902261</v>
      </c>
      <c r="AH46" s="123">
        <f t="shared" si="61"/>
        <v>1</v>
      </c>
      <c r="AI46" s="112">
        <f t="shared" si="61"/>
        <v>9.7206197007609045</v>
      </c>
      <c r="AJ46" s="148">
        <f t="shared" si="62"/>
        <v>4.8603098503804523</v>
      </c>
      <c r="AK46" s="147">
        <f t="shared" si="63"/>
        <v>4.8603098503804523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5" t="s">
        <v>152</v>
      </c>
      <c r="B47" s="216">
        <v>10</v>
      </c>
      <c r="C47" s="216">
        <v>-10</v>
      </c>
      <c r="D47" s="38">
        <f t="shared" si="58"/>
        <v>0</v>
      </c>
      <c r="E47" s="75">
        <f>E13</f>
        <v>0.2</v>
      </c>
      <c r="F47" s="26">
        <v>1.4</v>
      </c>
      <c r="G47" s="22">
        <f t="shared" si="59"/>
        <v>1</v>
      </c>
      <c r="H47" s="24">
        <f t="shared" si="51"/>
        <v>0.27999999999999997</v>
      </c>
      <c r="I47" s="39">
        <f t="shared" si="52"/>
        <v>0</v>
      </c>
      <c r="J47" s="38">
        <f t="shared" si="53"/>
        <v>2.1601377112802007</v>
      </c>
      <c r="K47" s="40">
        <f t="shared" si="54"/>
        <v>2.1649863966688074E-4</v>
      </c>
      <c r="L47" s="22">
        <f t="shared" si="55"/>
        <v>6.0619619106726602E-5</v>
      </c>
      <c r="M47" s="24">
        <f t="shared" si="56"/>
        <v>4.6766687598529261E-5</v>
      </c>
      <c r="N47" s="2"/>
      <c r="O47" s="2"/>
      <c r="P47" s="59"/>
      <c r="R47" s="243"/>
      <c r="U47" s="56"/>
      <c r="V47" s="56"/>
      <c r="W47" s="110"/>
      <c r="X47" s="118"/>
      <c r="Y47" s="110"/>
      <c r="Z47" s="116">
        <v>0.25</v>
      </c>
      <c r="AA47" s="147">
        <f t="shared" si="64"/>
        <v>0.54003442782005018</v>
      </c>
      <c r="AB47" s="116">
        <v>0.25</v>
      </c>
      <c r="AC47" s="147">
        <f t="shared" si="65"/>
        <v>0.54003442782005018</v>
      </c>
      <c r="AD47" s="116">
        <v>0.25</v>
      </c>
      <c r="AE47" s="147">
        <f t="shared" si="66"/>
        <v>0.54003442782005018</v>
      </c>
      <c r="AF47" s="122">
        <f t="shared" si="57"/>
        <v>0.25</v>
      </c>
      <c r="AG47" s="147">
        <f t="shared" si="60"/>
        <v>0.54003442782005018</v>
      </c>
      <c r="AH47" s="123">
        <f t="shared" si="61"/>
        <v>1</v>
      </c>
      <c r="AI47" s="112">
        <f t="shared" si="61"/>
        <v>2.1601377112802007</v>
      </c>
      <c r="AJ47" s="148">
        <f t="shared" si="62"/>
        <v>1.0800688556401004</v>
      </c>
      <c r="AK47" s="147">
        <f t="shared" si="63"/>
        <v>1.0800688556401004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5" t="s">
        <v>173</v>
      </c>
      <c r="B48" s="216">
        <v>26</v>
      </c>
      <c r="C48" s="216">
        <v>-10</v>
      </c>
      <c r="D48" s="38">
        <f>SUM(B48,C48)</f>
        <v>16</v>
      </c>
      <c r="E48" s="75">
        <f>E16</f>
        <v>0.2</v>
      </c>
      <c r="F48" s="26">
        <v>1.4</v>
      </c>
      <c r="G48" s="22">
        <f t="shared" si="59"/>
        <v>1</v>
      </c>
      <c r="H48" s="24">
        <f t="shared" si="51"/>
        <v>0.27999999999999997</v>
      </c>
      <c r="I48" s="39">
        <f t="shared" si="52"/>
        <v>4.4799999999999995</v>
      </c>
      <c r="J48" s="38">
        <f t="shared" si="53"/>
        <v>6.6401377112801994</v>
      </c>
      <c r="K48" s="40">
        <f t="shared" si="54"/>
        <v>5.6289646313388987E-4</v>
      </c>
      <c r="L48" s="22">
        <f t="shared" si="55"/>
        <v>1.5761100967748914E-4</v>
      </c>
      <c r="M48" s="24">
        <f t="shared" si="56"/>
        <v>1.437580781692918E-4</v>
      </c>
      <c r="N48" s="2"/>
      <c r="O48" s="2"/>
      <c r="P48" s="59"/>
      <c r="Q48" s="255"/>
      <c r="R48" s="252"/>
      <c r="S48" s="41"/>
      <c r="T48" s="29"/>
      <c r="U48" s="56"/>
      <c r="V48" s="56"/>
      <c r="W48" s="110"/>
      <c r="X48" s="118"/>
      <c r="Y48" s="110"/>
      <c r="Z48" s="116">
        <v>0.25</v>
      </c>
      <c r="AA48" s="147">
        <f t="shared" si="64"/>
        <v>1.6600344278200498</v>
      </c>
      <c r="AB48" s="116">
        <v>0.25</v>
      </c>
      <c r="AC48" s="147">
        <f t="shared" si="65"/>
        <v>1.6600344278200498</v>
      </c>
      <c r="AD48" s="116">
        <v>0.25</v>
      </c>
      <c r="AE48" s="147">
        <f t="shared" si="66"/>
        <v>1.6600344278200498</v>
      </c>
      <c r="AF48" s="122">
        <f t="shared" si="57"/>
        <v>0.25</v>
      </c>
      <c r="AG48" s="147">
        <f t="shared" si="60"/>
        <v>1.6600344278200498</v>
      </c>
      <c r="AH48" s="123">
        <f t="shared" si="61"/>
        <v>1</v>
      </c>
      <c r="AI48" s="112">
        <f t="shared" si="61"/>
        <v>6.6401377112801994</v>
      </c>
      <c r="AJ48" s="148">
        <f t="shared" si="62"/>
        <v>3.3200688556400997</v>
      </c>
      <c r="AK48" s="147">
        <f t="shared" si="63"/>
        <v>3.3200688556400997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5" t="s">
        <v>156</v>
      </c>
      <c r="B49" s="216">
        <v>0</v>
      </c>
      <c r="C49" s="216">
        <v>0</v>
      </c>
      <c r="D49" s="38">
        <f t="shared" ref="D49:D64" si="67">SUM(B49,C49)</f>
        <v>0</v>
      </c>
      <c r="E49" s="75">
        <f>E17</f>
        <v>0.2</v>
      </c>
      <c r="F49" s="26">
        <v>1.4</v>
      </c>
      <c r="G49" s="22">
        <f t="shared" si="59"/>
        <v>1</v>
      </c>
      <c r="H49" s="24">
        <f t="shared" si="51"/>
        <v>0.27999999999999997</v>
      </c>
      <c r="I49" s="39">
        <f t="shared" si="52"/>
        <v>0</v>
      </c>
      <c r="J49" s="38">
        <f t="shared" si="53"/>
        <v>0</v>
      </c>
      <c r="K49" s="40">
        <f t="shared" si="54"/>
        <v>0</v>
      </c>
      <c r="L49" s="22">
        <f t="shared" si="55"/>
        <v>0</v>
      </c>
      <c r="M49" s="24">
        <f t="shared" si="56"/>
        <v>0</v>
      </c>
      <c r="N49" s="2"/>
      <c r="O49" s="2"/>
      <c r="P49" s="56"/>
      <c r="V49" s="56"/>
      <c r="W49" s="110"/>
      <c r="X49" s="118"/>
      <c r="Y49" s="110"/>
      <c r="Z49" s="116">
        <v>0.25</v>
      </c>
      <c r="AA49" s="147">
        <f t="shared" si="64"/>
        <v>0</v>
      </c>
      <c r="AB49" s="116">
        <v>0.25</v>
      </c>
      <c r="AC49" s="147">
        <f t="shared" si="65"/>
        <v>0</v>
      </c>
      <c r="AD49" s="116">
        <v>0.25</v>
      </c>
      <c r="AE49" s="147">
        <f t="shared" si="66"/>
        <v>0</v>
      </c>
      <c r="AF49" s="122">
        <f t="shared" si="57"/>
        <v>0.25</v>
      </c>
      <c r="AG49" s="147">
        <f t="shared" si="60"/>
        <v>0</v>
      </c>
      <c r="AH49" s="123">
        <f t="shared" si="61"/>
        <v>1</v>
      </c>
      <c r="AI49" s="112">
        <f t="shared" si="61"/>
        <v>0</v>
      </c>
      <c r="AJ49" s="148">
        <f t="shared" si="62"/>
        <v>0</v>
      </c>
      <c r="AK49" s="147">
        <f t="shared" si="63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5" t="s">
        <v>174</v>
      </c>
      <c r="B50" s="216">
        <v>0</v>
      </c>
      <c r="C50" s="216">
        <v>0</v>
      </c>
      <c r="D50" s="38">
        <f t="shared" si="67"/>
        <v>0</v>
      </c>
      <c r="E50" s="26">
        <v>0.2</v>
      </c>
      <c r="F50" s="26">
        <v>1.4</v>
      </c>
      <c r="G50" s="22">
        <f t="shared" si="59"/>
        <v>1</v>
      </c>
      <c r="H50" s="24">
        <f t="shared" ref="H50:H64" si="68">(E50*F50)</f>
        <v>0.27999999999999997</v>
      </c>
      <c r="I50" s="39">
        <f t="shared" ref="I50:I64" si="69">D50*H50</f>
        <v>0</v>
      </c>
      <c r="J50" s="38">
        <f t="shared" ref="J50:J64" si="70">J104*I$83</f>
        <v>0</v>
      </c>
      <c r="K50" s="40">
        <f t="shared" ref="K50:K64" si="71">(B50/B$65)</f>
        <v>0</v>
      </c>
      <c r="L50" s="22">
        <f t="shared" ref="L50:L64" si="72">(K50*H50)</f>
        <v>0</v>
      </c>
      <c r="M50" s="24">
        <f t="shared" ref="M50:M64" si="73">J50/B$65</f>
        <v>0</v>
      </c>
      <c r="N50" s="2"/>
      <c r="P50" s="64"/>
      <c r="V50" s="56"/>
      <c r="W50" s="110"/>
      <c r="X50" s="118"/>
      <c r="Y50" s="110"/>
      <c r="Z50" s="116"/>
      <c r="AA50" s="147"/>
      <c r="AB50" s="116"/>
      <c r="AC50" s="147"/>
      <c r="AD50" s="116"/>
      <c r="AE50" s="147"/>
      <c r="AF50" s="122"/>
      <c r="AG50" s="147"/>
      <c r="AH50" s="123"/>
      <c r="AI50" s="112"/>
      <c r="AJ50" s="148"/>
      <c r="AK50" s="147"/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5" t="s">
        <v>175</v>
      </c>
      <c r="B51" s="216">
        <v>1280</v>
      </c>
      <c r="C51" s="216">
        <v>0</v>
      </c>
      <c r="D51" s="38">
        <f t="shared" si="67"/>
        <v>1280</v>
      </c>
      <c r="E51" s="26">
        <v>0.5</v>
      </c>
      <c r="F51" s="26">
        <v>1.1100000000000001</v>
      </c>
      <c r="G51" s="22">
        <f t="shared" si="59"/>
        <v>1</v>
      </c>
      <c r="H51" s="24">
        <f t="shared" si="68"/>
        <v>0.55500000000000005</v>
      </c>
      <c r="I51" s="39">
        <f t="shared" si="69"/>
        <v>710.40000000000009</v>
      </c>
      <c r="J51" s="38">
        <f t="shared" si="70"/>
        <v>710.4</v>
      </c>
      <c r="K51" s="40">
        <f t="shared" si="71"/>
        <v>2.7711825877360735E-2</v>
      </c>
      <c r="L51" s="22">
        <f t="shared" si="72"/>
        <v>1.5380063361935209E-2</v>
      </c>
      <c r="M51" s="24">
        <f t="shared" si="73"/>
        <v>1.5380063361935207E-2</v>
      </c>
      <c r="N51" s="2"/>
      <c r="O51" s="2"/>
      <c r="P51" s="59"/>
      <c r="V51" s="56"/>
      <c r="W51" s="110"/>
      <c r="X51" s="118"/>
      <c r="Y51" s="110"/>
      <c r="Z51" s="116"/>
      <c r="AA51" s="147"/>
      <c r="AB51" s="116"/>
      <c r="AC51" s="147"/>
      <c r="AD51" s="116"/>
      <c r="AE51" s="147"/>
      <c r="AF51" s="122"/>
      <c r="AG51" s="147"/>
      <c r="AH51" s="123"/>
      <c r="AI51" s="112"/>
      <c r="AJ51" s="148"/>
      <c r="AK51" s="147"/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5" t="s">
        <v>176</v>
      </c>
      <c r="B52" s="216">
        <v>0</v>
      </c>
      <c r="C52" s="216">
        <v>0</v>
      </c>
      <c r="D52" s="38">
        <f t="shared" si="67"/>
        <v>0</v>
      </c>
      <c r="E52" s="26">
        <v>0.5</v>
      </c>
      <c r="F52" s="26">
        <v>1.1100000000000001</v>
      </c>
      <c r="G52" s="22">
        <f t="shared" si="59"/>
        <v>1</v>
      </c>
      <c r="H52" s="24">
        <f t="shared" si="68"/>
        <v>0.55500000000000005</v>
      </c>
      <c r="I52" s="39">
        <f t="shared" si="69"/>
        <v>0</v>
      </c>
      <c r="J52" s="38">
        <f t="shared" si="70"/>
        <v>0</v>
      </c>
      <c r="K52" s="40">
        <f t="shared" si="71"/>
        <v>0</v>
      </c>
      <c r="L52" s="22">
        <f t="shared" si="72"/>
        <v>0</v>
      </c>
      <c r="M52" s="24">
        <f t="shared" si="73"/>
        <v>0</v>
      </c>
      <c r="N52" s="2"/>
      <c r="O52" s="2"/>
      <c r="P52" s="59"/>
      <c r="Q52" s="2"/>
      <c r="R52" s="218"/>
      <c r="S52" s="68"/>
      <c r="T52" s="2"/>
      <c r="U52" s="56"/>
      <c r="V52" s="56"/>
      <c r="W52" s="110"/>
      <c r="X52" s="118"/>
      <c r="Y52" s="110"/>
      <c r="Z52" s="116"/>
      <c r="AA52" s="147"/>
      <c r="AB52" s="116"/>
      <c r="AC52" s="147"/>
      <c r="AD52" s="116"/>
      <c r="AE52" s="147"/>
      <c r="AF52" s="122"/>
      <c r="AG52" s="147"/>
      <c r="AH52" s="123"/>
      <c r="AI52" s="112"/>
      <c r="AJ52" s="148"/>
      <c r="AK52" s="147"/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5" t="s">
        <v>177</v>
      </c>
      <c r="B53" s="216">
        <v>733.33333333333337</v>
      </c>
      <c r="C53" s="216">
        <v>0</v>
      </c>
      <c r="D53" s="38">
        <f t="shared" si="67"/>
        <v>733.33333333333337</v>
      </c>
      <c r="E53" s="26">
        <v>0.5</v>
      </c>
      <c r="F53" s="26">
        <v>1.1100000000000001</v>
      </c>
      <c r="G53" s="22">
        <f t="shared" si="59"/>
        <v>1</v>
      </c>
      <c r="H53" s="24">
        <f t="shared" si="68"/>
        <v>0.55500000000000005</v>
      </c>
      <c r="I53" s="39">
        <f t="shared" si="69"/>
        <v>407.00000000000006</v>
      </c>
      <c r="J53" s="38">
        <f t="shared" si="70"/>
        <v>407.00000000000011</v>
      </c>
      <c r="K53" s="40">
        <f t="shared" si="71"/>
        <v>1.5876566908904589E-2</v>
      </c>
      <c r="L53" s="22">
        <f t="shared" si="72"/>
        <v>8.8114946344420471E-3</v>
      </c>
      <c r="M53" s="24">
        <f t="shared" si="73"/>
        <v>8.8114946344420488E-3</v>
      </c>
      <c r="N53" s="2"/>
      <c r="O53" s="2"/>
      <c r="P53" s="2"/>
      <c r="Q53" s="2"/>
      <c r="R53" s="218"/>
      <c r="S53" s="68"/>
      <c r="T53" s="2"/>
      <c r="U53" s="56"/>
      <c r="V53" s="56"/>
      <c r="W53" s="110"/>
      <c r="X53" s="118"/>
      <c r="Y53" s="110"/>
      <c r="Z53" s="116"/>
      <c r="AA53" s="147"/>
      <c r="AB53" s="116"/>
      <c r="AC53" s="147"/>
      <c r="AD53" s="11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5" t="s">
        <v>178</v>
      </c>
      <c r="B54" s="216">
        <v>0</v>
      </c>
      <c r="C54" s="216">
        <v>0</v>
      </c>
      <c r="D54" s="38">
        <f t="shared" si="67"/>
        <v>0</v>
      </c>
      <c r="E54" s="26">
        <v>0.4</v>
      </c>
      <c r="F54" s="26">
        <v>1.18</v>
      </c>
      <c r="G54" s="22">
        <f t="shared" si="59"/>
        <v>1</v>
      </c>
      <c r="H54" s="24">
        <f t="shared" si="68"/>
        <v>0.47199999999999998</v>
      </c>
      <c r="I54" s="39">
        <f t="shared" si="69"/>
        <v>0</v>
      </c>
      <c r="J54" s="38">
        <f t="shared" si="70"/>
        <v>0</v>
      </c>
      <c r="K54" s="40">
        <f t="shared" si="71"/>
        <v>0</v>
      </c>
      <c r="L54" s="22">
        <f t="shared" si="72"/>
        <v>0</v>
      </c>
      <c r="M54" s="24">
        <f t="shared" si="73"/>
        <v>0</v>
      </c>
      <c r="N54" s="2"/>
      <c r="O54" s="2"/>
      <c r="P54" s="2"/>
      <c r="Q54" s="2"/>
      <c r="R54" s="218"/>
      <c r="S54" s="68"/>
      <c r="T54" s="2"/>
      <c r="U54" s="56"/>
      <c r="V54" s="56"/>
      <c r="W54" s="110"/>
      <c r="X54" s="118"/>
      <c r="Y54" s="110"/>
      <c r="Z54" s="116"/>
      <c r="AA54" s="147"/>
      <c r="AB54" s="116"/>
      <c r="AC54" s="147"/>
      <c r="AD54" s="11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5" t="s">
        <v>179</v>
      </c>
      <c r="B55" s="216">
        <v>0</v>
      </c>
      <c r="C55" s="216">
        <v>0</v>
      </c>
      <c r="D55" s="38">
        <f t="shared" si="67"/>
        <v>0</v>
      </c>
      <c r="E55" s="26">
        <v>0.4</v>
      </c>
      <c r="F55" s="26">
        <v>1.18</v>
      </c>
      <c r="G55" s="22">
        <f t="shared" si="59"/>
        <v>1</v>
      </c>
      <c r="H55" s="24">
        <f t="shared" si="68"/>
        <v>0.47199999999999998</v>
      </c>
      <c r="I55" s="39">
        <f t="shared" si="69"/>
        <v>0</v>
      </c>
      <c r="J55" s="38">
        <f t="shared" si="70"/>
        <v>0</v>
      </c>
      <c r="K55" s="40">
        <f t="shared" si="71"/>
        <v>0</v>
      </c>
      <c r="L55" s="22">
        <f t="shared" si="72"/>
        <v>0</v>
      </c>
      <c r="M55" s="24">
        <f t="shared" si="73"/>
        <v>0</v>
      </c>
      <c r="N55" s="2"/>
      <c r="O55" s="2"/>
      <c r="P55" s="2"/>
      <c r="Q55" s="2"/>
      <c r="R55" s="218"/>
      <c r="S55" s="68"/>
      <c r="T55" s="2"/>
      <c r="U55" s="56"/>
      <c r="V55" s="56"/>
      <c r="W55" s="110"/>
      <c r="X55" s="118"/>
      <c r="Y55" s="110"/>
      <c r="Z55" s="116">
        <v>0.25</v>
      </c>
      <c r="AA55" s="147">
        <f t="shared" si="64"/>
        <v>0</v>
      </c>
      <c r="AB55" s="116">
        <v>0.25</v>
      </c>
      <c r="AC55" s="147">
        <f t="shared" si="65"/>
        <v>0</v>
      </c>
      <c r="AD55" s="116">
        <v>0.25</v>
      </c>
      <c r="AE55" s="147">
        <f t="shared" si="66"/>
        <v>0</v>
      </c>
      <c r="AF55" s="122">
        <f t="shared" si="57"/>
        <v>0.25</v>
      </c>
      <c r="AG55" s="147">
        <f t="shared" si="60"/>
        <v>0</v>
      </c>
      <c r="AH55" s="123">
        <f t="shared" si="61"/>
        <v>1</v>
      </c>
      <c r="AI55" s="112">
        <f t="shared" si="61"/>
        <v>0</v>
      </c>
      <c r="AJ55" s="148">
        <f t="shared" si="62"/>
        <v>0</v>
      </c>
      <c r="AK55" s="147">
        <f t="shared" si="63"/>
        <v>0</v>
      </c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5" t="s">
        <v>180</v>
      </c>
      <c r="B56" s="216">
        <v>933.33333333333337</v>
      </c>
      <c r="C56" s="216">
        <v>0</v>
      </c>
      <c r="D56" s="38">
        <f t="shared" si="67"/>
        <v>933.33333333333337</v>
      </c>
      <c r="E56" s="26">
        <v>0.8</v>
      </c>
      <c r="F56" s="26">
        <v>1.18</v>
      </c>
      <c r="G56" s="22">
        <f t="shared" si="59"/>
        <v>1</v>
      </c>
      <c r="H56" s="24">
        <f t="shared" si="68"/>
        <v>0.94399999999999995</v>
      </c>
      <c r="I56" s="39">
        <f t="shared" si="69"/>
        <v>881.06666666666661</v>
      </c>
      <c r="J56" s="38">
        <f t="shared" si="70"/>
        <v>881.06666666666661</v>
      </c>
      <c r="K56" s="40">
        <f t="shared" si="71"/>
        <v>2.0206539702242204E-2</v>
      </c>
      <c r="L56" s="22">
        <f t="shared" si="72"/>
        <v>1.9074973478916641E-2</v>
      </c>
      <c r="M56" s="24">
        <f t="shared" si="73"/>
        <v>1.9074973478916638E-2</v>
      </c>
      <c r="N56" s="2"/>
      <c r="O56" s="2"/>
      <c r="P56" s="2"/>
      <c r="Q56" s="2"/>
      <c r="R56" s="218"/>
      <c r="S56" s="68"/>
      <c r="T56" s="2"/>
      <c r="U56" s="56"/>
      <c r="V56" s="56"/>
      <c r="W56" s="110"/>
      <c r="X56" s="118"/>
      <c r="Y56" s="110"/>
      <c r="Z56" s="116">
        <v>0.25</v>
      </c>
      <c r="AA56" s="147">
        <f t="shared" si="64"/>
        <v>220.26666666666665</v>
      </c>
      <c r="AB56" s="116">
        <v>0.25</v>
      </c>
      <c r="AC56" s="147">
        <f t="shared" si="65"/>
        <v>220.26666666666665</v>
      </c>
      <c r="AD56" s="116">
        <v>0.25</v>
      </c>
      <c r="AE56" s="147">
        <f t="shared" si="66"/>
        <v>220.26666666666665</v>
      </c>
      <c r="AF56" s="122">
        <f t="shared" si="57"/>
        <v>0.25</v>
      </c>
      <c r="AG56" s="147">
        <f t="shared" si="60"/>
        <v>220.26666666666665</v>
      </c>
      <c r="AH56" s="123">
        <f t="shared" si="61"/>
        <v>1</v>
      </c>
      <c r="AI56" s="112">
        <f t="shared" si="61"/>
        <v>881.06666666666661</v>
      </c>
      <c r="AJ56" s="148">
        <f t="shared" si="62"/>
        <v>440.5333333333333</v>
      </c>
      <c r="AK56" s="147">
        <f t="shared" si="63"/>
        <v>440.5333333333333</v>
      </c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5" t="s">
        <v>181</v>
      </c>
      <c r="B57" s="216">
        <v>25414</v>
      </c>
      <c r="C57" s="216">
        <v>0</v>
      </c>
      <c r="D57" s="38">
        <f t="shared" si="67"/>
        <v>25414</v>
      </c>
      <c r="E57" s="26">
        <v>1</v>
      </c>
      <c r="F57" s="26">
        <v>1.18</v>
      </c>
      <c r="G57" s="22">
        <f t="shared" si="59"/>
        <v>1</v>
      </c>
      <c r="H57" s="24">
        <f t="shared" si="68"/>
        <v>1.18</v>
      </c>
      <c r="I57" s="39">
        <f t="shared" si="69"/>
        <v>29988.519999999997</v>
      </c>
      <c r="J57" s="38">
        <f t="shared" si="70"/>
        <v>29988.519999999997</v>
      </c>
      <c r="K57" s="40">
        <f t="shared" si="71"/>
        <v>0.55020964284941065</v>
      </c>
      <c r="L57" s="22">
        <f t="shared" si="72"/>
        <v>0.64924737856230452</v>
      </c>
      <c r="M57" s="24">
        <f t="shared" si="73"/>
        <v>0.64924737856230452</v>
      </c>
      <c r="N57" s="2"/>
      <c r="O57" s="2"/>
      <c r="P57" s="2"/>
      <c r="Q57" s="2"/>
      <c r="R57" s="218"/>
      <c r="S57" s="68"/>
      <c r="T57" s="2"/>
      <c r="U57" s="56"/>
      <c r="V57" s="56"/>
      <c r="W57" s="110"/>
      <c r="X57" s="118"/>
      <c r="Y57" s="110"/>
      <c r="Z57" s="116">
        <v>0.25</v>
      </c>
      <c r="AA57" s="147">
        <f t="shared" si="64"/>
        <v>7497.1299999999992</v>
      </c>
      <c r="AB57" s="116">
        <v>0.25</v>
      </c>
      <c r="AC57" s="147">
        <f t="shared" si="65"/>
        <v>7497.1299999999992</v>
      </c>
      <c r="AD57" s="116">
        <v>0.25</v>
      </c>
      <c r="AE57" s="147">
        <f t="shared" si="66"/>
        <v>7497.1299999999992</v>
      </c>
      <c r="AF57" s="122">
        <f t="shared" si="57"/>
        <v>0.25</v>
      </c>
      <c r="AG57" s="147">
        <f t="shared" si="60"/>
        <v>7497.1299999999992</v>
      </c>
      <c r="AH57" s="123">
        <f t="shared" si="61"/>
        <v>1</v>
      </c>
      <c r="AI57" s="112">
        <f t="shared" si="61"/>
        <v>29988.519999999997</v>
      </c>
      <c r="AJ57" s="148">
        <f t="shared" si="62"/>
        <v>14994.259999999998</v>
      </c>
      <c r="AK57" s="147">
        <f t="shared" si="63"/>
        <v>14994.259999999998</v>
      </c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5" t="s">
        <v>182</v>
      </c>
      <c r="B58" s="216">
        <v>7372</v>
      </c>
      <c r="C58" s="216">
        <v>0</v>
      </c>
      <c r="D58" s="38">
        <f t="shared" si="67"/>
        <v>7372</v>
      </c>
      <c r="E58" s="26">
        <v>1</v>
      </c>
      <c r="F58" s="26">
        <v>1.18</v>
      </c>
      <c r="G58" s="22">
        <f t="shared" si="59"/>
        <v>1</v>
      </c>
      <c r="H58" s="24">
        <f t="shared" si="68"/>
        <v>1.18</v>
      </c>
      <c r="I58" s="39">
        <f t="shared" si="69"/>
        <v>8698.9599999999991</v>
      </c>
      <c r="J58" s="38">
        <f t="shared" si="70"/>
        <v>8698.9599999999991</v>
      </c>
      <c r="K58" s="40">
        <f t="shared" si="71"/>
        <v>0.15960279716242448</v>
      </c>
      <c r="L58" s="22">
        <f t="shared" si="72"/>
        <v>0.18833130065166087</v>
      </c>
      <c r="M58" s="24">
        <f t="shared" si="73"/>
        <v>0.18833130065166087</v>
      </c>
      <c r="N58" s="2"/>
      <c r="O58" s="2"/>
      <c r="P58" s="2"/>
      <c r="Q58" s="2"/>
      <c r="R58" s="218"/>
      <c r="S58" s="68"/>
      <c r="T58" s="2"/>
      <c r="U58" s="56"/>
      <c r="V58" s="56"/>
      <c r="W58" s="110"/>
      <c r="X58" s="118"/>
      <c r="Y58" s="110"/>
      <c r="Z58" s="116">
        <v>0.25</v>
      </c>
      <c r="AA58" s="147">
        <f t="shared" si="64"/>
        <v>2174.7399999999998</v>
      </c>
      <c r="AB58" s="116">
        <v>0.25</v>
      </c>
      <c r="AC58" s="147">
        <f t="shared" si="65"/>
        <v>2174.7399999999998</v>
      </c>
      <c r="AD58" s="116">
        <v>0.25</v>
      </c>
      <c r="AE58" s="147">
        <f t="shared" si="66"/>
        <v>2174.7399999999998</v>
      </c>
      <c r="AF58" s="122">
        <f t="shared" si="57"/>
        <v>0.25</v>
      </c>
      <c r="AG58" s="147">
        <f t="shared" si="60"/>
        <v>2174.7399999999998</v>
      </c>
      <c r="AH58" s="123">
        <f t="shared" si="61"/>
        <v>1</v>
      </c>
      <c r="AI58" s="112">
        <f t="shared" si="61"/>
        <v>8698.9599999999991</v>
      </c>
      <c r="AJ58" s="148">
        <f t="shared" si="62"/>
        <v>4349.4799999999996</v>
      </c>
      <c r="AK58" s="147">
        <f t="shared" si="63"/>
        <v>4349.4799999999996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5" t="s">
        <v>183</v>
      </c>
      <c r="B59" s="216">
        <v>0</v>
      </c>
      <c r="C59" s="216">
        <v>0</v>
      </c>
      <c r="D59" s="38">
        <f t="shared" si="67"/>
        <v>0</v>
      </c>
      <c r="E59" s="26">
        <v>1</v>
      </c>
      <c r="F59" s="26">
        <v>1.1100000000000001</v>
      </c>
      <c r="G59" s="22">
        <f t="shared" si="59"/>
        <v>1</v>
      </c>
      <c r="H59" s="24">
        <f t="shared" si="68"/>
        <v>1.1100000000000001</v>
      </c>
      <c r="I59" s="39">
        <f t="shared" si="69"/>
        <v>0</v>
      </c>
      <c r="J59" s="38">
        <f t="shared" si="70"/>
        <v>0</v>
      </c>
      <c r="K59" s="40">
        <f t="shared" si="71"/>
        <v>0</v>
      </c>
      <c r="L59" s="22">
        <f t="shared" si="72"/>
        <v>0</v>
      </c>
      <c r="M59" s="24">
        <f t="shared" si="73"/>
        <v>0</v>
      </c>
      <c r="N59" s="2"/>
      <c r="O59" s="2"/>
      <c r="P59" s="2"/>
      <c r="Q59" s="2"/>
      <c r="R59" s="218"/>
      <c r="S59" s="2"/>
      <c r="T59" s="2"/>
      <c r="U59" s="56"/>
      <c r="V59" s="56"/>
      <c r="W59" s="110"/>
      <c r="X59" s="118"/>
      <c r="Y59" s="110"/>
      <c r="Z59" s="116">
        <v>0.25</v>
      </c>
      <c r="AA59" s="147">
        <f t="shared" si="64"/>
        <v>0</v>
      </c>
      <c r="AB59" s="116">
        <v>0.25</v>
      </c>
      <c r="AC59" s="147">
        <f t="shared" si="65"/>
        <v>0</v>
      </c>
      <c r="AD59" s="116">
        <v>0.25</v>
      </c>
      <c r="AE59" s="147">
        <f t="shared" si="66"/>
        <v>0</v>
      </c>
      <c r="AF59" s="122">
        <f t="shared" si="57"/>
        <v>0.25</v>
      </c>
      <c r="AG59" s="147">
        <f t="shared" si="60"/>
        <v>0</v>
      </c>
      <c r="AH59" s="123">
        <f t="shared" ref="AH59:AI64" si="74">SUM(Z59,AB59,AD59,AF59)</f>
        <v>1</v>
      </c>
      <c r="AI59" s="112">
        <f t="shared" si="74"/>
        <v>0</v>
      </c>
      <c r="AJ59" s="148">
        <f t="shared" si="62"/>
        <v>0</v>
      </c>
      <c r="AK59" s="147">
        <f t="shared" si="63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5" t="s">
        <v>184</v>
      </c>
      <c r="B60" s="216">
        <v>767</v>
      </c>
      <c r="C60" s="216">
        <v>0</v>
      </c>
      <c r="D60" s="38">
        <f t="shared" si="67"/>
        <v>767</v>
      </c>
      <c r="E60" s="26">
        <v>1</v>
      </c>
      <c r="F60" s="26">
        <v>1</v>
      </c>
      <c r="G60" s="22">
        <f t="shared" si="59"/>
        <v>1</v>
      </c>
      <c r="H60" s="24">
        <f t="shared" si="68"/>
        <v>1</v>
      </c>
      <c r="I60" s="39">
        <f t="shared" si="69"/>
        <v>767</v>
      </c>
      <c r="J60" s="38">
        <f t="shared" si="70"/>
        <v>767</v>
      </c>
      <c r="K60" s="40">
        <f t="shared" si="71"/>
        <v>1.6605445662449751E-2</v>
      </c>
      <c r="L60" s="22">
        <f t="shared" si="72"/>
        <v>1.6605445662449751E-2</v>
      </c>
      <c r="M60" s="24">
        <f t="shared" si="73"/>
        <v>1.6605445662449751E-2</v>
      </c>
      <c r="N60" s="2"/>
      <c r="O60" s="2"/>
      <c r="P60" s="2"/>
      <c r="Q60" s="2"/>
      <c r="R60" s="22"/>
      <c r="S60" s="2"/>
      <c r="T60" s="2"/>
      <c r="U60" s="56"/>
      <c r="V60" s="56"/>
      <c r="W60" s="110"/>
      <c r="X60" s="118"/>
      <c r="Y60" s="110"/>
      <c r="Z60" s="116">
        <v>0.25</v>
      </c>
      <c r="AA60" s="147">
        <f t="shared" si="64"/>
        <v>191.75</v>
      </c>
      <c r="AB60" s="116">
        <v>0.25</v>
      </c>
      <c r="AC60" s="147">
        <f t="shared" si="65"/>
        <v>191.75</v>
      </c>
      <c r="AD60" s="116">
        <v>0.25</v>
      </c>
      <c r="AE60" s="147">
        <f t="shared" si="66"/>
        <v>191.75</v>
      </c>
      <c r="AF60" s="122">
        <f t="shared" si="57"/>
        <v>0.25</v>
      </c>
      <c r="AG60" s="147">
        <f t="shared" si="60"/>
        <v>191.75</v>
      </c>
      <c r="AH60" s="123">
        <f t="shared" si="74"/>
        <v>1</v>
      </c>
      <c r="AI60" s="112">
        <f t="shared" si="74"/>
        <v>767</v>
      </c>
      <c r="AJ60" s="148">
        <f t="shared" si="62"/>
        <v>383.5</v>
      </c>
      <c r="AK60" s="147">
        <f t="shared" si="63"/>
        <v>383.5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5" t="s">
        <v>185</v>
      </c>
      <c r="B61" s="216">
        <v>283.33333333333331</v>
      </c>
      <c r="C61" s="216">
        <v>0</v>
      </c>
      <c r="D61" s="38">
        <f t="shared" si="67"/>
        <v>283.33333333333331</v>
      </c>
      <c r="E61" s="26">
        <v>1</v>
      </c>
      <c r="F61" s="26">
        <v>1.1100000000000001</v>
      </c>
      <c r="G61" s="22">
        <f t="shared" si="59"/>
        <v>1</v>
      </c>
      <c r="H61" s="24">
        <f t="shared" si="68"/>
        <v>1.1100000000000001</v>
      </c>
      <c r="I61" s="39">
        <f t="shared" si="69"/>
        <v>314.5</v>
      </c>
      <c r="J61" s="38">
        <f t="shared" si="70"/>
        <v>314.5</v>
      </c>
      <c r="K61" s="40">
        <f t="shared" si="71"/>
        <v>6.1341281238949542E-3</v>
      </c>
      <c r="L61" s="22">
        <f t="shared" si="72"/>
        <v>6.8088822175233999E-3</v>
      </c>
      <c r="M61" s="24">
        <f t="shared" si="73"/>
        <v>6.8088822175233991E-3</v>
      </c>
      <c r="N61" s="2"/>
      <c r="O61" s="2"/>
      <c r="P61" s="2"/>
      <c r="Q61" s="56"/>
      <c r="R61" s="56"/>
      <c r="S61" s="56"/>
      <c r="T61" s="56"/>
      <c r="U61" s="56"/>
      <c r="V61" s="56"/>
      <c r="W61" s="110"/>
      <c r="X61" s="118"/>
      <c r="Y61" s="110"/>
      <c r="Z61" s="116">
        <v>0.25</v>
      </c>
      <c r="AA61" s="147">
        <f t="shared" si="64"/>
        <v>78.625</v>
      </c>
      <c r="AB61" s="116">
        <v>0.25</v>
      </c>
      <c r="AC61" s="147">
        <f t="shared" si="65"/>
        <v>78.625</v>
      </c>
      <c r="AD61" s="116">
        <v>0.25</v>
      </c>
      <c r="AE61" s="147">
        <f t="shared" si="66"/>
        <v>78.625</v>
      </c>
      <c r="AF61" s="122">
        <f t="shared" si="57"/>
        <v>0.25</v>
      </c>
      <c r="AG61" s="147">
        <f t="shared" si="60"/>
        <v>78.625</v>
      </c>
      <c r="AH61" s="123">
        <f t="shared" si="74"/>
        <v>1</v>
      </c>
      <c r="AI61" s="112">
        <f t="shared" si="74"/>
        <v>314.5</v>
      </c>
      <c r="AJ61" s="148">
        <f t="shared" si="62"/>
        <v>157.25</v>
      </c>
      <c r="AK61" s="147">
        <f t="shared" si="63"/>
        <v>157.25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5" t="s">
        <v>162</v>
      </c>
      <c r="B62" s="216">
        <v>0</v>
      </c>
      <c r="C62" s="216">
        <v>0</v>
      </c>
      <c r="D62" s="38">
        <f t="shared" si="67"/>
        <v>0</v>
      </c>
      <c r="E62" s="26">
        <v>1</v>
      </c>
      <c r="F62" s="26">
        <v>1</v>
      </c>
      <c r="G62" s="22">
        <f t="shared" si="59"/>
        <v>1</v>
      </c>
      <c r="H62" s="24">
        <f t="shared" si="68"/>
        <v>1</v>
      </c>
      <c r="I62" s="39">
        <f t="shared" si="69"/>
        <v>0</v>
      </c>
      <c r="J62" s="38">
        <f t="shared" si="70"/>
        <v>0</v>
      </c>
      <c r="K62" s="40">
        <f t="shared" si="71"/>
        <v>0</v>
      </c>
      <c r="L62" s="22">
        <f t="shared" si="72"/>
        <v>0</v>
      </c>
      <c r="M62" s="24">
        <f t="shared" si="73"/>
        <v>0</v>
      </c>
      <c r="N62" s="2"/>
      <c r="O62" s="2"/>
      <c r="P62" s="2"/>
      <c r="Q62" s="56"/>
      <c r="R62" s="56"/>
      <c r="S62" s="56"/>
      <c r="T62" s="56"/>
      <c r="U62" s="56"/>
      <c r="V62" s="56"/>
      <c r="W62" s="110"/>
      <c r="X62" s="118"/>
      <c r="Y62" s="110"/>
      <c r="Z62" s="116">
        <v>0.25</v>
      </c>
      <c r="AA62" s="147">
        <f t="shared" si="64"/>
        <v>0</v>
      </c>
      <c r="AB62" s="116">
        <v>0.25</v>
      </c>
      <c r="AC62" s="147">
        <f t="shared" si="65"/>
        <v>0</v>
      </c>
      <c r="AD62" s="116">
        <v>0.25</v>
      </c>
      <c r="AE62" s="147">
        <f t="shared" si="66"/>
        <v>0</v>
      </c>
      <c r="AF62" s="122">
        <f t="shared" si="57"/>
        <v>0.25</v>
      </c>
      <c r="AG62" s="147">
        <f t="shared" si="60"/>
        <v>0</v>
      </c>
      <c r="AH62" s="123">
        <f t="shared" si="74"/>
        <v>1</v>
      </c>
      <c r="AI62" s="112">
        <f t="shared" si="74"/>
        <v>0</v>
      </c>
      <c r="AJ62" s="148">
        <f t="shared" si="62"/>
        <v>0</v>
      </c>
      <c r="AK62" s="147">
        <f t="shared" si="63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5" t="s">
        <v>162</v>
      </c>
      <c r="B63" s="216">
        <v>0</v>
      </c>
      <c r="C63" s="216">
        <v>0</v>
      </c>
      <c r="D63" s="38">
        <f t="shared" si="67"/>
        <v>0</v>
      </c>
      <c r="E63" s="26">
        <v>1</v>
      </c>
      <c r="F63" s="26">
        <v>1</v>
      </c>
      <c r="G63" s="22">
        <f t="shared" si="59"/>
        <v>1</v>
      </c>
      <c r="H63" s="24">
        <f t="shared" si="68"/>
        <v>1</v>
      </c>
      <c r="I63" s="39">
        <f t="shared" si="69"/>
        <v>0</v>
      </c>
      <c r="J63" s="38">
        <f t="shared" si="70"/>
        <v>0</v>
      </c>
      <c r="K63" s="40">
        <f t="shared" si="71"/>
        <v>0</v>
      </c>
      <c r="L63" s="22">
        <f t="shared" si="72"/>
        <v>0</v>
      </c>
      <c r="M63" s="24">
        <f t="shared" si="73"/>
        <v>0</v>
      </c>
      <c r="N63" s="2"/>
      <c r="O63" s="2"/>
      <c r="P63" s="2"/>
      <c r="Q63" s="56"/>
      <c r="R63" s="56"/>
      <c r="S63" s="56"/>
      <c r="T63" s="56"/>
      <c r="U63" s="56"/>
      <c r="V63" s="56"/>
      <c r="W63" s="110"/>
      <c r="X63" s="118"/>
      <c r="Y63" s="110"/>
      <c r="Z63" s="116">
        <v>0.25</v>
      </c>
      <c r="AA63" s="147">
        <f t="shared" si="64"/>
        <v>0</v>
      </c>
      <c r="AB63" s="116">
        <v>0.25</v>
      </c>
      <c r="AC63" s="147">
        <f t="shared" si="65"/>
        <v>0</v>
      </c>
      <c r="AD63" s="116">
        <v>0.25</v>
      </c>
      <c r="AE63" s="147">
        <f t="shared" si="66"/>
        <v>0</v>
      </c>
      <c r="AF63" s="122">
        <f t="shared" si="57"/>
        <v>0.25</v>
      </c>
      <c r="AG63" s="147">
        <f t="shared" si="60"/>
        <v>0</v>
      </c>
      <c r="AH63" s="123">
        <f t="shared" si="74"/>
        <v>1</v>
      </c>
      <c r="AI63" s="112">
        <f t="shared" si="74"/>
        <v>0</v>
      </c>
      <c r="AJ63" s="148">
        <f t="shared" si="62"/>
        <v>0</v>
      </c>
      <c r="AK63" s="147">
        <f t="shared" si="63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5" t="s">
        <v>162</v>
      </c>
      <c r="B64" s="216">
        <v>0</v>
      </c>
      <c r="C64" s="216">
        <v>0</v>
      </c>
      <c r="D64" s="38">
        <f t="shared" si="67"/>
        <v>0</v>
      </c>
      <c r="E64" s="26">
        <v>1</v>
      </c>
      <c r="F64" s="26">
        <v>1</v>
      </c>
      <c r="G64" s="22">
        <f t="shared" si="59"/>
        <v>1</v>
      </c>
      <c r="H64" s="24">
        <f t="shared" si="68"/>
        <v>1</v>
      </c>
      <c r="I64" s="39">
        <f t="shared" si="69"/>
        <v>0</v>
      </c>
      <c r="J64" s="38">
        <f t="shared" si="70"/>
        <v>0</v>
      </c>
      <c r="K64" s="40">
        <f t="shared" si="71"/>
        <v>0</v>
      </c>
      <c r="L64" s="22">
        <f t="shared" si="72"/>
        <v>0</v>
      </c>
      <c r="M64" s="24">
        <f t="shared" si="73"/>
        <v>0</v>
      </c>
      <c r="N64" s="2"/>
      <c r="O64" s="2"/>
      <c r="P64" s="2"/>
      <c r="Q64" s="56"/>
      <c r="R64" s="56"/>
      <c r="S64" s="56"/>
      <c r="T64" s="56"/>
      <c r="U64" s="56"/>
      <c r="V64" s="56"/>
      <c r="W64" s="110"/>
      <c r="X64" s="118"/>
      <c r="Y64" s="110"/>
      <c r="Z64" s="116">
        <v>0.25</v>
      </c>
      <c r="AA64" s="149">
        <f t="shared" si="64"/>
        <v>0</v>
      </c>
      <c r="AB64" s="116">
        <v>0.25</v>
      </c>
      <c r="AC64" s="149">
        <f t="shared" si="65"/>
        <v>0</v>
      </c>
      <c r="AD64" s="116">
        <v>0.25</v>
      </c>
      <c r="AE64" s="149">
        <f t="shared" si="66"/>
        <v>0</v>
      </c>
      <c r="AF64" s="150">
        <f t="shared" si="57"/>
        <v>0.25</v>
      </c>
      <c r="AG64" s="149">
        <f t="shared" si="60"/>
        <v>0</v>
      </c>
      <c r="AH64" s="123">
        <f t="shared" si="74"/>
        <v>1</v>
      </c>
      <c r="AI64" s="112">
        <f t="shared" si="74"/>
        <v>0</v>
      </c>
      <c r="AJ64" s="151">
        <f t="shared" si="62"/>
        <v>0</v>
      </c>
      <c r="AK64" s="149">
        <f t="shared" si="63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41" t="s">
        <v>32</v>
      </c>
      <c r="B65" s="41">
        <f>SUM(B37:B64)</f>
        <v>46189.666666666672</v>
      </c>
      <c r="C65" s="41">
        <f>SUM(C37:C64)</f>
        <v>-1317.6666666666667</v>
      </c>
      <c r="D65" s="42">
        <f>SUM(D37:D64)</f>
        <v>44872.000000000007</v>
      </c>
      <c r="E65" s="32"/>
      <c r="F65" s="32"/>
      <c r="G65" s="32"/>
      <c r="H65" s="31"/>
      <c r="I65" s="39">
        <f>SUM(I37:I64)</f>
        <v>46354.566666666658</v>
      </c>
      <c r="J65" s="39">
        <f>SUM(J37:J64)</f>
        <v>46838.499232213748</v>
      </c>
      <c r="K65" s="40">
        <f>SUM(K37:K64)</f>
        <v>0.99999999999999967</v>
      </c>
      <c r="L65" s="22">
        <f>SUM(L37:L64)</f>
        <v>1.0171505892371309</v>
      </c>
      <c r="M65" s="24">
        <f>SUM(M37:M64)</f>
        <v>1.0140471367812516</v>
      </c>
      <c r="N65" s="2"/>
      <c r="O65" s="2"/>
      <c r="P65" s="2"/>
      <c r="Q65" s="56"/>
      <c r="R65" s="56"/>
      <c r="S65" s="56"/>
      <c r="T65" s="56"/>
      <c r="U65" s="56"/>
      <c r="V65" s="56"/>
      <c r="W65" s="110"/>
      <c r="X65" s="152"/>
      <c r="Y65" s="110"/>
      <c r="Z65" s="137"/>
      <c r="AA65" s="153">
        <f>SUM(AA37:AA64)</f>
        <v>10339.52733412075</v>
      </c>
      <c r="AB65" s="137"/>
      <c r="AC65" s="153">
        <f>SUM(AC37:AC64)</f>
        <v>10197.347816110232</v>
      </c>
      <c r="AD65" s="137"/>
      <c r="AE65" s="153">
        <f>SUM(AE37:AE64)</f>
        <v>10285.826852131269</v>
      </c>
      <c r="AF65" s="137"/>
      <c r="AG65" s="153">
        <f>SUM(AG37:AG64)</f>
        <v>14898.3972298515</v>
      </c>
      <c r="AH65" s="137"/>
      <c r="AI65" s="153">
        <f>SUM(AI37:AI64)</f>
        <v>45721.099232213746</v>
      </c>
      <c r="AJ65" s="153">
        <f>SUM(AJ37:AJ64)</f>
        <v>20536.875150230982</v>
      </c>
      <c r="AK65" s="153">
        <f>SUM(AK37:AK64)</f>
        <v>25184.224081982768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43"/>
      <c r="B66" s="43"/>
      <c r="C66" s="43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56"/>
      <c r="R66" s="56"/>
      <c r="S66" s="56"/>
      <c r="T66" s="56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15" t="s">
        <v>33</v>
      </c>
      <c r="B67" s="46"/>
      <c r="C67" s="46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56"/>
      <c r="R67" s="56"/>
      <c r="S67" s="56"/>
      <c r="T67" s="56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49"/>
      <c r="B68" s="46" t="s">
        <v>7</v>
      </c>
      <c r="C68" s="46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56"/>
      <c r="R68" s="56"/>
      <c r="S68" s="56"/>
      <c r="T68" s="56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46" t="s">
        <v>30</v>
      </c>
      <c r="B69" s="46" t="s">
        <v>35</v>
      </c>
      <c r="C69" s="46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56"/>
      <c r="R69" s="56"/>
      <c r="S69" s="56"/>
      <c r="T69" s="56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v>14533.35202676818</v>
      </c>
      <c r="C70" s="46"/>
      <c r="D70" s="38"/>
      <c r="E70" s="26">
        <v>1</v>
      </c>
      <c r="F70" s="26">
        <v>1.4</v>
      </c>
      <c r="G70" s="22"/>
      <c r="H70" s="24">
        <f>(E70*F70)</f>
        <v>1.4</v>
      </c>
      <c r="I70" s="39">
        <f>I124*I$83</f>
        <v>20346.69283747545</v>
      </c>
      <c r="J70" s="51">
        <f t="shared" ref="J70:J77" si="75">J124*I$83</f>
        <v>20346.69283747545</v>
      </c>
      <c r="K70" s="40">
        <f>B70/B$76</f>
        <v>0.31464509435952148</v>
      </c>
      <c r="L70" s="22">
        <f t="shared" ref="L70:L75" si="76">(L124*G$37*F$9/F$7)/B$130</f>
        <v>0.44050313210333003</v>
      </c>
      <c r="M70" s="24">
        <f>J70/B$76</f>
        <v>0.44050313210333009</v>
      </c>
      <c r="N70" s="2"/>
      <c r="O70" s="2"/>
      <c r="P70" s="2"/>
      <c r="Q70" s="56"/>
      <c r="R70" s="56"/>
      <c r="S70" s="56"/>
      <c r="T70" s="56"/>
      <c r="U70" s="56"/>
      <c r="V70" s="56"/>
      <c r="W70" s="110"/>
      <c r="X70" s="118"/>
      <c r="Y70" s="110"/>
      <c r="Z70" s="116">
        <v>0.25</v>
      </c>
      <c r="AA70" s="147">
        <f>$J70*Z70</f>
        <v>5086.6732093688624</v>
      </c>
      <c r="AB70" s="116">
        <v>0.25</v>
      </c>
      <c r="AC70" s="147">
        <f>$J70*AB70</f>
        <v>5086.6732093688624</v>
      </c>
      <c r="AD70" s="116">
        <v>0.25</v>
      </c>
      <c r="AE70" s="147">
        <f>$J70*AD70</f>
        <v>5086.6732093688624</v>
      </c>
      <c r="AF70" s="122">
        <f>1-SUM(Z70,AB70,AD70)</f>
        <v>0.25</v>
      </c>
      <c r="AG70" s="147">
        <f>$J70*AF70</f>
        <v>5086.6732093688624</v>
      </c>
      <c r="AH70" s="155">
        <f>SUM(Z70,AB70,AD70,AF70)</f>
        <v>1</v>
      </c>
      <c r="AI70" s="147">
        <f>SUM(AA70,AC70,AE70,AG70)</f>
        <v>20346.69283747545</v>
      </c>
      <c r="AJ70" s="148">
        <f>(AA70+AC70)</f>
        <v>10173.346418737725</v>
      </c>
      <c r="AK70" s="147">
        <f>(AE70+AG70)</f>
        <v>10173.346418737725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v>14376.222222222224</v>
      </c>
      <c r="C71" s="46"/>
      <c r="D71" s="38"/>
      <c r="E71" s="26">
        <v>1</v>
      </c>
      <c r="F71" s="26">
        <v>1.18</v>
      </c>
      <c r="G71" s="22"/>
      <c r="H71" s="24">
        <f t="shared" ref="H71:H72" si="77">(E71*F71)</f>
        <v>1.18</v>
      </c>
      <c r="I71" s="39">
        <f>I125*I$83</f>
        <v>16963.94222222222</v>
      </c>
      <c r="J71" s="51">
        <f t="shared" si="75"/>
        <v>16963.94222222222</v>
      </c>
      <c r="K71" s="40">
        <f t="shared" ref="K71:K72" si="78">B71/B$76</f>
        <v>0.3112432554659893</v>
      </c>
      <c r="L71" s="22">
        <f t="shared" si="76"/>
        <v>0.36726704144986727</v>
      </c>
      <c r="M71" s="24">
        <f t="shared" ref="M71:M72" si="79">J71/B$76</f>
        <v>0.36726704144986727</v>
      </c>
      <c r="N71" s="2"/>
      <c r="O71" s="2"/>
      <c r="P71" s="2"/>
      <c r="Q71" s="56"/>
      <c r="R71" s="56"/>
      <c r="S71" s="56"/>
      <c r="T71" s="56"/>
      <c r="U71" s="56"/>
      <c r="V71" s="56"/>
      <c r="W71" s="110"/>
      <c r="X71" s="118"/>
      <c r="Y71" s="110"/>
      <c r="Z71" s="116"/>
      <c r="AA71" s="147"/>
      <c r="AB71" s="116"/>
      <c r="AC71" s="147"/>
      <c r="AD71" s="116"/>
      <c r="AE71" s="147"/>
      <c r="AF71" s="122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v>26588</v>
      </c>
      <c r="C72" s="46"/>
      <c r="D72" s="38"/>
      <c r="E72" s="26">
        <v>1</v>
      </c>
      <c r="F72" s="26">
        <v>1.18</v>
      </c>
      <c r="G72" s="22"/>
      <c r="H72" s="24">
        <f t="shared" si="77"/>
        <v>1.18</v>
      </c>
      <c r="I72" s="39">
        <f>I126*I$83</f>
        <v>0</v>
      </c>
      <c r="J72" s="51">
        <f t="shared" si="75"/>
        <v>2201.3141153241154</v>
      </c>
      <c r="K72" s="40">
        <f t="shared" si="78"/>
        <v>0.57562658314630255</v>
      </c>
      <c r="L72" s="22">
        <f t="shared" si="76"/>
        <v>6.0504222271720795E-2</v>
      </c>
      <c r="M72" s="24">
        <f t="shared" si="79"/>
        <v>4.7658151144717401E-2</v>
      </c>
      <c r="N72" s="2"/>
      <c r="O72" s="2"/>
      <c r="P72" s="2"/>
      <c r="Q72" s="56"/>
      <c r="R72" s="56"/>
      <c r="S72" s="56"/>
      <c r="T72" s="56"/>
      <c r="U72" s="56"/>
      <c r="V72" s="56"/>
      <c r="W72" s="110"/>
      <c r="X72" s="118"/>
      <c r="Y72" s="110"/>
      <c r="Z72" s="116"/>
      <c r="AA72" s="147"/>
      <c r="AB72" s="116"/>
      <c r="AC72" s="147"/>
      <c r="AD72" s="116"/>
      <c r="AE72" s="147"/>
      <c r="AF72" s="122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v>3323.6666666666665</v>
      </c>
      <c r="C73" s="46"/>
      <c r="D73" s="38"/>
      <c r="E73" s="26">
        <v>1</v>
      </c>
      <c r="F73" s="26">
        <v>1.18</v>
      </c>
      <c r="G73" s="22"/>
      <c r="H73" s="24">
        <f>(E73*F73)</f>
        <v>1.18</v>
      </c>
      <c r="I73" s="39">
        <f>I127*I$83</f>
        <v>0</v>
      </c>
      <c r="J73" s="51">
        <f t="shared" si="75"/>
        <v>0</v>
      </c>
      <c r="K73" s="40">
        <f>B73/B$76</f>
        <v>7.1956931203948929E-2</v>
      </c>
      <c r="L73" s="22">
        <f t="shared" si="76"/>
        <v>0</v>
      </c>
      <c r="M73" s="24">
        <f>J73/B$76</f>
        <v>0</v>
      </c>
      <c r="O73" s="2"/>
      <c r="P73" s="2"/>
      <c r="Q73" s="56"/>
      <c r="R73" s="56"/>
      <c r="S73" s="56"/>
      <c r="T73" s="56"/>
      <c r="U73" s="56"/>
      <c r="V73" s="56"/>
      <c r="W73" s="110"/>
      <c r="X73" s="118"/>
      <c r="Y73" s="110"/>
      <c r="Z73" s="116">
        <v>0.09</v>
      </c>
      <c r="AA73" s="147">
        <f>$H$73*$B$73*Z73</f>
        <v>352.97339999999997</v>
      </c>
      <c r="AB73" s="116">
        <v>0.09</v>
      </c>
      <c r="AC73" s="147">
        <f>$H$73*$B$73*AB73</f>
        <v>352.97339999999997</v>
      </c>
      <c r="AD73" s="116">
        <v>0.23</v>
      </c>
      <c r="AE73" s="147">
        <f>$H$73*$B$73*AD73</f>
        <v>902.04313333333323</v>
      </c>
      <c r="AF73" s="122">
        <f>1-SUM(Z73,AB73,AD73)</f>
        <v>0.59</v>
      </c>
      <c r="AG73" s="147">
        <f>$H$73*$B$73*AF73</f>
        <v>2313.936733333333</v>
      </c>
      <c r="AH73" s="155">
        <f>SUM(Z73,AB73,AD73,AF73)</f>
        <v>1</v>
      </c>
      <c r="AI73" s="147">
        <f>SUM(AA73,AC73,AE73,AG73)</f>
        <v>3921.9266666666663</v>
      </c>
      <c r="AJ73" s="148">
        <f>(AA73+AC73)</f>
        <v>705.94679999999994</v>
      </c>
      <c r="AK73" s="147">
        <f>(AE73+AG73)</f>
        <v>3215.9798666666661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52">
        <f>B30*B83</f>
        <v>8172.8819970393961</v>
      </c>
      <c r="C74" s="46"/>
      <c r="D74" s="38"/>
      <c r="E74" s="32"/>
      <c r="F74" s="32"/>
      <c r="G74" s="32"/>
      <c r="H74" s="31"/>
      <c r="I74" s="39">
        <f>I128*I$83</f>
        <v>26007.873829191212</v>
      </c>
      <c r="J74" s="51">
        <f t="shared" si="75"/>
        <v>7326.5500571919538</v>
      </c>
      <c r="K74" s="40">
        <f>B74/B$76</f>
        <v>0.17694178345169689</v>
      </c>
      <c r="L74" s="22">
        <f t="shared" si="76"/>
        <v>0.14887619341221273</v>
      </c>
      <c r="M74" s="24">
        <f>J74/B$76</f>
        <v>0.15861881208333653</v>
      </c>
      <c r="O74" s="2"/>
      <c r="P74" s="2"/>
      <c r="Q74" s="56"/>
      <c r="R74" s="56"/>
      <c r="S74" s="56"/>
      <c r="T74" s="56"/>
      <c r="U74" s="56"/>
      <c r="V74" s="56"/>
      <c r="W74" s="110"/>
      <c r="X74" s="118"/>
      <c r="Y74" s="110"/>
      <c r="Z74" s="156"/>
      <c r="AA74" s="147">
        <f>AA30*$I$83/4</f>
        <v>910.18669622537573</v>
      </c>
      <c r="AB74" s="156"/>
      <c r="AC74" s="147">
        <f>AC30*$I$83/4</f>
        <v>1543.2577361566305</v>
      </c>
      <c r="AD74" s="156"/>
      <c r="AE74" s="147">
        <f>AE30*$I$83/4</f>
        <v>1529.1415757161551</v>
      </c>
      <c r="AF74" s="156"/>
      <c r="AG74" s="147">
        <f>AG30*$I$83/4</f>
        <v>3343.9640490937927</v>
      </c>
      <c r="AH74" s="155"/>
      <c r="AI74" s="147">
        <f>SUM(AA74,AC74,AE74,AG74)</f>
        <v>7326.5500571919538</v>
      </c>
      <c r="AJ74" s="148">
        <f>(AA74+AC74)</f>
        <v>2453.4444323820062</v>
      </c>
      <c r="AK74" s="147">
        <f>(AE74+AG74)</f>
        <v>4873.1056248099476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0</v>
      </c>
      <c r="C75" s="46"/>
      <c r="D75" s="38"/>
      <c r="E75" s="32"/>
      <c r="F75" s="32"/>
      <c r="G75" s="32"/>
      <c r="H75" s="31"/>
      <c r="I75" s="47"/>
      <c r="J75" s="51">
        <f t="shared" si="75"/>
        <v>0</v>
      </c>
      <c r="K75" s="40">
        <f>B75/B$76</f>
        <v>0</v>
      </c>
      <c r="L75" s="22">
        <f t="shared" si="76"/>
        <v>0</v>
      </c>
      <c r="M75" s="24">
        <f>J75/B$76</f>
        <v>0</v>
      </c>
      <c r="O75" s="2"/>
      <c r="P75" s="2"/>
      <c r="Q75" s="56"/>
      <c r="R75" s="56"/>
      <c r="S75" s="56"/>
      <c r="T75" s="56"/>
      <c r="U75" s="56"/>
      <c r="V75" s="56"/>
      <c r="W75" s="110"/>
      <c r="X75" s="157"/>
      <c r="Y75" s="161" t="s">
        <v>104</v>
      </c>
      <c r="Z75" s="158"/>
      <c r="AA75" s="149">
        <f>AA79-AA74</f>
        <v>10810.427399915357</v>
      </c>
      <c r="AB75" s="158"/>
      <c r="AC75" s="149">
        <f>AA75+AC65-SUM(AC70,AC74)</f>
        <v>14377.844270500098</v>
      </c>
      <c r="AD75" s="158"/>
      <c r="AE75" s="149">
        <f>AC75+AE65-SUM(AE70,AE74)</f>
        <v>18047.856337546349</v>
      </c>
      <c r="AF75" s="158"/>
      <c r="AG75" s="149">
        <f>IF(SUM(AG6:AG29)+((AG65-AG70-$J$75)*4/I$83)&lt;1,0,AG65-AG70-$J$75-(1-SUM(AG6:AG29))*I$83/4)</f>
        <v>6467.7599713888449</v>
      </c>
      <c r="AH75" s="134"/>
      <c r="AI75" s="149">
        <f>AI76-SUM(AI70,AI74)</f>
        <v>18047.856337546349</v>
      </c>
      <c r="AJ75" s="151">
        <f>AJ76-SUM(AJ70,AJ74)</f>
        <v>7910.0842991112513</v>
      </c>
      <c r="AK75" s="149">
        <f>AJ75+AK76-SUM(AK70,AK74)</f>
        <v>18047.856337546349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52">
        <f>B65</f>
        <v>46189.666666666672</v>
      </c>
      <c r="C76" s="46"/>
      <c r="D76" s="38"/>
      <c r="E76" s="32"/>
      <c r="F76" s="32"/>
      <c r="G76" s="32"/>
      <c r="H76" s="31"/>
      <c r="I76" s="39">
        <f>I130*I$83</f>
        <v>46354.566666666658</v>
      </c>
      <c r="J76" s="51">
        <f t="shared" si="75"/>
        <v>46838.499232213748</v>
      </c>
      <c r="K76" s="40">
        <f>SUM(K70:K75)</f>
        <v>1.4504136476274592</v>
      </c>
      <c r="L76" s="22">
        <f>SUM(L70:L75)</f>
        <v>1.0171505892371309</v>
      </c>
      <c r="M76" s="24">
        <f>SUM(M70:M75)</f>
        <v>1.0140471367812514</v>
      </c>
      <c r="O76" s="2"/>
      <c r="P76" s="2"/>
      <c r="Q76" s="56"/>
      <c r="R76" s="56"/>
      <c r="S76" s="56"/>
      <c r="T76" s="56"/>
      <c r="U76" s="56"/>
      <c r="V76" s="56"/>
      <c r="W76" s="110"/>
      <c r="X76" s="189"/>
      <c r="Y76" s="189"/>
      <c r="Z76" s="137"/>
      <c r="AA76" s="154">
        <f>AA65</f>
        <v>10339.52733412075</v>
      </c>
      <c r="AB76" s="137"/>
      <c r="AC76" s="153">
        <f>AC65</f>
        <v>10197.347816110232</v>
      </c>
      <c r="AD76" s="137"/>
      <c r="AE76" s="153">
        <f>AE65</f>
        <v>10285.826852131269</v>
      </c>
      <c r="AF76" s="137"/>
      <c r="AG76" s="153">
        <f>AG65</f>
        <v>14898.3972298515</v>
      </c>
      <c r="AH76" s="137"/>
      <c r="AI76" s="153">
        <f>SUM(AA76,AC76,AE76,AG76)</f>
        <v>45721.099232213754</v>
      </c>
      <c r="AJ76" s="154">
        <f>SUM(AA76,AC76)</f>
        <v>20536.875150230982</v>
      </c>
      <c r="AK76" s="154">
        <f>SUM(AE76,AG76)</f>
        <v>25184.224081982771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52"/>
      <c r="C77" s="46"/>
      <c r="D77" s="38"/>
      <c r="E77" s="32"/>
      <c r="F77" s="32"/>
      <c r="G77" s="32"/>
      <c r="H77" s="31"/>
      <c r="I77" s="39">
        <f>I131*I$83</f>
        <v>16963.942222222227</v>
      </c>
      <c r="J77" s="100">
        <f t="shared" si="75"/>
        <v>0</v>
      </c>
      <c r="K77" s="40"/>
      <c r="L77" s="22">
        <f>-(L131*G$37*F$9/F$7)/B$130</f>
        <v>-0.30676281917814663</v>
      </c>
      <c r="M77" s="24">
        <f>-J77/B$76</f>
        <v>0</v>
      </c>
      <c r="O77" s="2"/>
      <c r="P77" s="2"/>
      <c r="Q77" s="56"/>
      <c r="R77" s="56"/>
      <c r="S77" s="56"/>
      <c r="T77" s="56"/>
      <c r="U77" s="56"/>
      <c r="V77" s="56"/>
      <c r="W77" s="110"/>
      <c r="X77" s="110"/>
      <c r="Y77" s="161" t="s">
        <v>102</v>
      </c>
      <c r="Z77" s="159"/>
      <c r="AA77" s="111">
        <f>AA31*$I$83/4</f>
        <v>0</v>
      </c>
      <c r="AB77" s="112"/>
      <c r="AC77" s="111">
        <f>AC31*$I$83/4</f>
        <v>0</v>
      </c>
      <c r="AD77" s="112"/>
      <c r="AE77" s="111">
        <f>AE31*$I$83/4</f>
        <v>0</v>
      </c>
      <c r="AF77" s="112"/>
      <c r="AG77" s="111">
        <f>AG31*$I$83/4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53" t="s">
        <v>37</v>
      </c>
      <c r="B78" s="46"/>
      <c r="C78" s="46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56"/>
      <c r="R78" s="56"/>
      <c r="S78" s="56"/>
      <c r="T78" s="56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6467.7599713888449</v>
      </c>
      <c r="AB78" s="112"/>
      <c r="AC78" s="112">
        <f>IF(AA75&lt;0,0,AA75)</f>
        <v>10810.427399915357</v>
      </c>
      <c r="AD78" s="112"/>
      <c r="AE78" s="112">
        <f>AC75</f>
        <v>14377.844270500098</v>
      </c>
      <c r="AF78" s="112"/>
      <c r="AG78" s="112">
        <f>AE75</f>
        <v>18047.856337546349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46" t="s">
        <v>38</v>
      </c>
      <c r="B79" s="230" t="s">
        <v>186</v>
      </c>
      <c r="C79" s="46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56"/>
      <c r="R79" s="56"/>
      <c r="S79" s="56"/>
      <c r="T79" s="56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11720.614096140733</v>
      </c>
      <c r="AB79" s="112"/>
      <c r="AC79" s="112">
        <f>AA79-AA74+AC65-AC70</f>
        <v>15921.102006656729</v>
      </c>
      <c r="AD79" s="112"/>
      <c r="AE79" s="112">
        <f>AC79-AC74+AE65-AE70</f>
        <v>19576.997913262505</v>
      </c>
      <c r="AF79" s="112"/>
      <c r="AG79" s="112">
        <f>AE79-AE74+AG65-AG70</f>
        <v>27859.580358028987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46" t="s">
        <v>39</v>
      </c>
      <c r="B80" s="105">
        <v>0.66091214045306179</v>
      </c>
      <c r="C80" s="46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56"/>
      <c r="R80" s="56"/>
      <c r="S80" s="56"/>
      <c r="T80" s="56"/>
      <c r="U80" s="56"/>
      <c r="V80" s="56"/>
      <c r="W80" s="110"/>
      <c r="X80" s="110"/>
      <c r="Y80" s="161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46" t="s">
        <v>40</v>
      </c>
      <c r="B81" s="230">
        <v>8</v>
      </c>
      <c r="C81" s="46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56"/>
      <c r="R81" s="56"/>
      <c r="S81" s="56"/>
      <c r="T81" s="56"/>
      <c r="U81" s="56"/>
      <c r="V81" s="56"/>
      <c r="W81" s="110"/>
      <c r="X81" s="110"/>
      <c r="Y81" s="161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46" t="s">
        <v>41</v>
      </c>
      <c r="B82" s="105">
        <v>7.1446277643945102</v>
      </c>
      <c r="C82" s="46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56"/>
      <c r="R82" s="56"/>
      <c r="S82" s="56"/>
      <c r="T82" s="56"/>
      <c r="U82" s="56"/>
      <c r="V82" s="56"/>
      <c r="X82" s="110"/>
      <c r="Y82" s="161" t="s">
        <v>66</v>
      </c>
      <c r="Z82" s="162">
        <f>IF($AH$82=0,0,AA82/$AH$82)</f>
        <v>1</v>
      </c>
      <c r="AA82" s="163">
        <f>5*1.12</f>
        <v>5.6000000000000005</v>
      </c>
      <c r="AB82" s="162">
        <f>IF($AH$82=0,0,AC82/$AH$82)</f>
        <v>1</v>
      </c>
      <c r="AC82" s="163">
        <f>5*1.12</f>
        <v>5.6000000000000005</v>
      </c>
      <c r="AD82" s="162">
        <f>IF($AH$82=0,0,AE82/$AH$82)</f>
        <v>1</v>
      </c>
      <c r="AE82" s="163">
        <f>5*1.12</f>
        <v>5.6000000000000005</v>
      </c>
      <c r="AF82" s="162">
        <f>IF($AH$82=0,0,AG82/$AH$82)</f>
        <v>1</v>
      </c>
      <c r="AG82" s="163">
        <f>5*1.12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46" t="s">
        <v>42</v>
      </c>
      <c r="B83" s="46">
        <f>365*B80*B81*B82</f>
        <v>13788.155987238539</v>
      </c>
      <c r="C83" s="46"/>
      <c r="D83" s="38"/>
      <c r="E83" s="32"/>
      <c r="F83" s="32"/>
      <c r="G83" s="32"/>
      <c r="H83" s="24">
        <f>G$37*F$9/F$7</f>
        <v>1</v>
      </c>
      <c r="I83" s="39">
        <f xml:space="preserve"> B83*H83</f>
        <v>13788.155987238539</v>
      </c>
      <c r="J83" s="48"/>
      <c r="K83" s="32"/>
      <c r="L83" s="32"/>
      <c r="M83" s="48"/>
      <c r="N83" s="32"/>
      <c r="O83" s="2"/>
      <c r="P83" s="2"/>
      <c r="Q83" s="56"/>
      <c r="R83" s="56"/>
      <c r="S83" s="56"/>
      <c r="T83" s="56"/>
      <c r="U83" s="56"/>
      <c r="V83" s="56"/>
      <c r="X83" s="110"/>
      <c r="Y83" s="161" t="s">
        <v>130</v>
      </c>
      <c r="Z83" s="110"/>
      <c r="AA83" s="165">
        <f>$I$83*Z82/4</f>
        <v>3447.0389968096347</v>
      </c>
      <c r="AB83" s="112"/>
      <c r="AC83" s="165">
        <f>$I$83*AB82/4</f>
        <v>3447.0389968096347</v>
      </c>
      <c r="AD83" s="112"/>
      <c r="AE83" s="165">
        <f>$I$83*AD82/4</f>
        <v>3447.0389968096347</v>
      </c>
      <c r="AF83" s="112"/>
      <c r="AG83" s="165">
        <f>$I$83*AF82/4</f>
        <v>3447.0389968096347</v>
      </c>
      <c r="AH83" s="165">
        <f>SUM(AA83,AC83,AE83,AG83)</f>
        <v>13788.155987238539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4">
        <f>B70+((1-D29)*B83)</f>
        <v>25222.651681256466</v>
      </c>
      <c r="C84" s="46"/>
      <c r="D84" s="235"/>
      <c r="E84" s="64"/>
      <c r="F84" s="64"/>
      <c r="G84" s="64"/>
      <c r="H84" s="236">
        <f>IF(B84=0,0,I84/B84)</f>
        <v>1.2304809535560171</v>
      </c>
      <c r="I84" s="234">
        <f>(B70*H70)+((1-(D29*H29))*I83)</f>
        <v>31035.992491963734</v>
      </c>
      <c r="J84" s="48"/>
      <c r="K84" s="32"/>
      <c r="L84" s="32"/>
      <c r="M84" s="48"/>
      <c r="N84" s="32"/>
      <c r="O84" s="2"/>
      <c r="P84" s="2"/>
      <c r="Q84" s="56"/>
      <c r="R84" s="56"/>
      <c r="S84" s="56"/>
      <c r="T84" s="56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46" t="s">
        <v>43</v>
      </c>
      <c r="B85" s="46"/>
      <c r="C85" s="46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56"/>
      <c r="R85" s="56"/>
      <c r="S85" s="56"/>
      <c r="T85" s="56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46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I86" s="79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/>
      <c r="C87" s="5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185"/>
      <c r="AB87" s="185"/>
      <c r="AC87" s="185"/>
      <c r="AD87" s="185"/>
      <c r="AE87" s="185"/>
      <c r="AF87" s="185"/>
      <c r="AG87" s="185"/>
      <c r="AH87" s="186"/>
      <c r="AI87" s="188"/>
      <c r="AJ87" s="79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55" t="str">
        <f>A34</f>
        <v>Income : Poor HHs</v>
      </c>
      <c r="B88" s="56"/>
      <c r="C88" s="56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39"/>
      <c r="AB88" s="2"/>
      <c r="AC88" s="2"/>
      <c r="AD88" s="2"/>
      <c r="AE88" s="2"/>
      <c r="AF88" s="2"/>
      <c r="AG88" s="2"/>
      <c r="AI88" s="79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56"/>
      <c r="B89" s="59" t="s">
        <v>7</v>
      </c>
      <c r="C89" s="5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80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39"/>
      <c r="AB89" s="2"/>
      <c r="AC89" s="39"/>
      <c r="AD89" s="2"/>
      <c r="AE89" s="39"/>
      <c r="AF89" s="2"/>
      <c r="AG89" s="39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56" t="s">
        <v>44</v>
      </c>
      <c r="B90" s="59" t="s">
        <v>16</v>
      </c>
      <c r="C90" s="5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80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39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56" t="str">
        <f>IF(A37="","",A37)</f>
        <v>Cattle sales - local: no. sold</v>
      </c>
      <c r="B91" s="60">
        <f t="shared" ref="B91:C118" si="81">IF(B37="","",(B37/$B$83))</f>
        <v>0.47746292828616516</v>
      </c>
      <c r="C91" s="60">
        <f t="shared" si="81"/>
        <v>0</v>
      </c>
      <c r="D91" s="24">
        <f>SUM(B91,C91)</f>
        <v>0.47746292828616516</v>
      </c>
      <c r="H91" s="24">
        <f>(E37*F37/G37*F$7/F$9)</f>
        <v>0.59</v>
      </c>
      <c r="I91" s="22">
        <f t="shared" ref="I91" si="82">(D91*H91)</f>
        <v>0.28170312768883743</v>
      </c>
      <c r="J91" s="24">
        <f>IF(I$32&lt;=1+I$131,I91,L91+J$33*(I91-L91))</f>
        <v>0.28170312768883743</v>
      </c>
      <c r="K91" s="22">
        <f t="shared" ref="K91" si="83">IF(B91="",0,B91)</f>
        <v>0.47746292828616516</v>
      </c>
      <c r="L91" s="22">
        <f t="shared" ref="L91" si="84">(K91*H91)</f>
        <v>0.28170312768883743</v>
      </c>
      <c r="M91" s="227">
        <f t="shared" si="80"/>
        <v>0.28170312768883743</v>
      </c>
      <c r="N91" s="229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39"/>
      <c r="AB91" s="2"/>
      <c r="AC91" s="39"/>
      <c r="AD91" s="2"/>
      <c r="AE91" s="39"/>
      <c r="AF91" s="2"/>
      <c r="AG91" s="39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56" t="str">
        <f t="shared" ref="A92:A118" si="85">IF(A38="","",A38)</f>
        <v>Goat sales - local: no. sold</v>
      </c>
      <c r="B92" s="60">
        <f t="shared" si="81"/>
        <v>0.10878902163482244</v>
      </c>
      <c r="C92" s="60">
        <f t="shared" si="81"/>
        <v>-6.043834535267914E-2</v>
      </c>
      <c r="D92" s="24">
        <f t="shared" ref="D92:D118" si="86">SUM(B92,C92)</f>
        <v>4.8350676282143304E-2</v>
      </c>
      <c r="H92" s="24">
        <f t="shared" ref="H92:H118" si="87">(E38*F38/G38*F$7/F$9)</f>
        <v>0.59</v>
      </c>
      <c r="I92" s="22">
        <f t="shared" ref="I92:I118" si="88">(D92*H92)</f>
        <v>2.8526899006464549E-2</v>
      </c>
      <c r="J92" s="24">
        <f t="shared" ref="J92:J118" si="89">IF(I$32&lt;=1+I$131,I92,L92+J$33*(I92-L92))</f>
        <v>5.6036733975101061E-2</v>
      </c>
      <c r="K92" s="22">
        <f t="shared" ref="K92:K118" si="90">IF(B92="",0,B92)</f>
        <v>0.10878902163482244</v>
      </c>
      <c r="L92" s="22">
        <f t="shared" ref="L92:L118" si="91">(K92*H92)</f>
        <v>6.4185522764545241E-2</v>
      </c>
      <c r="M92" s="227">
        <f t="shared" ref="M92:M118" si="92">(J92)</f>
        <v>5.6036733975101061E-2</v>
      </c>
      <c r="N92" s="229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173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56" t="str">
        <f t="shared" si="85"/>
        <v>Sheep sales - local: no. sold</v>
      </c>
      <c r="B93" s="60">
        <f t="shared" si="81"/>
        <v>0</v>
      </c>
      <c r="C93" s="60">
        <f t="shared" si="81"/>
        <v>0</v>
      </c>
      <c r="D93" s="24">
        <f t="shared" si="86"/>
        <v>0</v>
      </c>
      <c r="H93" s="24">
        <f t="shared" si="87"/>
        <v>0.59</v>
      </c>
      <c r="I93" s="22">
        <f t="shared" si="88"/>
        <v>0</v>
      </c>
      <c r="J93" s="24">
        <f t="shared" si="89"/>
        <v>0</v>
      </c>
      <c r="K93" s="22">
        <f t="shared" si="90"/>
        <v>0</v>
      </c>
      <c r="L93" s="22">
        <f t="shared" si="91"/>
        <v>0</v>
      </c>
      <c r="M93" s="227">
        <f t="shared" si="92"/>
        <v>0</v>
      </c>
      <c r="N93" s="229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56" t="str">
        <f t="shared" si="85"/>
        <v>Chicken sales: no. sold</v>
      </c>
      <c r="B94" s="60">
        <f t="shared" si="81"/>
        <v>6.0196591971268419E-3</v>
      </c>
      <c r="C94" s="60">
        <f t="shared" si="81"/>
        <v>0</v>
      </c>
      <c r="D94" s="24">
        <f t="shared" si="86"/>
        <v>6.0196591971268419E-3</v>
      </c>
      <c r="H94" s="24">
        <f t="shared" si="87"/>
        <v>1.18</v>
      </c>
      <c r="I94" s="22">
        <f t="shared" si="88"/>
        <v>7.1031978526096733E-3</v>
      </c>
      <c r="J94" s="24">
        <f t="shared" si="89"/>
        <v>7.1031978526096733E-3</v>
      </c>
      <c r="K94" s="22">
        <f t="shared" si="90"/>
        <v>6.0196591971268419E-3</v>
      </c>
      <c r="L94" s="22">
        <f t="shared" si="91"/>
        <v>7.1031978526096733E-3</v>
      </c>
      <c r="M94" s="227">
        <f t="shared" si="92"/>
        <v>7.1031978526096733E-3</v>
      </c>
      <c r="N94" s="229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56" t="str">
        <f t="shared" si="85"/>
        <v>Maize: kg produced</v>
      </c>
      <c r="B95" s="60">
        <f t="shared" si="81"/>
        <v>0</v>
      </c>
      <c r="C95" s="60">
        <f t="shared" si="81"/>
        <v>0</v>
      </c>
      <c r="D95" s="24">
        <f t="shared" si="86"/>
        <v>0</v>
      </c>
      <c r="H95" s="24">
        <f t="shared" si="87"/>
        <v>0.42</v>
      </c>
      <c r="I95" s="22">
        <f t="shared" si="88"/>
        <v>0</v>
      </c>
      <c r="J95" s="24">
        <f t="shared" si="89"/>
        <v>0</v>
      </c>
      <c r="K95" s="22">
        <f t="shared" si="90"/>
        <v>0</v>
      </c>
      <c r="L95" s="22">
        <f t="shared" si="91"/>
        <v>0</v>
      </c>
      <c r="M95" s="227">
        <f t="shared" si="92"/>
        <v>0</v>
      </c>
      <c r="N95" s="229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56" t="str">
        <f t="shared" si="85"/>
        <v>Beans: kg produced</v>
      </c>
      <c r="B96" s="60">
        <f t="shared" si="81"/>
        <v>4.3515608653928978E-2</v>
      </c>
      <c r="C96" s="60">
        <f t="shared" si="81"/>
        <v>1.0153642019250095E-2</v>
      </c>
      <c r="D96" s="24">
        <f t="shared" si="86"/>
        <v>5.366925067317907E-2</v>
      </c>
      <c r="H96" s="24">
        <f t="shared" si="87"/>
        <v>0.27999999999999997</v>
      </c>
      <c r="I96" s="22">
        <f t="shared" si="88"/>
        <v>1.5027390188490138E-2</v>
      </c>
      <c r="J96" s="24">
        <f t="shared" si="89"/>
        <v>1.2834063685228001E-2</v>
      </c>
      <c r="K96" s="22">
        <f t="shared" si="90"/>
        <v>4.3515608653928978E-2</v>
      </c>
      <c r="L96" s="22">
        <f t="shared" si="91"/>
        <v>1.2184370423100112E-2</v>
      </c>
      <c r="M96" s="227">
        <f t="shared" si="92"/>
        <v>1.2834063685228001E-2</v>
      </c>
      <c r="N96" s="229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56" t="str">
        <f t="shared" si="85"/>
        <v>potatoes: kg produced</v>
      </c>
      <c r="B97" s="60">
        <f t="shared" si="81"/>
        <v>1.1120655544892961E-2</v>
      </c>
      <c r="C97" s="60">
        <f t="shared" si="81"/>
        <v>-1.1120655544892961E-2</v>
      </c>
      <c r="D97" s="24">
        <f t="shared" si="86"/>
        <v>0</v>
      </c>
      <c r="H97" s="24">
        <f t="shared" si="87"/>
        <v>0.27999999999999997</v>
      </c>
      <c r="I97" s="22">
        <f t="shared" si="88"/>
        <v>0</v>
      </c>
      <c r="J97" s="24">
        <f t="shared" si="89"/>
        <v>2.4022147416680553E-3</v>
      </c>
      <c r="K97" s="22">
        <f t="shared" si="90"/>
        <v>1.1120655544892961E-2</v>
      </c>
      <c r="L97" s="22">
        <f t="shared" si="91"/>
        <v>3.1137835525700285E-3</v>
      </c>
      <c r="M97" s="227">
        <f t="shared" si="92"/>
        <v>2.4022147416680553E-3</v>
      </c>
      <c r="N97" s="229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56" t="str">
        <f t="shared" si="85"/>
        <v>Amadumbe: kg produced</v>
      </c>
      <c r="B98" s="60">
        <f t="shared" si="81"/>
        <v>1.590737249682515E-2</v>
      </c>
      <c r="C98" s="60">
        <f t="shared" si="81"/>
        <v>-1.590737249682515E-2</v>
      </c>
      <c r="D98" s="24">
        <f t="shared" si="86"/>
        <v>0</v>
      </c>
      <c r="H98" s="24">
        <f t="shared" si="87"/>
        <v>0.27999999999999997</v>
      </c>
      <c r="I98" s="22">
        <f t="shared" si="88"/>
        <v>0</v>
      </c>
      <c r="J98" s="24">
        <f t="shared" si="89"/>
        <v>3.436211521777349E-3</v>
      </c>
      <c r="K98" s="22">
        <f t="shared" si="90"/>
        <v>1.590737249682515E-2</v>
      </c>
      <c r="L98" s="22">
        <f t="shared" si="91"/>
        <v>4.4540642991110413E-3</v>
      </c>
      <c r="M98" s="227">
        <f t="shared" si="92"/>
        <v>3.436211521777349E-3</v>
      </c>
      <c r="N98" s="229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56" t="str">
        <f t="shared" si="85"/>
        <v>Sweet Potatoes: kg produced</v>
      </c>
      <c r="B99" s="60">
        <f t="shared" si="81"/>
        <v>1.3538189359000126E-2</v>
      </c>
      <c r="C99" s="60">
        <f t="shared" si="81"/>
        <v>-1.3538189359000126E-2</v>
      </c>
      <c r="D99" s="24">
        <f t="shared" si="86"/>
        <v>0</v>
      </c>
      <c r="H99" s="24">
        <f t="shared" si="87"/>
        <v>0.27999999999999997</v>
      </c>
      <c r="I99" s="22">
        <f t="shared" si="88"/>
        <v>0</v>
      </c>
      <c r="J99" s="24">
        <f t="shared" si="89"/>
        <v>2.92443533768285E-3</v>
      </c>
      <c r="K99" s="22">
        <f t="shared" si="90"/>
        <v>1.3538189359000126E-2</v>
      </c>
      <c r="L99" s="22">
        <f t="shared" si="91"/>
        <v>3.7906930205200348E-3</v>
      </c>
      <c r="M99" s="227">
        <f t="shared" si="92"/>
        <v>2.92443533768285E-3</v>
      </c>
      <c r="N99" s="229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56" t="str">
        <f t="shared" si="85"/>
        <v>Other crop: Cabbage</v>
      </c>
      <c r="B100" s="60">
        <f t="shared" si="81"/>
        <v>3.2636706490446732E-3</v>
      </c>
      <c r="C100" s="60">
        <f t="shared" si="81"/>
        <v>-3.2636706490446732E-3</v>
      </c>
      <c r="D100" s="24">
        <f t="shared" si="86"/>
        <v>0</v>
      </c>
      <c r="H100" s="24">
        <f t="shared" si="87"/>
        <v>0.27999999999999997</v>
      </c>
      <c r="I100" s="22">
        <f t="shared" si="88"/>
        <v>0</v>
      </c>
      <c r="J100" s="24">
        <f t="shared" si="89"/>
        <v>7.0499780461997282E-4</v>
      </c>
      <c r="K100" s="22">
        <f t="shared" si="90"/>
        <v>3.2636706490446732E-3</v>
      </c>
      <c r="L100" s="22">
        <f t="shared" si="91"/>
        <v>9.1382778173250846E-4</v>
      </c>
      <c r="M100" s="227">
        <f t="shared" si="92"/>
        <v>7.0499780461997282E-4</v>
      </c>
      <c r="N100" s="229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56" t="str">
        <f t="shared" si="85"/>
        <v>beetroot: no. local meas</v>
      </c>
      <c r="B101" s="60">
        <f t="shared" si="81"/>
        <v>7.2526014423214958E-4</v>
      </c>
      <c r="C101" s="60">
        <f t="shared" si="81"/>
        <v>-7.2526014423214958E-4</v>
      </c>
      <c r="D101" s="24">
        <f t="shared" si="86"/>
        <v>0</v>
      </c>
      <c r="H101" s="24">
        <f t="shared" si="87"/>
        <v>0.27999999999999997</v>
      </c>
      <c r="I101" s="22">
        <f t="shared" si="88"/>
        <v>0</v>
      </c>
      <c r="J101" s="24">
        <f t="shared" si="89"/>
        <v>1.566661788044384E-4</v>
      </c>
      <c r="K101" s="22">
        <f t="shared" si="90"/>
        <v>7.2526014423214958E-4</v>
      </c>
      <c r="L101" s="22">
        <f t="shared" si="91"/>
        <v>2.0307284038500187E-4</v>
      </c>
      <c r="M101" s="227">
        <f t="shared" si="92"/>
        <v>1.566661788044384E-4</v>
      </c>
      <c r="N101" s="229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56" t="str">
        <f t="shared" si="85"/>
        <v>Spinach: no produced</v>
      </c>
      <c r="B102" s="60">
        <f t="shared" si="81"/>
        <v>1.8856763750035889E-3</v>
      </c>
      <c r="C102" s="60">
        <f t="shared" si="81"/>
        <v>-7.2526014423214958E-4</v>
      </c>
      <c r="D102" s="24">
        <f t="shared" si="86"/>
        <v>1.1604162307714393E-3</v>
      </c>
      <c r="H102" s="24">
        <f t="shared" si="87"/>
        <v>0.27999999999999997</v>
      </c>
      <c r="I102" s="22">
        <f t="shared" si="88"/>
        <v>3.2491654461600298E-4</v>
      </c>
      <c r="J102" s="24">
        <f t="shared" si="89"/>
        <v>4.8158272342044132E-4</v>
      </c>
      <c r="K102" s="22">
        <f t="shared" si="90"/>
        <v>1.8856763750035889E-3</v>
      </c>
      <c r="L102" s="22">
        <f t="shared" si="91"/>
        <v>5.2798938500100479E-4</v>
      </c>
      <c r="M102" s="227">
        <f t="shared" si="92"/>
        <v>4.8158272342044132E-4</v>
      </c>
      <c r="N102" s="229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56" t="str">
        <f t="shared" si="85"/>
        <v>Other crop: pumpkin</v>
      </c>
      <c r="B103" s="60">
        <f t="shared" si="81"/>
        <v>0</v>
      </c>
      <c r="C103" s="60">
        <f t="shared" si="81"/>
        <v>0</v>
      </c>
      <c r="D103" s="24">
        <f t="shared" si="86"/>
        <v>0</v>
      </c>
      <c r="H103" s="24">
        <f t="shared" si="87"/>
        <v>0.27999999999999997</v>
      </c>
      <c r="I103" s="22">
        <f t="shared" si="88"/>
        <v>0</v>
      </c>
      <c r="J103" s="24">
        <f t="shared" si="89"/>
        <v>0</v>
      </c>
      <c r="K103" s="22">
        <f t="shared" si="90"/>
        <v>0</v>
      </c>
      <c r="L103" s="22">
        <f t="shared" si="91"/>
        <v>0</v>
      </c>
      <c r="M103" s="227">
        <f t="shared" si="92"/>
        <v>0</v>
      </c>
      <c r="N103" s="229">
        <v>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56" t="str">
        <f t="shared" si="85"/>
        <v>Other cashcrop: sugar cane (tons)</v>
      </c>
      <c r="B104" s="60">
        <f t="shared" si="81"/>
        <v>0</v>
      </c>
      <c r="C104" s="60">
        <f t="shared" si="81"/>
        <v>0</v>
      </c>
      <c r="D104" s="24">
        <f t="shared" si="86"/>
        <v>0</v>
      </c>
      <c r="H104" s="24">
        <f t="shared" si="87"/>
        <v>0.27999999999999997</v>
      </c>
      <c r="I104" s="22">
        <f t="shared" si="88"/>
        <v>0</v>
      </c>
      <c r="J104" s="24">
        <f t="shared" si="89"/>
        <v>0</v>
      </c>
      <c r="K104" s="22">
        <f t="shared" si="90"/>
        <v>0</v>
      </c>
      <c r="L104" s="22">
        <f t="shared" si="91"/>
        <v>0</v>
      </c>
      <c r="M104" s="227">
        <f t="shared" si="92"/>
        <v>0</v>
      </c>
      <c r="N104" s="229">
        <v>2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56" t="str">
        <f t="shared" si="85"/>
        <v>Agricultural cash income -- see Data2</v>
      </c>
      <c r="B105" s="60">
        <f t="shared" si="81"/>
        <v>9.2833298461715147E-2</v>
      </c>
      <c r="C105" s="60">
        <f t="shared" si="81"/>
        <v>0</v>
      </c>
      <c r="D105" s="24">
        <f t="shared" si="86"/>
        <v>9.2833298461715147E-2</v>
      </c>
      <c r="H105" s="24">
        <f t="shared" si="87"/>
        <v>0.55500000000000005</v>
      </c>
      <c r="I105" s="22">
        <f t="shared" si="88"/>
        <v>5.1522480646251909E-2</v>
      </c>
      <c r="J105" s="24">
        <f t="shared" si="89"/>
        <v>5.1522480646251909E-2</v>
      </c>
      <c r="K105" s="22">
        <f t="shared" si="90"/>
        <v>9.2833298461715147E-2</v>
      </c>
      <c r="L105" s="22">
        <f t="shared" si="91"/>
        <v>5.1522480646251909E-2</v>
      </c>
      <c r="M105" s="227">
        <f t="shared" si="92"/>
        <v>5.1522480646251909E-2</v>
      </c>
      <c r="N105" s="229">
        <v>7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56" t="str">
        <f t="shared" si="85"/>
        <v>Construction cash income -- see Data2</v>
      </c>
      <c r="B106" s="60">
        <f t="shared" si="81"/>
        <v>0</v>
      </c>
      <c r="C106" s="60">
        <f t="shared" si="81"/>
        <v>0</v>
      </c>
      <c r="D106" s="24">
        <f t="shared" si="86"/>
        <v>0</v>
      </c>
      <c r="H106" s="24">
        <f t="shared" si="87"/>
        <v>0.55500000000000005</v>
      </c>
      <c r="I106" s="22">
        <f t="shared" si="88"/>
        <v>0</v>
      </c>
      <c r="J106" s="24">
        <f t="shared" si="89"/>
        <v>0</v>
      </c>
      <c r="K106" s="22">
        <f t="shared" si="90"/>
        <v>0</v>
      </c>
      <c r="L106" s="22">
        <f t="shared" si="91"/>
        <v>0</v>
      </c>
      <c r="M106" s="227">
        <f t="shared" si="92"/>
        <v>0</v>
      </c>
      <c r="N106" s="229">
        <v>7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56" t="str">
        <f t="shared" si="85"/>
        <v>Domestic work cash income -- see Data2</v>
      </c>
      <c r="B107" s="60">
        <f t="shared" si="81"/>
        <v>5.3185743910357644E-2</v>
      </c>
      <c r="C107" s="60">
        <f t="shared" si="81"/>
        <v>0</v>
      </c>
      <c r="D107" s="24">
        <f t="shared" si="86"/>
        <v>5.3185743910357644E-2</v>
      </c>
      <c r="H107" s="24">
        <f t="shared" si="87"/>
        <v>0.55500000000000005</v>
      </c>
      <c r="I107" s="22">
        <f t="shared" si="88"/>
        <v>2.9518087870248497E-2</v>
      </c>
      <c r="J107" s="24">
        <f t="shared" si="89"/>
        <v>2.9518087870248497E-2</v>
      </c>
      <c r="K107" s="22">
        <f t="shared" si="90"/>
        <v>5.3185743910357644E-2</v>
      </c>
      <c r="L107" s="22">
        <f t="shared" si="91"/>
        <v>2.9518087870248497E-2</v>
      </c>
      <c r="M107" s="227">
        <f t="shared" si="92"/>
        <v>2.9518087870248497E-2</v>
      </c>
      <c r="N107" s="229">
        <v>7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56" t="str">
        <f t="shared" si="85"/>
        <v>Formal Employment (conservancies, etc.)</v>
      </c>
      <c r="B108" s="60">
        <f t="shared" si="81"/>
        <v>0</v>
      </c>
      <c r="C108" s="60">
        <f t="shared" si="81"/>
        <v>0</v>
      </c>
      <c r="D108" s="24">
        <f t="shared" si="86"/>
        <v>0</v>
      </c>
      <c r="H108" s="24">
        <f t="shared" si="87"/>
        <v>0.47199999999999992</v>
      </c>
      <c r="I108" s="22">
        <f t="shared" si="88"/>
        <v>0</v>
      </c>
      <c r="J108" s="24">
        <f t="shared" si="89"/>
        <v>0</v>
      </c>
      <c r="K108" s="22">
        <f t="shared" si="90"/>
        <v>0</v>
      </c>
      <c r="L108" s="22">
        <f t="shared" si="91"/>
        <v>0</v>
      </c>
      <c r="M108" s="227">
        <f t="shared" si="92"/>
        <v>0</v>
      </c>
      <c r="N108" s="229">
        <v>8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56" t="str">
        <f t="shared" si="85"/>
        <v>Labour migration(formal employment): no. people per HH</v>
      </c>
      <c r="B109" s="60">
        <f t="shared" si="81"/>
        <v>0</v>
      </c>
      <c r="C109" s="60">
        <f t="shared" si="81"/>
        <v>0</v>
      </c>
      <c r="D109" s="24">
        <f t="shared" si="86"/>
        <v>0</v>
      </c>
      <c r="H109" s="24">
        <f t="shared" si="87"/>
        <v>0.47199999999999992</v>
      </c>
      <c r="I109" s="22">
        <f t="shared" si="88"/>
        <v>0</v>
      </c>
      <c r="J109" s="24">
        <f t="shared" si="89"/>
        <v>0</v>
      </c>
      <c r="K109" s="22">
        <f t="shared" si="90"/>
        <v>0</v>
      </c>
      <c r="L109" s="22">
        <f t="shared" si="91"/>
        <v>0</v>
      </c>
      <c r="M109" s="227">
        <f t="shared" si="92"/>
        <v>0</v>
      </c>
      <c r="N109" s="229">
        <v>8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56" t="str">
        <f t="shared" si="85"/>
        <v>Small business -- see Data2</v>
      </c>
      <c r="B110" s="60">
        <f t="shared" si="81"/>
        <v>6.7690946795000637E-2</v>
      </c>
      <c r="C110" s="60">
        <f t="shared" si="81"/>
        <v>0</v>
      </c>
      <c r="D110" s="24">
        <f t="shared" si="86"/>
        <v>6.7690946795000637E-2</v>
      </c>
      <c r="H110" s="24">
        <f t="shared" si="87"/>
        <v>0.94399999999999984</v>
      </c>
      <c r="I110" s="22">
        <f t="shared" si="88"/>
        <v>6.3900253774480595E-2</v>
      </c>
      <c r="J110" s="24">
        <f t="shared" si="89"/>
        <v>6.3900253774480595E-2</v>
      </c>
      <c r="K110" s="22">
        <f t="shared" si="90"/>
        <v>6.7690946795000637E-2</v>
      </c>
      <c r="L110" s="22">
        <f t="shared" si="91"/>
        <v>6.3900253774480595E-2</v>
      </c>
      <c r="M110" s="227">
        <f t="shared" si="92"/>
        <v>6.3900253774480595E-2</v>
      </c>
      <c r="N110" s="229">
        <v>11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56" t="str">
        <f t="shared" si="85"/>
        <v>Social development -- see Data2</v>
      </c>
      <c r="B111" s="60">
        <f t="shared" si="81"/>
        <v>1.843176130551585</v>
      </c>
      <c r="C111" s="60">
        <f t="shared" si="81"/>
        <v>0</v>
      </c>
      <c r="D111" s="24">
        <f t="shared" si="86"/>
        <v>1.843176130551585</v>
      </c>
      <c r="H111" s="24">
        <f t="shared" si="87"/>
        <v>1.18</v>
      </c>
      <c r="I111" s="22">
        <f t="shared" si="88"/>
        <v>2.1749478340508701</v>
      </c>
      <c r="J111" s="24">
        <f t="shared" si="89"/>
        <v>2.1749478340508701</v>
      </c>
      <c r="K111" s="22">
        <f t="shared" si="90"/>
        <v>1.843176130551585</v>
      </c>
      <c r="L111" s="22">
        <f t="shared" si="91"/>
        <v>2.1749478340508701</v>
      </c>
      <c r="M111" s="227">
        <f t="shared" si="92"/>
        <v>2.1749478340508701</v>
      </c>
      <c r="N111" s="229">
        <v>14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56" t="str">
        <f t="shared" si="85"/>
        <v>Public works -- see Data2</v>
      </c>
      <c r="B112" s="60">
        <f t="shared" si="81"/>
        <v>0.53466177832794071</v>
      </c>
      <c r="C112" s="60">
        <f t="shared" si="81"/>
        <v>0</v>
      </c>
      <c r="D112" s="24">
        <f t="shared" si="86"/>
        <v>0.53466177832794071</v>
      </c>
      <c r="H112" s="24">
        <f t="shared" si="87"/>
        <v>1.18</v>
      </c>
      <c r="I112" s="22">
        <f t="shared" si="88"/>
        <v>0.63090089842696995</v>
      </c>
      <c r="J112" s="24">
        <f t="shared" si="89"/>
        <v>0.63090089842696995</v>
      </c>
      <c r="K112" s="22">
        <f t="shared" si="90"/>
        <v>0.53466177832794071</v>
      </c>
      <c r="L112" s="22">
        <f t="shared" si="91"/>
        <v>0.63090089842696995</v>
      </c>
      <c r="M112" s="227">
        <f t="shared" si="92"/>
        <v>0.63090089842696995</v>
      </c>
      <c r="N112" s="229">
        <v>9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56" t="str">
        <f t="shared" si="85"/>
        <v>Gifts/social support: type (Child support, Pension and Foster Care)</v>
      </c>
      <c r="B113" s="60">
        <f t="shared" si="81"/>
        <v>0</v>
      </c>
      <c r="C113" s="60">
        <f t="shared" si="81"/>
        <v>0</v>
      </c>
      <c r="D113" s="24">
        <f t="shared" si="86"/>
        <v>0</v>
      </c>
      <c r="H113" s="24">
        <f t="shared" si="87"/>
        <v>1.1100000000000001</v>
      </c>
      <c r="I113" s="22">
        <f t="shared" si="88"/>
        <v>0</v>
      </c>
      <c r="J113" s="24">
        <f t="shared" si="89"/>
        <v>0</v>
      </c>
      <c r="K113" s="22">
        <f t="shared" si="90"/>
        <v>0</v>
      </c>
      <c r="L113" s="22">
        <f t="shared" si="91"/>
        <v>0</v>
      </c>
      <c r="M113" s="227">
        <f t="shared" si="92"/>
        <v>0</v>
      </c>
      <c r="N113" s="229">
        <v>15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56" t="str">
        <f t="shared" si="85"/>
        <v>Other income: e.g. Credit (cotton loans)</v>
      </c>
      <c r="B114" s="60">
        <f t="shared" si="81"/>
        <v>5.5627453062605879E-2</v>
      </c>
      <c r="C114" s="60">
        <f t="shared" si="81"/>
        <v>0</v>
      </c>
      <c r="D114" s="24">
        <f t="shared" si="86"/>
        <v>5.5627453062605879E-2</v>
      </c>
      <c r="H114" s="24">
        <f t="shared" si="87"/>
        <v>1</v>
      </c>
      <c r="I114" s="22">
        <f t="shared" si="88"/>
        <v>5.5627453062605879E-2</v>
      </c>
      <c r="J114" s="24">
        <f t="shared" si="89"/>
        <v>5.5627453062605879E-2</v>
      </c>
      <c r="K114" s="22">
        <f t="shared" si="90"/>
        <v>5.5627453062605879E-2</v>
      </c>
      <c r="L114" s="22">
        <f t="shared" si="91"/>
        <v>5.5627453062605879E-2</v>
      </c>
      <c r="M114" s="227">
        <f t="shared" si="92"/>
        <v>5.5627453062605879E-2</v>
      </c>
      <c r="N114" s="229">
        <v>16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56" t="str">
        <f t="shared" si="85"/>
        <v>Remittances: no. times per year</v>
      </c>
      <c r="B115" s="60">
        <f t="shared" si="81"/>
        <v>2.0549037419910904E-2</v>
      </c>
      <c r="C115" s="60">
        <f t="shared" si="81"/>
        <v>0</v>
      </c>
      <c r="D115" s="24">
        <f t="shared" si="86"/>
        <v>2.0549037419910904E-2</v>
      </c>
      <c r="H115" s="24">
        <f t="shared" si="87"/>
        <v>1.1100000000000001</v>
      </c>
      <c r="I115" s="22">
        <f t="shared" si="88"/>
        <v>2.2809431536101106E-2</v>
      </c>
      <c r="J115" s="24">
        <f t="shared" si="89"/>
        <v>2.2809431536101106E-2</v>
      </c>
      <c r="K115" s="22">
        <f t="shared" si="90"/>
        <v>2.0549037419910904E-2</v>
      </c>
      <c r="L115" s="22">
        <f t="shared" si="91"/>
        <v>2.2809431536101106E-2</v>
      </c>
      <c r="M115" s="227">
        <f t="shared" si="92"/>
        <v>2.2809431536101106E-2</v>
      </c>
      <c r="N115" s="229">
        <v>15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56" t="str">
        <f t="shared" si="85"/>
        <v/>
      </c>
      <c r="B116" s="60">
        <f t="shared" si="81"/>
        <v>0</v>
      </c>
      <c r="C116" s="60">
        <f t="shared" si="81"/>
        <v>0</v>
      </c>
      <c r="D116" s="24">
        <f t="shared" si="86"/>
        <v>0</v>
      </c>
      <c r="H116" s="24">
        <f t="shared" si="87"/>
        <v>1</v>
      </c>
      <c r="I116" s="22">
        <f t="shared" si="88"/>
        <v>0</v>
      </c>
      <c r="J116" s="24">
        <f t="shared" si="89"/>
        <v>0</v>
      </c>
      <c r="K116" s="22">
        <f t="shared" si="90"/>
        <v>0</v>
      </c>
      <c r="L116" s="22">
        <f t="shared" si="91"/>
        <v>0</v>
      </c>
      <c r="M116" s="227">
        <f t="shared" si="92"/>
        <v>0</v>
      </c>
      <c r="N116" s="229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56" t="str">
        <f t="shared" si="85"/>
        <v/>
      </c>
      <c r="B117" s="60">
        <f t="shared" si="81"/>
        <v>0</v>
      </c>
      <c r="C117" s="60">
        <f t="shared" si="81"/>
        <v>0</v>
      </c>
      <c r="D117" s="24">
        <f t="shared" si="86"/>
        <v>0</v>
      </c>
      <c r="H117" s="24">
        <f t="shared" si="87"/>
        <v>1</v>
      </c>
      <c r="I117" s="22">
        <f t="shared" si="88"/>
        <v>0</v>
      </c>
      <c r="J117" s="24">
        <f t="shared" si="89"/>
        <v>0</v>
      </c>
      <c r="K117" s="22">
        <f t="shared" si="90"/>
        <v>0</v>
      </c>
      <c r="L117" s="22">
        <f t="shared" si="91"/>
        <v>0</v>
      </c>
      <c r="M117" s="227">
        <f t="shared" si="92"/>
        <v>0</v>
      </c>
      <c r="N117" s="229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56" t="str">
        <f t="shared" si="85"/>
        <v/>
      </c>
      <c r="B118" s="60">
        <f t="shared" si="81"/>
        <v>0</v>
      </c>
      <c r="C118" s="60">
        <f t="shared" si="81"/>
        <v>0</v>
      </c>
      <c r="D118" s="24">
        <f t="shared" si="86"/>
        <v>0</v>
      </c>
      <c r="H118" s="24">
        <f t="shared" si="87"/>
        <v>1</v>
      </c>
      <c r="I118" s="22">
        <f t="shared" si="88"/>
        <v>0</v>
      </c>
      <c r="J118" s="24">
        <f t="shared" si="89"/>
        <v>0</v>
      </c>
      <c r="K118" s="22">
        <f t="shared" si="90"/>
        <v>0</v>
      </c>
      <c r="L118" s="22">
        <f t="shared" si="91"/>
        <v>0</v>
      </c>
      <c r="M118" s="227">
        <f t="shared" si="92"/>
        <v>0</v>
      </c>
      <c r="N118" s="229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56" t="s">
        <v>32</v>
      </c>
      <c r="B119" s="29">
        <f>SUM(B91:B118)</f>
        <v>3.3499524308701583</v>
      </c>
      <c r="C119" s="29">
        <f>SUM(C91:C118)</f>
        <v>-9.5565111671656253E-2</v>
      </c>
      <c r="D119" s="24">
        <f>SUM(D91:D118)</f>
        <v>3.2543873191985022</v>
      </c>
      <c r="E119" s="22"/>
      <c r="F119" s="2"/>
      <c r="G119" s="2"/>
      <c r="H119" s="31"/>
      <c r="I119" s="22">
        <f>SUM(I91:I118)</f>
        <v>3.3619119706485456</v>
      </c>
      <c r="J119" s="24">
        <f>SUM(J91:J118)</f>
        <v>3.397009670877277</v>
      </c>
      <c r="K119" s="22">
        <f>SUM(K91:K118)</f>
        <v>3.3499524308701583</v>
      </c>
      <c r="L119" s="22">
        <f>SUM(L91:L118)</f>
        <v>3.4074060889759403</v>
      </c>
      <c r="M119" s="57">
        <f t="shared" si="80"/>
        <v>3.397009670877277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61"/>
      <c r="B120" s="61"/>
      <c r="C120" s="61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55" t="str">
        <f>A67</f>
        <v>Expenditure : Poor HHs</v>
      </c>
      <c r="B121" s="56"/>
      <c r="C121" s="56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56"/>
      <c r="B122" s="59" t="s">
        <v>7</v>
      </c>
      <c r="C122" s="56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93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56" t="s">
        <v>44</v>
      </c>
      <c r="B123" s="59" t="s">
        <v>35</v>
      </c>
      <c r="C123" s="56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93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60">
        <f>B70/B$83</f>
        <v>1.0540460987110494</v>
      </c>
      <c r="C124" s="56"/>
      <c r="D124" s="24"/>
      <c r="H124" s="96">
        <f>(E70*F70/G$37*F$7/F$9)</f>
        <v>1.4</v>
      </c>
      <c r="I124" s="29">
        <f>IF(SUMPRODUCT($B$124:$B124,$H$124:$H124)&lt;I$119,($B124*$H124),I$119)</f>
        <v>1.4756645381954689</v>
      </c>
      <c r="J124" s="237">
        <f>IF(SUMPRODUCT($B$124:$B124,$H$124:$H124)&lt;J$119,($B124*$H124),J$119)</f>
        <v>1.4756645381954689</v>
      </c>
      <c r="K124" s="29">
        <f>(B124)</f>
        <v>1.0540460987110494</v>
      </c>
      <c r="L124" s="29">
        <f>IF(SUMPRODUCT($B$124:$B124,$H$124:$H124)&lt;L$119,($B124*$H124),L$119)</f>
        <v>1.4756645381954689</v>
      </c>
      <c r="M124" s="240">
        <f t="shared" si="93"/>
        <v>1.4756645381954689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1.0426501002402324</v>
      </c>
      <c r="C125" s="56"/>
      <c r="D125" s="24"/>
      <c r="H125" s="96">
        <f>(E71*F71/G$37*F$7/F$9)</f>
        <v>1.18</v>
      </c>
      <c r="I125" s="29">
        <f>IF(SUMPRODUCT($B$124:$B125,$H$124:$H125)&lt;I$119,($B125*$H125),IF(SUMPRODUCT($B$124:$B124,$H$124:$H124)&lt;I$119,I$119-SUMPRODUCT($B$124:$B124,$H$124:$H124),0))</f>
        <v>1.2303271182834741</v>
      </c>
      <c r="J125" s="237">
        <f>IF(SUMPRODUCT($B$124:$B125,$H$124:$H125)&lt;J$119,($B125*$H125),IF(SUMPRODUCT($B$124:$B124,$H$124:$H124)&lt;J$119,J$119-SUMPRODUCT($B$124:$B124,$H$124:$H124),0))</f>
        <v>1.2303271182834741</v>
      </c>
      <c r="K125" s="29">
        <f>(B125)</f>
        <v>1.0426501002402324</v>
      </c>
      <c r="L125" s="29">
        <f>IF(SUMPRODUCT($B$124:$B125,$H$124:$H125)&lt;L$119,($B125*$H125),IF(SUMPRODUCT($B$124:$B124,$H$124:$H124)&lt;L$119,L$119-SUMPRODUCT($B$124:$B124,$H$124:$H124),0))</f>
        <v>1.2303271182834741</v>
      </c>
      <c r="M125" s="240">
        <f t="shared" si="93"/>
        <v>1.2303271182834741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1.9283216714844393</v>
      </c>
      <c r="C126" s="56"/>
      <c r="D126" s="24"/>
      <c r="H126" s="96">
        <f>(E72*F72/G$37*F$7/F$9)</f>
        <v>1.18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7">
        <f>IF(SUMPRODUCT($B$124:$B126,$H$124:$H126)&lt;(J$119-J$128),($B126*$H126),IF(SUMPRODUCT($B$124:$B125,$H$124:$H125)&lt;(J$119-J$128),J$119-J$128-SUMPRODUCT($B$124:$B125,$H$124:$H125),0))</f>
        <v>0.15965253927802348</v>
      </c>
      <c r="K126" s="29">
        <f t="shared" ref="K126:K127" si="94">(B126)</f>
        <v>1.9283216714844393</v>
      </c>
      <c r="L126" s="29">
        <f>IF(SUMPRODUCT($B$124:$B126,$H$124:$H126)&lt;(L$119-L$128),($B126*$H126),IF(SUMPRODUCT($B$124:$B125,$H$124:$H125)&lt;(L$119-L$128),L$119-L$128-SUMPRODUCT($B$124:$B125,$H$124:$H125),0))</f>
        <v>0.20268626647705945</v>
      </c>
      <c r="M126" s="240">
        <f t="shared" si="93"/>
        <v>0.15965253927802348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60">
        <f>B73/B$83</f>
        <v>0.24105229660462546</v>
      </c>
      <c r="C127" s="56"/>
      <c r="D127" s="24"/>
      <c r="H127" s="96">
        <f>(E73*F73/G$37*F$7/F$9)</f>
        <v>1.18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7">
        <f>IF(SUMPRODUCT($B$124:$B127,$H$124:$H127)&lt;(J$119-J$128),($B127*$H127),IF(SUMPRODUCT($B$124:$B126,$H$124:$H126)&lt;(J$119-J128),J$119-J$128-SUMPRODUCT($B$124:$B126,$H$124:$H126),0))</f>
        <v>0</v>
      </c>
      <c r="K127" s="29">
        <f t="shared" si="94"/>
        <v>0.24105229660462546</v>
      </c>
      <c r="L127" s="29">
        <f>IF(SUMPRODUCT($B$124:$B127,$H$124:$H127)&lt;(L$119-L$128),($B127*$H127),IF(SUMPRODUCT($B$124:$B126,$H$124:$H126)&lt;(L$119-L128),L$119-L$128-SUMPRODUCT($B$124:$B126,$H$124:$H126),0))</f>
        <v>0</v>
      </c>
      <c r="M127" s="240">
        <f t="shared" si="93"/>
        <v>0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9">
        <f>(B30)</f>
        <v>0.59274655759651318</v>
      </c>
      <c r="C128" s="56"/>
      <c r="D128" s="31"/>
      <c r="E128" s="2"/>
      <c r="F128" s="2"/>
      <c r="G128" s="2"/>
      <c r="H128" s="24"/>
      <c r="I128" s="29">
        <f>(I30)</f>
        <v>1.8862474324530767</v>
      </c>
      <c r="J128" s="228">
        <f>(J30)</f>
        <v>0.53136547512031007</v>
      </c>
      <c r="K128" s="29">
        <f>(B128)</f>
        <v>0.59274655759651318</v>
      </c>
      <c r="L128" s="29">
        <f>IF(L124=L119,0,(L119-L124)/(B119-B124)*K128)</f>
        <v>0.4987281660199378</v>
      </c>
      <c r="M128" s="240">
        <f t="shared" si="93"/>
        <v>0.53136547512031007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0</v>
      </c>
      <c r="C129" s="56"/>
      <c r="D129" s="31"/>
      <c r="E129" s="2"/>
      <c r="F129" s="2"/>
      <c r="G129" s="2"/>
      <c r="H129" s="24"/>
      <c r="I129" s="29"/>
      <c r="J129" s="228">
        <f>IF(SUM(J124:J128)&gt;J130,0,J130-SUM(J124:J128))</f>
        <v>0</v>
      </c>
      <c r="K129" s="29">
        <f>(B129)</f>
        <v>0</v>
      </c>
      <c r="L129" s="60">
        <f>IF(SUM(L124:L128)&gt;L130,0,L130-SUM(L124:L128))</f>
        <v>0</v>
      </c>
      <c r="M129" s="240">
        <f t="shared" si="93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56" t="s">
        <v>32</v>
      </c>
      <c r="B130" s="29">
        <f>(B119)</f>
        <v>3.3499524308701583</v>
      </c>
      <c r="C130" s="56"/>
      <c r="D130" s="31"/>
      <c r="E130" s="2"/>
      <c r="F130" s="2"/>
      <c r="G130" s="2"/>
      <c r="H130" s="24"/>
      <c r="I130" s="29">
        <f>(I119)</f>
        <v>3.3619119706485456</v>
      </c>
      <c r="J130" s="228">
        <f>(J119)</f>
        <v>3.397009670877277</v>
      </c>
      <c r="K130" s="29">
        <f>(B130)</f>
        <v>3.3499524308701583</v>
      </c>
      <c r="L130" s="29">
        <f>(L119)</f>
        <v>3.4074060889759403</v>
      </c>
      <c r="M130" s="240">
        <f t="shared" si="93"/>
        <v>3.397009670877277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56" t="s">
        <v>36</v>
      </c>
      <c r="B131" s="29"/>
      <c r="C131" s="56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1.2303271182834745</v>
      </c>
      <c r="J131" s="237">
        <f>IF(SUMPRODUCT($B124:$B125,$H124:$H125)&gt;(J119-J128),SUMPRODUCT($B124:$B125,$H124:$H125)+J128-J119,0)</f>
        <v>0</v>
      </c>
      <c r="K131" s="29"/>
      <c r="L131" s="29">
        <f>IF(I131&lt;SUM(L126:L127),0,I131-(SUM(L126:L127)))</f>
        <v>1.0276408518064151</v>
      </c>
      <c r="M131" s="237">
        <f>IF(I131&lt;SUM(M126:M127),0,I131-(SUM(M126:M127)))</f>
        <v>1.070674579005451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54"/>
      <c r="B132" s="54"/>
      <c r="C132" s="5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56"/>
      <c r="B142" s="56"/>
      <c r="C142" s="56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9"/>
      <c r="C143" s="29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9"/>
      <c r="C144" s="29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9"/>
      <c r="C145" s="29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56"/>
      <c r="C146" s="56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9"/>
      <c r="C147" s="29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9"/>
      <c r="C148" s="29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9"/>
      <c r="C149" s="29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9"/>
      <c r="C150" s="29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9"/>
      <c r="C151" s="29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9"/>
      <c r="C152" s="29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56"/>
      <c r="B153" s="56"/>
      <c r="C153" s="56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70"/>
      <c r="B154" s="56"/>
      <c r="C154" s="56"/>
      <c r="D154" s="2"/>
      <c r="E154" s="2"/>
      <c r="F154" s="2"/>
      <c r="H154" s="2"/>
      <c r="I154" s="2"/>
      <c r="J154" s="2"/>
      <c r="L154" s="2"/>
      <c r="W154" s="71"/>
    </row>
    <row r="155" spans="1:33">
      <c r="A155" s="56"/>
      <c r="B155" s="56"/>
      <c r="C155" s="56"/>
      <c r="D155" s="2"/>
      <c r="E155" s="2"/>
      <c r="F155" s="2"/>
      <c r="H155" s="2"/>
      <c r="I155" s="2"/>
      <c r="J155" s="2"/>
      <c r="L155" s="2"/>
      <c r="W155" s="71"/>
    </row>
    <row r="156" spans="1:33">
      <c r="A156" s="56"/>
      <c r="B156" s="56"/>
      <c r="C156" s="56"/>
      <c r="D156" s="2"/>
      <c r="E156" s="2"/>
      <c r="F156" s="2"/>
      <c r="H156" s="2"/>
      <c r="I156" s="2"/>
      <c r="J156" s="2"/>
      <c r="L156" s="2"/>
      <c r="W156" s="71"/>
    </row>
    <row r="157" spans="1:33">
      <c r="A157" s="29"/>
      <c r="B157" s="56"/>
      <c r="C157" s="56"/>
      <c r="D157" s="2"/>
      <c r="E157" s="2"/>
      <c r="F157" s="2"/>
      <c r="H157" s="2"/>
      <c r="I157" s="2"/>
      <c r="J157" s="2"/>
      <c r="L157" s="2"/>
      <c r="W157" s="71"/>
    </row>
    <row r="158" spans="1:33">
      <c r="A158" s="56"/>
      <c r="B158" s="56"/>
      <c r="C158" s="56"/>
      <c r="D158" s="2"/>
      <c r="E158" s="2"/>
      <c r="F158" s="2"/>
      <c r="H158" s="2"/>
      <c r="I158" s="2"/>
      <c r="J158" s="2"/>
      <c r="L158" s="2"/>
      <c r="W158" s="71"/>
    </row>
    <row r="159" spans="1:33">
      <c r="A159" s="56"/>
      <c r="B159" s="56"/>
      <c r="C159" s="56"/>
      <c r="D159" s="2"/>
      <c r="E159" s="2"/>
      <c r="F159" s="2"/>
      <c r="H159" s="2"/>
      <c r="I159" s="2"/>
      <c r="J159" s="2"/>
      <c r="L159" s="2"/>
    </row>
    <row r="160" spans="1:33">
      <c r="A160" s="56"/>
      <c r="B160" s="56"/>
      <c r="C160" s="56"/>
      <c r="D160" s="2"/>
      <c r="E160" s="2"/>
      <c r="F160" s="2"/>
      <c r="H160" s="2"/>
      <c r="I160" s="2"/>
      <c r="J160" s="2"/>
      <c r="L160" s="2"/>
    </row>
    <row r="161" spans="1:28">
      <c r="A161" s="56"/>
      <c r="B161" s="56"/>
      <c r="C161" s="56"/>
      <c r="D161" s="2"/>
      <c r="E161" s="2"/>
      <c r="F161" s="2"/>
      <c r="H161" s="2"/>
      <c r="I161" s="2"/>
      <c r="J161" s="2"/>
      <c r="L161" s="2"/>
      <c r="AB161" s="71"/>
    </row>
    <row r="162" spans="1:28">
      <c r="A162" s="56"/>
      <c r="B162" s="56"/>
      <c r="C162" s="56"/>
      <c r="D162" s="2"/>
      <c r="E162" s="2"/>
      <c r="F162" s="2"/>
      <c r="H162" s="2"/>
      <c r="I162" s="2"/>
      <c r="J162" s="2"/>
      <c r="L162" s="2"/>
      <c r="AB162" s="71"/>
    </row>
    <row r="163" spans="1:28">
      <c r="A163" s="56"/>
      <c r="B163" s="56"/>
      <c r="C163" s="56"/>
      <c r="D163" s="2"/>
      <c r="E163" s="2"/>
      <c r="F163" s="2"/>
      <c r="H163" s="2"/>
      <c r="I163" s="2"/>
      <c r="J163" s="2"/>
      <c r="L163" s="2"/>
      <c r="AB163" s="71"/>
    </row>
    <row r="164" spans="1:28">
      <c r="A164" s="56"/>
      <c r="B164" s="56"/>
      <c r="C164" s="56"/>
      <c r="D164" s="2"/>
      <c r="E164" s="2"/>
      <c r="F164" s="2"/>
      <c r="H164" s="2"/>
      <c r="I164" s="2"/>
      <c r="J164" s="2"/>
      <c r="L164" s="2"/>
      <c r="AB164" s="71"/>
    </row>
    <row r="165" spans="1:28">
      <c r="A165" s="56"/>
      <c r="B165" s="56"/>
      <c r="C165" s="56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56"/>
      <c r="B166" s="56"/>
      <c r="C166" s="56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56"/>
      <c r="B167" s="56"/>
      <c r="C167" s="56"/>
      <c r="D167" s="2"/>
      <c r="E167" s="2"/>
      <c r="F167" s="2"/>
      <c r="H167" s="2"/>
      <c r="I167" s="2"/>
      <c r="J167" s="2"/>
      <c r="L167" s="2"/>
      <c r="AB167" s="71"/>
    </row>
    <row r="168" spans="1:28">
      <c r="A168" s="56"/>
      <c r="B168" s="56"/>
      <c r="C168" s="56"/>
      <c r="D168" s="2"/>
      <c r="E168" s="2"/>
      <c r="F168" s="2"/>
      <c r="H168" s="2"/>
      <c r="I168" s="2"/>
      <c r="J168" s="2"/>
      <c r="L168" s="2"/>
      <c r="AB168" s="71"/>
    </row>
    <row r="169" spans="1:28">
      <c r="A169" s="56"/>
      <c r="B169" s="56"/>
      <c r="C169" s="56"/>
      <c r="D169" s="2"/>
      <c r="E169" s="2"/>
      <c r="F169" s="2"/>
      <c r="H169" s="2"/>
      <c r="I169" s="2"/>
      <c r="J169" s="2"/>
      <c r="L169" s="2"/>
      <c r="AB169" s="71"/>
    </row>
    <row r="170" spans="1:28">
      <c r="A170" s="56"/>
      <c r="B170" s="56"/>
      <c r="C170" s="56"/>
      <c r="D170" s="2"/>
      <c r="E170" s="2"/>
      <c r="F170" s="2"/>
      <c r="H170" s="2"/>
      <c r="I170" s="2"/>
      <c r="J170" s="2"/>
      <c r="L170" s="2"/>
    </row>
    <row r="171" spans="1:28">
      <c r="A171" s="56"/>
      <c r="B171" s="56"/>
      <c r="C171" s="56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56"/>
      <c r="B172" s="56"/>
      <c r="C172" s="56"/>
      <c r="D172" s="2"/>
      <c r="E172" s="2"/>
      <c r="F172" s="2"/>
      <c r="H172" s="2"/>
      <c r="I172" s="2"/>
      <c r="J172" s="2"/>
      <c r="L172" s="2"/>
      <c r="W172" s="72"/>
    </row>
    <row r="173" spans="1:28">
      <c r="A173" s="56"/>
      <c r="B173" s="56"/>
      <c r="C173" s="56"/>
      <c r="D173" s="2"/>
      <c r="E173" s="2"/>
      <c r="F173" s="2"/>
      <c r="H173" s="2"/>
      <c r="I173" s="2"/>
      <c r="J173" s="2"/>
      <c r="L173" s="2"/>
    </row>
    <row r="174" spans="1:28">
      <c r="A174" s="56"/>
      <c r="B174" s="56"/>
      <c r="C174" s="56"/>
      <c r="D174" s="2"/>
      <c r="E174" s="2"/>
      <c r="F174" s="2"/>
      <c r="H174" s="2"/>
      <c r="I174" s="2"/>
      <c r="J174" s="2"/>
      <c r="L174" s="2"/>
    </row>
    <row r="175" spans="1:28">
      <c r="A175" s="56"/>
      <c r="B175" s="56"/>
      <c r="C175" s="56"/>
      <c r="D175" s="2"/>
      <c r="E175" s="2"/>
      <c r="F175" s="2"/>
      <c r="H175" s="2"/>
      <c r="I175" s="2"/>
      <c r="J175" s="2"/>
      <c r="L175" s="2"/>
      <c r="AB175" s="71"/>
    </row>
    <row r="176" spans="1:28">
      <c r="A176" s="56"/>
      <c r="B176" s="56"/>
      <c r="C176" s="56"/>
      <c r="D176" s="2"/>
      <c r="E176" s="2"/>
      <c r="F176" s="2"/>
      <c r="H176" s="2"/>
      <c r="I176" s="2"/>
      <c r="J176" s="2"/>
      <c r="L176" s="2"/>
      <c r="AB176" s="71"/>
    </row>
    <row r="177" spans="1:28">
      <c r="A177" s="56"/>
      <c r="B177" s="56"/>
      <c r="C177" s="56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56"/>
      <c r="B178" s="56"/>
      <c r="C178" s="56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56"/>
      <c r="B179" s="56"/>
      <c r="C179" s="56"/>
      <c r="D179" s="2"/>
      <c r="E179" s="2"/>
      <c r="F179" s="2"/>
      <c r="H179" s="2"/>
      <c r="I179" s="2"/>
      <c r="J179" s="2"/>
      <c r="L179" s="2"/>
      <c r="AB179" s="71"/>
    </row>
    <row r="180" spans="1:28">
      <c r="A180" s="56"/>
      <c r="B180" s="56"/>
      <c r="C180" s="56"/>
      <c r="D180" s="2"/>
      <c r="E180" s="2"/>
      <c r="F180" s="2"/>
      <c r="H180" s="2"/>
      <c r="I180" s="2"/>
      <c r="J180" s="2"/>
      <c r="L180" s="2"/>
      <c r="AB180" s="71"/>
    </row>
    <row r="181" spans="1:28">
      <c r="A181" s="56"/>
      <c r="B181" s="56"/>
      <c r="C181" s="56"/>
      <c r="D181" s="2"/>
      <c r="E181" s="2"/>
      <c r="F181" s="2"/>
      <c r="H181" s="2"/>
      <c r="I181" s="2"/>
      <c r="J181" s="2"/>
      <c r="L181" s="2"/>
    </row>
    <row r="182" spans="1:28">
      <c r="A182" s="56"/>
      <c r="B182" s="56"/>
      <c r="C182" s="56"/>
      <c r="D182" s="2"/>
      <c r="E182" s="2"/>
      <c r="F182" s="2"/>
      <c r="H182" s="2"/>
      <c r="I182" s="2"/>
      <c r="J182" s="2"/>
      <c r="L182" s="2"/>
    </row>
    <row r="183" spans="1:28">
      <c r="A183" s="56"/>
      <c r="B183" s="56"/>
      <c r="C183" s="56"/>
      <c r="D183" s="2"/>
      <c r="E183" s="2"/>
      <c r="F183" s="2"/>
      <c r="H183" s="2"/>
      <c r="I183" s="2"/>
      <c r="J183" s="2"/>
      <c r="L183" s="2"/>
    </row>
    <row r="184" spans="1:28">
      <c r="A184" s="56"/>
      <c r="B184" s="56"/>
      <c r="C184" s="56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8">
    <mergeCell ref="Z1:AA1"/>
    <mergeCell ref="AB1:AC1"/>
    <mergeCell ref="AD1:AE1"/>
    <mergeCell ref="AF1:AG1"/>
    <mergeCell ref="Z2:AA2"/>
    <mergeCell ref="AB2:AC2"/>
    <mergeCell ref="AD2:AE2"/>
    <mergeCell ref="AF2:AG2"/>
  </mergeCells>
  <phoneticPr fontId="1" type="noConversion"/>
  <conditionalFormatting sqref="N6:N29 U7:U22">
    <cfRule type="cellIs" dxfId="296" priority="116" operator="equal">
      <formula>16</formula>
    </cfRule>
    <cfRule type="cellIs" dxfId="295" priority="117" operator="equal">
      <formula>15</formula>
    </cfRule>
    <cfRule type="cellIs" dxfId="294" priority="118" operator="equal">
      <formula>14</formula>
    </cfRule>
    <cfRule type="cellIs" dxfId="293" priority="119" operator="equal">
      <formula>13</formula>
    </cfRule>
    <cfRule type="cellIs" dxfId="292" priority="120" operator="equal">
      <formula>12</formula>
    </cfRule>
    <cfRule type="cellIs" dxfId="291" priority="121" operator="equal">
      <formula>11</formula>
    </cfRule>
    <cfRule type="cellIs" dxfId="290" priority="122" operator="equal">
      <formula>10</formula>
    </cfRule>
    <cfRule type="cellIs" dxfId="289" priority="123" operator="equal">
      <formula>9</formula>
    </cfRule>
    <cfRule type="cellIs" dxfId="288" priority="124" operator="equal">
      <formula>8</formula>
    </cfRule>
    <cfRule type="cellIs" dxfId="287" priority="125" operator="equal">
      <formula>7</formula>
    </cfRule>
    <cfRule type="cellIs" dxfId="286" priority="126" operator="equal">
      <formula>6</formula>
    </cfRule>
    <cfRule type="cellIs" dxfId="285" priority="127" operator="equal">
      <formula>5</formula>
    </cfRule>
    <cfRule type="cellIs" dxfId="284" priority="128" operator="equal">
      <formula>4</formula>
    </cfRule>
    <cfRule type="cellIs" dxfId="283" priority="129" operator="equal">
      <formula>3</formula>
    </cfRule>
    <cfRule type="cellIs" dxfId="282" priority="130" operator="equal">
      <formula>2</formula>
    </cfRule>
    <cfRule type="cellIs" dxfId="281" priority="131" operator="equal">
      <formula>1</formula>
    </cfRule>
  </conditionalFormatting>
  <conditionalFormatting sqref="N116:N118">
    <cfRule type="cellIs" dxfId="280" priority="52" operator="equal">
      <formula>16</formula>
    </cfRule>
    <cfRule type="cellIs" dxfId="279" priority="53" operator="equal">
      <formula>15</formula>
    </cfRule>
    <cfRule type="cellIs" dxfId="278" priority="54" operator="equal">
      <formula>14</formula>
    </cfRule>
    <cfRule type="cellIs" dxfId="277" priority="55" operator="equal">
      <formula>13</formula>
    </cfRule>
    <cfRule type="cellIs" dxfId="276" priority="56" operator="equal">
      <formula>12</formula>
    </cfRule>
    <cfRule type="cellIs" dxfId="275" priority="57" operator="equal">
      <formula>11</formula>
    </cfRule>
    <cfRule type="cellIs" dxfId="274" priority="58" operator="equal">
      <formula>10</formula>
    </cfRule>
    <cfRule type="cellIs" dxfId="273" priority="59" operator="equal">
      <formula>9</formula>
    </cfRule>
    <cfRule type="cellIs" dxfId="272" priority="60" operator="equal">
      <formula>8</formula>
    </cfRule>
    <cfRule type="cellIs" dxfId="271" priority="61" operator="equal">
      <formula>7</formula>
    </cfRule>
    <cfRule type="cellIs" dxfId="270" priority="62" operator="equal">
      <formula>6</formula>
    </cfRule>
    <cfRule type="cellIs" dxfId="269" priority="63" operator="equal">
      <formula>5</formula>
    </cfRule>
    <cfRule type="cellIs" dxfId="268" priority="64" operator="equal">
      <formula>4</formula>
    </cfRule>
    <cfRule type="cellIs" dxfId="267" priority="65" operator="equal">
      <formula>3</formula>
    </cfRule>
    <cfRule type="cellIs" dxfId="266" priority="66" operator="equal">
      <formula>2</formula>
    </cfRule>
    <cfRule type="cellIs" dxfId="265" priority="67" operator="equal">
      <formula>1</formula>
    </cfRule>
  </conditionalFormatting>
  <conditionalFormatting sqref="R31:T31">
    <cfRule type="cellIs" dxfId="264" priority="51" operator="greaterThan">
      <formula>0</formula>
    </cfRule>
  </conditionalFormatting>
  <conditionalFormatting sqref="R32:T32">
    <cfRule type="cellIs" dxfId="263" priority="50" operator="greaterThan">
      <formula>0</formula>
    </cfRule>
  </conditionalFormatting>
  <conditionalFormatting sqref="R30:T30">
    <cfRule type="cellIs" dxfId="262" priority="49" operator="greaterThan">
      <formula>0</formula>
    </cfRule>
  </conditionalFormatting>
  <conditionalFormatting sqref="N113:N115">
    <cfRule type="cellIs" dxfId="261" priority="33" operator="equal">
      <formula>16</formula>
    </cfRule>
    <cfRule type="cellIs" dxfId="260" priority="34" operator="equal">
      <formula>15</formula>
    </cfRule>
    <cfRule type="cellIs" dxfId="259" priority="35" operator="equal">
      <formula>14</formula>
    </cfRule>
    <cfRule type="cellIs" dxfId="258" priority="36" operator="equal">
      <formula>13</formula>
    </cfRule>
    <cfRule type="cellIs" dxfId="257" priority="37" operator="equal">
      <formula>12</formula>
    </cfRule>
    <cfRule type="cellIs" dxfId="256" priority="38" operator="equal">
      <formula>11</formula>
    </cfRule>
    <cfRule type="cellIs" dxfId="255" priority="39" operator="equal">
      <formula>10</formula>
    </cfRule>
    <cfRule type="cellIs" dxfId="254" priority="40" operator="equal">
      <formula>9</formula>
    </cfRule>
    <cfRule type="cellIs" dxfId="253" priority="41" operator="equal">
      <formula>8</formula>
    </cfRule>
    <cfRule type="cellIs" dxfId="252" priority="42" operator="equal">
      <formula>7</formula>
    </cfRule>
    <cfRule type="cellIs" dxfId="251" priority="43" operator="equal">
      <formula>6</formula>
    </cfRule>
    <cfRule type="cellIs" dxfId="250" priority="44" operator="equal">
      <formula>5</formula>
    </cfRule>
    <cfRule type="cellIs" dxfId="249" priority="45" operator="equal">
      <formula>4</formula>
    </cfRule>
    <cfRule type="cellIs" dxfId="248" priority="46" operator="equal">
      <formula>3</formula>
    </cfRule>
    <cfRule type="cellIs" dxfId="247" priority="47" operator="equal">
      <formula>2</formula>
    </cfRule>
    <cfRule type="cellIs" dxfId="246" priority="48" operator="equal">
      <formula>1</formula>
    </cfRule>
  </conditionalFormatting>
  <conditionalFormatting sqref="N91:N104">
    <cfRule type="cellIs" dxfId="245" priority="17" operator="equal">
      <formula>16</formula>
    </cfRule>
    <cfRule type="cellIs" dxfId="244" priority="18" operator="equal">
      <formula>15</formula>
    </cfRule>
    <cfRule type="cellIs" dxfId="243" priority="19" operator="equal">
      <formula>14</formula>
    </cfRule>
    <cfRule type="cellIs" dxfId="242" priority="20" operator="equal">
      <formula>13</formula>
    </cfRule>
    <cfRule type="cellIs" dxfId="241" priority="21" operator="equal">
      <formula>12</formula>
    </cfRule>
    <cfRule type="cellIs" dxfId="240" priority="22" operator="equal">
      <formula>11</formula>
    </cfRule>
    <cfRule type="cellIs" dxfId="239" priority="23" operator="equal">
      <formula>10</formula>
    </cfRule>
    <cfRule type="cellIs" dxfId="238" priority="24" operator="equal">
      <formula>9</formula>
    </cfRule>
    <cfRule type="cellIs" dxfId="237" priority="25" operator="equal">
      <formula>8</formula>
    </cfRule>
    <cfRule type="cellIs" dxfId="236" priority="26" operator="equal">
      <formula>7</formula>
    </cfRule>
    <cfRule type="cellIs" dxfId="235" priority="27" operator="equal">
      <formula>6</formula>
    </cfRule>
    <cfRule type="cellIs" dxfId="234" priority="28" operator="equal">
      <formula>5</formula>
    </cfRule>
    <cfRule type="cellIs" dxfId="233" priority="29" operator="equal">
      <formula>4</formula>
    </cfRule>
    <cfRule type="cellIs" dxfId="232" priority="30" operator="equal">
      <formula>3</formula>
    </cfRule>
    <cfRule type="cellIs" dxfId="231" priority="31" operator="equal">
      <formula>2</formula>
    </cfRule>
    <cfRule type="cellIs" dxfId="230" priority="32" operator="equal">
      <formula>1</formula>
    </cfRule>
  </conditionalFormatting>
  <conditionalFormatting sqref="N105:N112">
    <cfRule type="cellIs" dxfId="229" priority="1" operator="equal">
      <formula>16</formula>
    </cfRule>
    <cfRule type="cellIs" dxfId="228" priority="2" operator="equal">
      <formula>15</formula>
    </cfRule>
    <cfRule type="cellIs" dxfId="227" priority="3" operator="equal">
      <formula>14</formula>
    </cfRule>
    <cfRule type="cellIs" dxfId="226" priority="4" operator="equal">
      <formula>13</formula>
    </cfRule>
    <cfRule type="cellIs" dxfId="225" priority="5" operator="equal">
      <formula>12</formula>
    </cfRule>
    <cfRule type="cellIs" dxfId="224" priority="6" operator="equal">
      <formula>11</formula>
    </cfRule>
    <cfRule type="cellIs" dxfId="223" priority="7" operator="equal">
      <formula>10</formula>
    </cfRule>
    <cfRule type="cellIs" dxfId="222" priority="8" operator="equal">
      <formula>9</formula>
    </cfRule>
    <cfRule type="cellIs" dxfId="221" priority="9" operator="equal">
      <formula>8</formula>
    </cfRule>
    <cfRule type="cellIs" dxfId="220" priority="10" operator="equal">
      <formula>7</formula>
    </cfRule>
    <cfRule type="cellIs" dxfId="219" priority="11" operator="equal">
      <formula>6</formula>
    </cfRule>
    <cfRule type="cellIs" dxfId="218" priority="12" operator="equal">
      <formula>5</formula>
    </cfRule>
    <cfRule type="cellIs" dxfId="217" priority="13" operator="equal">
      <formula>4</formula>
    </cfRule>
    <cfRule type="cellIs" dxfId="216" priority="14" operator="equal">
      <formula>3</formula>
    </cfRule>
    <cfRule type="cellIs" dxfId="215" priority="15" operator="equal">
      <formula>2</formula>
    </cfRule>
    <cfRule type="cellIs" dxfId="214" priority="16" operator="equal">
      <formula>1</formula>
    </cfRule>
  </conditionalFormatting>
  <pageMargins left="0.74803149606299213" right="0.74803149606299213" top="0.39370078740157483" bottom="0.39370078740157483" header="0.19685039370078741" footer="0.19685039370078741"/>
  <pageSetup paperSize="9" scale="36"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68" activePane="bottomRight" state="frozen"/>
      <selection pane="topRight" activeCell="B1" sqref="B1"/>
      <selection pane="bottomLeft" activeCell="A3" sqref="A3"/>
      <selection pane="bottomRight" activeCell="B87" sqref="B87"/>
    </sheetView>
  </sheetViews>
  <sheetFormatPr baseColWidth="10" defaultColWidth="8" defaultRowHeight="15" x14ac:dyDescent="0"/>
  <cols>
    <col min="1" max="1" width="21.855468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ZA1XX, 59100</v>
      </c>
      <c r="B1" s="244" t="str">
        <f>Poor!B1</f>
        <v xml:space="preserve">Open access Livestock husbandry </v>
      </c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180" t="str">
        <f>Poor!Z1</f>
        <v>Apr-Jun</v>
      </c>
      <c r="AA1" s="181"/>
      <c r="AB1" s="180" t="str">
        <f>Poor!AB1</f>
        <v>Jul-Sep</v>
      </c>
      <c r="AC1" s="181"/>
      <c r="AD1" s="180" t="str">
        <f>Poor!AD1</f>
        <v>Oct-Dec</v>
      </c>
      <c r="AE1" s="181"/>
      <c r="AF1" s="180" t="str">
        <f>Poor!AF1</f>
        <v>Jan-Mar</v>
      </c>
      <c r="AG1" s="181"/>
      <c r="AH1" s="117"/>
      <c r="AI1" s="110"/>
      <c r="AJ1" s="180" t="str">
        <f>LEFT(Z1,4) &amp; MID(AB1,5,3)</f>
        <v>Apr-Sep</v>
      </c>
      <c r="AK1" s="181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9" t="str">
        <f>Poor!Z2</f>
        <v>Q1</v>
      </c>
      <c r="AA2" s="260"/>
      <c r="AB2" s="259" t="str">
        <f>Poor!AB2</f>
        <v>Q2</v>
      </c>
      <c r="AC2" s="260"/>
      <c r="AD2" s="259" t="str">
        <f>Poor!AD2</f>
        <v>Q3</v>
      </c>
      <c r="AE2" s="260"/>
      <c r="AF2" s="259" t="str">
        <f>Poor!AF2</f>
        <v>Q4</v>
      </c>
      <c r="AG2" s="260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46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74" t="str">
        <f>IF(Poor!A6=0,"",Poor!A6)</f>
        <v>Cows' milk - season 1</v>
      </c>
      <c r="B6" s="101">
        <v>6.9722412382138402E-2</v>
      </c>
      <c r="C6" s="102">
        <v>0</v>
      </c>
      <c r="D6" s="24">
        <f t="shared" ref="D6:D29" si="0">(B6+C6)</f>
        <v>6.9722412382138402E-2</v>
      </c>
      <c r="E6" s="75">
        <f>Poor!E6</f>
        <v>0.2</v>
      </c>
      <c r="F6" s="2" t="s">
        <v>21</v>
      </c>
      <c r="H6" s="24">
        <f t="shared" ref="H6:H29" si="1">(E6*F$7/F$9)</f>
        <v>0.2</v>
      </c>
      <c r="I6" s="22">
        <f t="shared" ref="I6:I29" si="2">(D6*H6)</f>
        <v>1.3944482476427681E-2</v>
      </c>
      <c r="J6" s="24">
        <f t="shared" ref="J6:J13" si="3">IF(I$32&lt;=1+I$131,I6,B6*H6+J$33*(I6-B6*H6))</f>
        <v>1.3944482476427681E-2</v>
      </c>
      <c r="K6" s="22">
        <f t="shared" ref="K6:K31" si="4">B6</f>
        <v>6.9722412382138402E-2</v>
      </c>
      <c r="L6" s="22">
        <f t="shared" ref="L6:L29" si="5">IF(K6="","",K6*H6)</f>
        <v>1.3944482476427681E-2</v>
      </c>
      <c r="M6" s="224">
        <f t="shared" ref="M6:M31" si="6">J6</f>
        <v>1.3944482476427681E-2</v>
      </c>
      <c r="N6" s="229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5.5777929905710726E-2</v>
      </c>
      <c r="Z6" s="156">
        <f>Poor!Z6</f>
        <v>0.17</v>
      </c>
      <c r="AA6" s="121">
        <f>$M6*Z6*4</f>
        <v>9.4822480839708238E-3</v>
      </c>
      <c r="AB6" s="156">
        <f>Poor!AB6</f>
        <v>0.17</v>
      </c>
      <c r="AC6" s="121">
        <f t="shared" ref="AC6:AC29" si="7">$M6*AB6*4</f>
        <v>9.4822480839708238E-3</v>
      </c>
      <c r="AD6" s="156">
        <f>Poor!AD6</f>
        <v>0.33</v>
      </c>
      <c r="AE6" s="121">
        <f t="shared" ref="AE6:AE29" si="8">$M6*AD6*4</f>
        <v>1.8406716868884541E-2</v>
      </c>
      <c r="AF6" s="122">
        <f>1-SUM(Z6,AB6,AD6)</f>
        <v>0.32999999999999996</v>
      </c>
      <c r="AG6" s="121">
        <f>$M6*AF6*4</f>
        <v>1.8406716868884537E-2</v>
      </c>
      <c r="AH6" s="123">
        <f>SUM(Z6,AB6,AD6,AF6)</f>
        <v>1</v>
      </c>
      <c r="AI6" s="183">
        <f>SUM(AA6,AC6,AE6,AG6)/4</f>
        <v>1.3944482476427681E-2</v>
      </c>
      <c r="AJ6" s="120">
        <f>(AA6+AC6)/2</f>
        <v>9.4822480839708238E-3</v>
      </c>
      <c r="AK6" s="119">
        <f>(AE6+AG6)/2</f>
        <v>1.8406716868884537E-2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74" t="str">
        <f>IF(Poor!A7=0,"",Poor!A7)</f>
        <v>Own meat</v>
      </c>
      <c r="B7" s="101">
        <v>4.3246282245152111E-2</v>
      </c>
      <c r="C7" s="102">
        <v>0</v>
      </c>
      <c r="D7" s="24">
        <f t="shared" si="0"/>
        <v>4.3246282245152111E-2</v>
      </c>
      <c r="E7" s="75">
        <f>Poor!E7</f>
        <v>0.2</v>
      </c>
      <c r="F7" s="27">
        <v>8800</v>
      </c>
      <c r="H7" s="24">
        <f t="shared" si="1"/>
        <v>0.2</v>
      </c>
      <c r="I7" s="22">
        <f t="shared" si="2"/>
        <v>8.6492564490304232E-3</v>
      </c>
      <c r="J7" s="24">
        <f t="shared" si="3"/>
        <v>8.6492564490304232E-3</v>
      </c>
      <c r="K7" s="22">
        <f t="shared" si="4"/>
        <v>4.3246282245152111E-2</v>
      </c>
      <c r="L7" s="22">
        <f t="shared" si="5"/>
        <v>8.6492564490304232E-3</v>
      </c>
      <c r="M7" s="224">
        <f t="shared" si="6"/>
        <v>8.6492564490304232E-3</v>
      </c>
      <c r="N7" s="229">
        <v>3</v>
      </c>
      <c r="O7" s="2"/>
      <c r="P7" s="22"/>
      <c r="Q7" s="59" t="s">
        <v>71</v>
      </c>
      <c r="R7" s="222">
        <f>IF($B$81=0,0,(SUMIF($N$6:$N$28,$U7,K$6:K$28)+SUMIF($N$91:$N$118,$U7,K$91:K$118))*$B$83*$H$84*Poor!$B$81/$B$81)</f>
        <v>2890.7355865918666</v>
      </c>
      <c r="S7" s="222">
        <f>IF($B$81=0,0,(SUMIF($N$6:$N$28,$U7,L$6:L$28)+SUMIF($N$91:$N$118,$U7,L$91:L$118))*$I$83*Poor!$B$81/$B$81)</f>
        <v>554.97829584992712</v>
      </c>
      <c r="T7" s="222">
        <f>IF($B$81=0,0,(SUMIF($N$6:$N$28,$U7,M$6:M$28)+SUMIF($N$91:$N$118,$U7,M$91:M$118))*$I$83*Poor!$B$81/$B$81)</f>
        <v>1056.9227703929851</v>
      </c>
      <c r="U7" s="223">
        <v>1</v>
      </c>
      <c r="V7" s="56"/>
      <c r="W7" s="115"/>
      <c r="X7" s="118">
        <f>Poor!X7</f>
        <v>4</v>
      </c>
      <c r="Y7" s="183">
        <f t="shared" ref="Y7:Y29" si="9">M7*4</f>
        <v>3.4597025796121693E-2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3.4597025796121693E-2</v>
      </c>
      <c r="AH7" s="123">
        <f t="shared" ref="AH7:AH30" si="12">SUM(Z7,AB7,AD7,AF7)</f>
        <v>1</v>
      </c>
      <c r="AI7" s="183">
        <f t="shared" ref="AI7:AI30" si="13">SUM(AA7,AC7,AE7,AG7)/4</f>
        <v>8.6492564490304232E-3</v>
      </c>
      <c r="AJ7" s="120">
        <f t="shared" ref="AJ7:AJ31" si="14">(AA7+AC7)/2</f>
        <v>0</v>
      </c>
      <c r="AK7" s="119">
        <f t="shared" ref="AK7:AK31" si="15">(AE7+AG7)/2</f>
        <v>1.7298512898060846E-2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74" t="str">
        <f>IF(Poor!A8=0,"",Poor!A8)</f>
        <v>Green cons - Season 1: no of months</v>
      </c>
      <c r="B8" s="101">
        <v>1.3055555555555556E-2</v>
      </c>
      <c r="C8" s="102">
        <v>0</v>
      </c>
      <c r="D8" s="24">
        <f t="shared" si="0"/>
        <v>1.3055555555555556E-2</v>
      </c>
      <c r="E8" s="75">
        <f>Poor!E8</f>
        <v>0.2</v>
      </c>
      <c r="F8" s="22" t="s">
        <v>23</v>
      </c>
      <c r="H8" s="24">
        <f t="shared" si="1"/>
        <v>0.2</v>
      </c>
      <c r="I8" s="22">
        <f t="shared" si="2"/>
        <v>2.6111111111111114E-3</v>
      </c>
      <c r="J8" s="24">
        <f t="shared" si="3"/>
        <v>2.6111111111111114E-3</v>
      </c>
      <c r="K8" s="22">
        <f t="shared" si="4"/>
        <v>1.3055555555555556E-2</v>
      </c>
      <c r="L8" s="22">
        <f t="shared" si="5"/>
        <v>2.6111111111111114E-3</v>
      </c>
      <c r="M8" s="224">
        <f t="shared" si="6"/>
        <v>2.6111111111111114E-3</v>
      </c>
      <c r="N8" s="229">
        <v>1</v>
      </c>
      <c r="O8" s="2"/>
      <c r="P8" s="22"/>
      <c r="Q8" s="59" t="s">
        <v>72</v>
      </c>
      <c r="R8" s="222">
        <f>IF($B$81=0,0,(SUMIF($N$6:$N$28,$U8,K$6:K$28)+SUMIF($N$91:$N$118,$U8,K$91:K$118))*$B$83*$H$84*Poor!$B$81/$B$81)</f>
        <v>10861.045216721113</v>
      </c>
      <c r="S8" s="222">
        <f>IF($B$81=0,0,(SUMIF($N$6:$N$28,$U8,L$6:L$28)+SUMIF($N$91:$N$118,$U8,L$91:L$118))*$I$83*Poor!$B$81/$B$81)</f>
        <v>2618.1333333333337</v>
      </c>
      <c r="T8" s="222">
        <f>IF($B$81=0,0,(SUMIF($N$6:$N$28,$U8,M$6:M$28)+SUMIF($N$91:$N$118,$U8,M$91:M$118))*$I$83*Poor!$B$81/$B$81)</f>
        <v>2331.6709328477314</v>
      </c>
      <c r="U8" s="223">
        <v>2</v>
      </c>
      <c r="V8" s="56"/>
      <c r="W8" s="115"/>
      <c r="X8" s="118">
        <f>Poor!X8</f>
        <v>1</v>
      </c>
      <c r="Y8" s="183">
        <f t="shared" si="9"/>
        <v>1.0444444444444445E-2</v>
      </c>
      <c r="Z8" s="125">
        <f>IF($Y8=0,0,AA8/$Y8)</f>
        <v>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1.0444444444444445E-2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2.6111111111111114E-3</v>
      </c>
      <c r="AJ8" s="120">
        <f t="shared" si="14"/>
        <v>5.2222222222222227E-3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74" t="str">
        <f>IF(Poor!A9=0,"",Poor!A9)</f>
        <v>Maize: kg produced</v>
      </c>
      <c r="B9" s="101">
        <v>6.1736835082725483E-2</v>
      </c>
      <c r="C9" s="102">
        <v>0.23658281444582815</v>
      </c>
      <c r="D9" s="24">
        <f t="shared" si="0"/>
        <v>0.29831964952855361</v>
      </c>
      <c r="E9" s="75">
        <f>Poor!E9</f>
        <v>0.3</v>
      </c>
      <c r="F9" s="76">
        <f>Poor!F9</f>
        <v>8800</v>
      </c>
      <c r="H9" s="24">
        <f t="shared" si="1"/>
        <v>0.3</v>
      </c>
      <c r="I9" s="22">
        <f t="shared" si="2"/>
        <v>8.9495894858566086E-2</v>
      </c>
      <c r="J9" s="24">
        <f t="shared" si="3"/>
        <v>4.6408245498213971E-2</v>
      </c>
      <c r="K9" s="22">
        <f t="shared" si="4"/>
        <v>6.1736835082725483E-2</v>
      </c>
      <c r="L9" s="22">
        <f t="shared" si="5"/>
        <v>1.8521050524817645E-2</v>
      </c>
      <c r="M9" s="224">
        <f t="shared" si="6"/>
        <v>4.6408245498213971E-2</v>
      </c>
      <c r="N9" s="229">
        <v>1</v>
      </c>
      <c r="O9" s="2"/>
      <c r="P9" s="22"/>
      <c r="Q9" s="59" t="s">
        <v>73</v>
      </c>
      <c r="R9" s="222">
        <f>IF($B$81=0,0,(SUMIF($N$6:$N$28,$U9,K$6:K$28)+SUMIF($N$91:$N$118,$U9,K$91:K$118))*$B$83*$H$84*Poor!$B$81/$B$81)</f>
        <v>1916.6340270102087</v>
      </c>
      <c r="S9" s="222">
        <f>IF($B$81=0,0,(SUMIF($N$6:$N$28,$U9,L$6:L$28)+SUMIF($N$91:$N$118,$U9,L$91:L$118))*$I$83*Poor!$B$81/$B$81)</f>
        <v>311.52599663915959</v>
      </c>
      <c r="T9" s="222">
        <f>IF($B$81=0,0,(SUMIF($N$6:$N$28,$U9,M$6:M$28)+SUMIF($N$91:$N$118,$U9,M$91:M$118))*$I$83*Poor!$B$81/$B$81)</f>
        <v>311.52599663915959</v>
      </c>
      <c r="U9" s="223">
        <v>3</v>
      </c>
      <c r="V9" s="56"/>
      <c r="W9" s="115"/>
      <c r="X9" s="118">
        <f>Poor!X9</f>
        <v>1</v>
      </c>
      <c r="Y9" s="183">
        <f t="shared" si="9"/>
        <v>0.18563298199285588</v>
      </c>
      <c r="Z9" s="125">
        <f>IF($Y9=0,0,AA9/$Y9)</f>
        <v>1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0.18563298199285588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4.6408245498213971E-2</v>
      </c>
      <c r="AJ9" s="120">
        <f t="shared" si="14"/>
        <v>9.2816490996427942E-2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74" t="str">
        <f>IF(Poor!A10=0,"",Poor!A10)</f>
        <v>Beans: kg produced</v>
      </c>
      <c r="B10" s="101">
        <v>2.230452339441381E-2</v>
      </c>
      <c r="C10" s="102">
        <v>-2.7354604162960331E-3</v>
      </c>
      <c r="D10" s="24">
        <f t="shared" si="0"/>
        <v>1.9569062978117776E-2</v>
      </c>
      <c r="E10" s="75">
        <f>Poor!E10</f>
        <v>0.2</v>
      </c>
      <c r="H10" s="24">
        <f t="shared" si="1"/>
        <v>0.2</v>
      </c>
      <c r="I10" s="22">
        <f t="shared" si="2"/>
        <v>3.9138125956235557E-3</v>
      </c>
      <c r="J10" s="24">
        <f t="shared" si="3"/>
        <v>4.2459431141555759E-3</v>
      </c>
      <c r="K10" s="22">
        <f t="shared" si="4"/>
        <v>2.230452339441381E-2</v>
      </c>
      <c r="L10" s="22">
        <f t="shared" si="5"/>
        <v>4.4609046788827624E-3</v>
      </c>
      <c r="M10" s="224">
        <f t="shared" si="6"/>
        <v>4.2459431141555759E-3</v>
      </c>
      <c r="N10" s="229">
        <v>1</v>
      </c>
      <c r="O10" s="2"/>
      <c r="P10" s="22"/>
      <c r="Q10" s="59" t="s">
        <v>74</v>
      </c>
      <c r="R10" s="222">
        <f>IF($B$81=0,0,(SUMIF($N$6:$N$28,$U10,K$6:K$28)+SUMIF($N$91:$N$118,$U10,K$91:K$118))*$B$83*$H$84*Poor!$B$81/$B$81)</f>
        <v>0</v>
      </c>
      <c r="S10" s="222">
        <f>IF($B$81=0,0,(SUMIF($N$6:$N$28,$U10,L$6:L$28)+SUMIF($N$91:$N$118,$U10,L$91:L$118))*$I$83*Poor!$B$81/$B$81)</f>
        <v>0</v>
      </c>
      <c r="T10" s="222">
        <f>IF($B$81=0,0,(SUMIF($N$6:$N$28,$U10,M$6:M$28)+SUMIF($N$91:$N$118,$U10,M$91:M$118))*$I$83*Poor!$B$81/$B$81)</f>
        <v>0</v>
      </c>
      <c r="U10" s="223">
        <v>4</v>
      </c>
      <c r="V10" s="56"/>
      <c r="W10" s="115"/>
      <c r="X10" s="118">
        <f>Poor!X10</f>
        <v>1</v>
      </c>
      <c r="Y10" s="183">
        <f t="shared" si="9"/>
        <v>1.6983772456622304E-2</v>
      </c>
      <c r="Z10" s="125">
        <f>IF($Y10=0,0,AA10/$Y10)</f>
        <v>1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1.6983772456622304E-2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0</v>
      </c>
      <c r="AG10" s="121">
        <f t="shared" si="11"/>
        <v>0</v>
      </c>
      <c r="AH10" s="123">
        <f t="shared" si="12"/>
        <v>1</v>
      </c>
      <c r="AI10" s="183">
        <f t="shared" si="13"/>
        <v>4.2459431141555759E-3</v>
      </c>
      <c r="AJ10" s="120">
        <f t="shared" si="14"/>
        <v>8.4918862283111518E-3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74" t="str">
        <f>IF(Poor!A11=0,"",Poor!A11)</f>
        <v>Potatoes: no. local meas</v>
      </c>
      <c r="B11" s="101">
        <v>3.9828717310087171E-2</v>
      </c>
      <c r="C11" s="102">
        <v>0.10427895392278953</v>
      </c>
      <c r="D11" s="24">
        <f t="shared" si="0"/>
        <v>0.14410767123287671</v>
      </c>
      <c r="E11" s="75">
        <f>Poor!E11</f>
        <v>0.2</v>
      </c>
      <c r="H11" s="24">
        <f t="shared" si="1"/>
        <v>0.2</v>
      </c>
      <c r="I11" s="22">
        <f t="shared" si="2"/>
        <v>2.8821534246575343E-2</v>
      </c>
      <c r="J11" s="24">
        <f t="shared" si="3"/>
        <v>1.6160330000290039E-2</v>
      </c>
      <c r="K11" s="22">
        <f t="shared" si="4"/>
        <v>3.9828717310087171E-2</v>
      </c>
      <c r="L11" s="22">
        <f t="shared" si="5"/>
        <v>7.9657434620174338E-3</v>
      </c>
      <c r="M11" s="224">
        <f t="shared" si="6"/>
        <v>1.6160330000290039E-2</v>
      </c>
      <c r="N11" s="229">
        <v>1</v>
      </c>
      <c r="O11" s="2"/>
      <c r="P11" s="22"/>
      <c r="Q11" s="59" t="s">
        <v>75</v>
      </c>
      <c r="R11" s="222">
        <f>IF($B$81=0,0,(SUMIF($N$6:$N$28,$U11,K$6:K$28)+SUMIF($N$91:$N$118,$U11,K$91:K$118))*$B$83*$H$84*Poor!$B$81/$B$81)</f>
        <v>21797.091177278024</v>
      </c>
      <c r="S11" s="222">
        <f>IF($B$81=0,0,(SUMIF($N$6:$N$28,$U11,L$6:L$28)+SUMIF($N$91:$N$118,$U11,L$91:L$118))*$I$83*Poor!$B$81/$B$81)</f>
        <v>10766.095238095239</v>
      </c>
      <c r="T11" s="222">
        <f>IF($B$81=0,0,(SUMIF($N$6:$N$28,$U11,M$6:M$28)+SUMIF($N$91:$N$118,$U11,M$91:M$118))*$I$83*Poor!$B$81/$B$81)</f>
        <v>10872.07045992814</v>
      </c>
      <c r="U11" s="223">
        <v>5</v>
      </c>
      <c r="V11" s="56"/>
      <c r="W11" s="115"/>
      <c r="X11" s="118">
        <f>Poor!X11</f>
        <v>1</v>
      </c>
      <c r="Y11" s="183">
        <f t="shared" si="9"/>
        <v>6.4641320001160157E-2</v>
      </c>
      <c r="Z11" s="125">
        <f>IF($Y11=0,0,AA11/$Y11)</f>
        <v>1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6.4641320001160157E-2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1.6160330000290039E-2</v>
      </c>
      <c r="AJ11" s="120">
        <f t="shared" si="14"/>
        <v>3.2320660000580079E-2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74" t="str">
        <f>IF(Poor!A12=0,"",Poor!A12)</f>
        <v>Cabbage: no. local meas</v>
      </c>
      <c r="B12" s="101">
        <v>3.2919453833837394E-3</v>
      </c>
      <c r="C12" s="102">
        <v>4.0711172389254583E-4</v>
      </c>
      <c r="D12" s="24">
        <f t="shared" si="0"/>
        <v>3.699057107276285E-3</v>
      </c>
      <c r="E12" s="75">
        <f>Poor!E12</f>
        <v>0.2</v>
      </c>
      <c r="H12" s="24">
        <f t="shared" si="1"/>
        <v>0.2</v>
      </c>
      <c r="I12" s="22">
        <f t="shared" si="2"/>
        <v>7.3981142145525703E-4</v>
      </c>
      <c r="J12" s="24">
        <f t="shared" si="3"/>
        <v>6.9038126806996944E-4</v>
      </c>
      <c r="K12" s="22">
        <f t="shared" si="4"/>
        <v>3.2919453833837394E-3</v>
      </c>
      <c r="L12" s="22">
        <f t="shared" si="5"/>
        <v>6.5838907667674796E-4</v>
      </c>
      <c r="M12" s="224">
        <f t="shared" si="6"/>
        <v>6.9038126806996944E-4</v>
      </c>
      <c r="N12" s="229">
        <v>1</v>
      </c>
      <c r="O12" s="2"/>
      <c r="P12" s="22"/>
      <c r="Q12" s="126" t="s">
        <v>124</v>
      </c>
      <c r="R12" s="222">
        <f>IF($B$81=0,0,(SUMIF($N$6:$N$28,$U12,K$6:K$28)+SUMIF($N$91:$N$118,$U12,K$91:K$118))*$B$83*$H$84*Poor!$B$81/$B$81)</f>
        <v>85.117058498518091</v>
      </c>
      <c r="S12" s="222">
        <f>IF($B$81=0,0,(SUMIF($N$6:$N$28,$U12,L$6:L$28)+SUMIF($N$91:$N$118,$U12,L$91:L$118))*$I$83*Poor!$B$81/$B$81)</f>
        <v>69.17381228253457</v>
      </c>
      <c r="T12" s="222">
        <f>IF($B$81=0,0,(SUMIF($N$6:$N$28,$U12,M$6:M$28)+SUMIF($N$91:$N$118,$U12,M$91:M$118))*$I$83*Poor!$B$81/$B$81)</f>
        <v>75.968697175501106</v>
      </c>
      <c r="U12" s="223">
        <v>6</v>
      </c>
      <c r="V12" s="56"/>
      <c r="W12" s="117"/>
      <c r="X12" s="118"/>
      <c r="Y12" s="183">
        <f t="shared" si="9"/>
        <v>2.7615250722798777E-3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1.8502217984275181E-3</v>
      </c>
      <c r="AF12" s="122">
        <f>1-SUM(Z12,AB12,AD12)</f>
        <v>0.32999999999999996</v>
      </c>
      <c r="AG12" s="121">
        <f>$M12*AF12*4</f>
        <v>9.1130327385235954E-4</v>
      </c>
      <c r="AH12" s="123">
        <f t="shared" si="12"/>
        <v>1</v>
      </c>
      <c r="AI12" s="183">
        <f t="shared" si="13"/>
        <v>6.9038126806996944E-4</v>
      </c>
      <c r="AJ12" s="120">
        <f t="shared" si="14"/>
        <v>0</v>
      </c>
      <c r="AK12" s="119">
        <f t="shared" si="15"/>
        <v>1.3807625361399389E-3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74" t="str">
        <f>IF(Poor!A13=0,"",Poor!A13)</f>
        <v>beetroot: no. local meas</v>
      </c>
      <c r="B13" s="101">
        <v>4.1629603273438896E-4</v>
      </c>
      <c r="C13" s="102">
        <v>0</v>
      </c>
      <c r="D13" s="24">
        <f t="shared" si="0"/>
        <v>4.1629603273438896E-4</v>
      </c>
      <c r="E13" s="75">
        <f>Poor!E13</f>
        <v>0.2</v>
      </c>
      <c r="H13" s="24">
        <f t="shared" si="1"/>
        <v>0.2</v>
      </c>
      <c r="I13" s="22">
        <f t="shared" si="2"/>
        <v>8.3259206546877797E-5</v>
      </c>
      <c r="J13" s="24">
        <f t="shared" si="3"/>
        <v>8.3259206546877797E-5</v>
      </c>
      <c r="K13" s="22">
        <f t="shared" si="4"/>
        <v>4.1629603273438896E-4</v>
      </c>
      <c r="L13" s="22">
        <f t="shared" si="5"/>
        <v>8.3259206546877797E-5</v>
      </c>
      <c r="M13" s="225">
        <f t="shared" si="6"/>
        <v>8.3259206546877797E-5</v>
      </c>
      <c r="N13" s="229">
        <v>1</v>
      </c>
      <c r="O13" s="2"/>
      <c r="P13" s="22"/>
      <c r="Q13" s="59" t="s">
        <v>76</v>
      </c>
      <c r="R13" s="222">
        <f>IF($B$81=0,0,(SUMIF($N$6:$N$28,$U13,K$6:K$28)+SUMIF($N$91:$N$118,$U13,K$91:K$118))*$B$83*$H$84*Poor!$B$81/$B$81)</f>
        <v>59625.591349457311</v>
      </c>
      <c r="S13" s="222">
        <f>IF($B$81=0,0,(SUMIF($N$6:$N$28,$U13,L$6:L$28)+SUMIF($N$91:$N$118,$U13,L$91:L$118))*$I$83*Poor!$B$81/$B$81)</f>
        <v>26893.71428571429</v>
      </c>
      <c r="T13" s="222">
        <f>IF($B$81=0,0,(SUMIF($N$6:$N$28,$U13,M$6:M$28)+SUMIF($N$91:$N$118,$U13,M$91:M$118))*$I$83*Poor!$B$81/$B$81)</f>
        <v>26893.71428571429</v>
      </c>
      <c r="U13" s="223">
        <v>7</v>
      </c>
      <c r="V13" s="56"/>
      <c r="W13" s="110"/>
      <c r="X13" s="118"/>
      <c r="Y13" s="183">
        <f t="shared" si="9"/>
        <v>3.3303682618751119E-4</v>
      </c>
      <c r="Z13" s="156">
        <f>Poor!Z13</f>
        <v>1</v>
      </c>
      <c r="AA13" s="121">
        <f>$M13*Z13*4</f>
        <v>3.3303682618751119E-4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8.3259206546877797E-5</v>
      </c>
      <c r="AJ13" s="120">
        <f t="shared" si="14"/>
        <v>1.6651841309375559E-4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74" t="str">
        <f>IF(Poor!A14=0,"",Poor!A14)</f>
        <v>Groundnuts (dry): no. local meas</v>
      </c>
      <c r="B14" s="101">
        <v>1.7969498309909269E-2</v>
      </c>
      <c r="C14" s="102">
        <v>0</v>
      </c>
      <c r="D14" s="24">
        <f t="shared" si="0"/>
        <v>1.7969498309909269E-2</v>
      </c>
      <c r="E14" s="75">
        <f>Poor!E14</f>
        <v>0.2</v>
      </c>
      <c r="F14" s="22"/>
      <c r="H14" s="24">
        <f t="shared" si="1"/>
        <v>0.2</v>
      </c>
      <c r="I14" s="22">
        <f t="shared" si="2"/>
        <v>3.5938996619818541E-3</v>
      </c>
      <c r="J14" s="24">
        <f>IF(I$32&lt;=1+I131,I14,B14*H14+J$33*(I14-B14*H14))</f>
        <v>3.5938996619818541E-3</v>
      </c>
      <c r="K14" s="22">
        <f t="shared" si="4"/>
        <v>1.7969498309909269E-2</v>
      </c>
      <c r="L14" s="22">
        <f t="shared" si="5"/>
        <v>3.5938996619818541E-3</v>
      </c>
      <c r="M14" s="225">
        <f t="shared" si="6"/>
        <v>3.5938996619818541E-3</v>
      </c>
      <c r="N14" s="229">
        <v>1</v>
      </c>
      <c r="O14" s="2"/>
      <c r="P14" s="22"/>
      <c r="Q14" s="126" t="s">
        <v>77</v>
      </c>
      <c r="R14" s="222">
        <f>IF($B$81=0,0,(SUMIF($N$6:$N$28,$U14,K$6:K$28)+SUMIF($N$91:$N$118,$U14,K$91:K$118))*$B$83*$H$84*Poor!$B$81/$B$81)</f>
        <v>28209.654775238527</v>
      </c>
      <c r="S14" s="222">
        <f>IF($B$81=0,0,(SUMIF($N$6:$N$28,$U14,L$6:L$28)+SUMIF($N$91:$N$118,$U14,L$91:L$118))*$I$83*Poor!$B$81/$B$81)</f>
        <v>10820.937142857143</v>
      </c>
      <c r="T14" s="222">
        <f>IF($B$81=0,0,(SUMIF($N$6:$N$28,$U14,M$6:M$28)+SUMIF($N$91:$N$118,$U14,M$91:M$118))*$I$83*Poor!$B$81/$B$81)</f>
        <v>10820.937142857143</v>
      </c>
      <c r="U14" s="223">
        <v>8</v>
      </c>
      <c r="V14" s="56"/>
      <c r="W14" s="110"/>
      <c r="X14" s="118"/>
      <c r="Y14" s="183">
        <f>M14*4</f>
        <v>1.4375598647927416E-2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1.4375598647927416E-2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3.5938996619818541E-3</v>
      </c>
      <c r="AJ14" s="120">
        <f t="shared" si="14"/>
        <v>7.1877993239637082E-3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74" t="str">
        <f>IF(Poor!A15=0,"",Poor!A15)</f>
        <v>Cow peas</v>
      </c>
      <c r="B15" s="101">
        <v>0</v>
      </c>
      <c r="C15" s="102">
        <v>0</v>
      </c>
      <c r="D15" s="24">
        <f t="shared" si="0"/>
        <v>0</v>
      </c>
      <c r="E15" s="75">
        <f>Poor!E15</f>
        <v>0.2</v>
      </c>
      <c r="F15" s="22"/>
      <c r="H15" s="24">
        <f t="shared" si="1"/>
        <v>0.2</v>
      </c>
      <c r="I15" s="22">
        <f t="shared" si="2"/>
        <v>0</v>
      </c>
      <c r="J15" s="24">
        <f>IF(I$32&lt;=1+I131,I15,B15*H15+J$33*(I15-B15*H15))</f>
        <v>0</v>
      </c>
      <c r="K15" s="22">
        <f t="shared" si="4"/>
        <v>0</v>
      </c>
      <c r="L15" s="22">
        <f t="shared" si="5"/>
        <v>0</v>
      </c>
      <c r="M15" s="226">
        <f t="shared" si="6"/>
        <v>0</v>
      </c>
      <c r="N15" s="229">
        <v>1</v>
      </c>
      <c r="O15" s="2"/>
      <c r="P15" s="22"/>
      <c r="Q15" s="59" t="s">
        <v>126</v>
      </c>
      <c r="R15" s="222">
        <f>IF($B$81=0,0,(SUMIF($N$6:$N$28,$U15,K$6:K$28)+SUMIF($N$91:$N$118,$U15,K$91:K$118))*$B$83*$H$84*Poor!$B$81/$B$81)</f>
        <v>1171.8866224343024</v>
      </c>
      <c r="S15" s="222">
        <f>IF($B$81=0,0,(SUMIF($N$6:$N$28,$U15,L$6:L$28)+SUMIF($N$91:$N$118,$U15,L$91:L$118))*$I$83*Poor!$B$81/$B$81)</f>
        <v>1123.8095238095236</v>
      </c>
      <c r="T15" s="222">
        <f>IF($B$81=0,0,(SUMIF($N$6:$N$28,$U15,M$6:M$28)+SUMIF($N$91:$N$118,$U15,M$91:M$118))*$I$83*Poor!$B$81/$B$81)</f>
        <v>1123.8095238095236</v>
      </c>
      <c r="U15" s="223">
        <v>9</v>
      </c>
      <c r="V15" s="56"/>
      <c r="W15" s="110"/>
      <c r="X15" s="118"/>
      <c r="Y15" s="183">
        <f t="shared" si="9"/>
        <v>0</v>
      </c>
      <c r="Z15" s="156">
        <f>Poor!Z15</f>
        <v>0.25</v>
      </c>
      <c r="AA15" s="121">
        <f t="shared" si="16"/>
        <v>0</v>
      </c>
      <c r="AB15" s="156">
        <f>Poor!AB15</f>
        <v>0.25</v>
      </c>
      <c r="AC15" s="121">
        <f t="shared" si="7"/>
        <v>0</v>
      </c>
      <c r="AD15" s="156">
        <f>Poor!AD15</f>
        <v>0.25</v>
      </c>
      <c r="AE15" s="121">
        <f t="shared" si="8"/>
        <v>0</v>
      </c>
      <c r="AF15" s="122">
        <f t="shared" si="10"/>
        <v>0.25</v>
      </c>
      <c r="AG15" s="121">
        <f t="shared" si="11"/>
        <v>0</v>
      </c>
      <c r="AH15" s="123">
        <f t="shared" si="12"/>
        <v>1</v>
      </c>
      <c r="AI15" s="183">
        <f t="shared" si="13"/>
        <v>0</v>
      </c>
      <c r="AJ15" s="120">
        <f t="shared" si="14"/>
        <v>0</v>
      </c>
      <c r="AK15" s="119">
        <f t="shared" si="15"/>
        <v>0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74" t="str">
        <f>IF(Poor!A16=0,"",Poor!A16)</f>
        <v>Other crop: Spinach</v>
      </c>
      <c r="B16" s="101">
        <v>7.7619640633339265E-4</v>
      </c>
      <c r="C16" s="102">
        <v>1.4899484077566266E-4</v>
      </c>
      <c r="D16" s="24">
        <f t="shared" si="0"/>
        <v>9.2519124710905534E-4</v>
      </c>
      <c r="E16" s="75">
        <f>Poor!E16</f>
        <v>0.2</v>
      </c>
      <c r="F16" s="22"/>
      <c r="H16" s="24">
        <f t="shared" si="1"/>
        <v>0.2</v>
      </c>
      <c r="I16" s="22">
        <f t="shared" si="2"/>
        <v>1.8503824942181109E-4</v>
      </c>
      <c r="J16" s="24">
        <f>IF(I$32&lt;=1+I131,I16,B16*H16+J$33*(I16-B16*H16))</f>
        <v>1.6694779070758006E-4</v>
      </c>
      <c r="K16" s="22">
        <f t="shared" si="4"/>
        <v>7.7619640633339265E-4</v>
      </c>
      <c r="L16" s="22">
        <f t="shared" si="5"/>
        <v>1.5523928126667854E-4</v>
      </c>
      <c r="M16" s="224">
        <f t="shared" si="6"/>
        <v>1.6694779070758006E-4</v>
      </c>
      <c r="N16" s="229">
        <v>1</v>
      </c>
      <c r="O16" s="2"/>
      <c r="P16" s="22"/>
      <c r="Q16" s="126" t="s">
        <v>78</v>
      </c>
      <c r="R16" s="222">
        <f>IF($B$81=0,0,(SUMIF($N$6:$N$28,$U16,K$6:K$28)+SUMIF($N$91:$N$118,$U16,K$91:K$118))*$B$83*$H$84*Poor!$B$81/$B$81)</f>
        <v>0</v>
      </c>
      <c r="S16" s="222">
        <f>IF($B$81=0,0,(SUMIF($N$6:$N$28,$U16,L$6:L$28)+SUMIF($N$91:$N$118,$U16,L$91:L$118))*$I$83*Poor!$B$81/$B$81)</f>
        <v>0</v>
      </c>
      <c r="T16" s="222">
        <f>IF($B$81=0,0,(SUMIF($N$6:$N$28,$U16,M$6:M$28)+SUMIF($N$91:$N$118,$U16,M$91:M$118))*$I$83*Poor!$B$81/$B$81)</f>
        <v>0</v>
      </c>
      <c r="U16" s="223">
        <v>10</v>
      </c>
      <c r="V16" s="56"/>
      <c r="W16" s="110"/>
      <c r="X16" s="118"/>
      <c r="Y16" s="183">
        <f t="shared" si="9"/>
        <v>6.6779116283032024E-4</v>
      </c>
      <c r="Z16" s="156">
        <f>Poor!Z16</f>
        <v>0</v>
      </c>
      <c r="AA16" s="121">
        <f t="shared" si="16"/>
        <v>0</v>
      </c>
      <c r="AB16" s="156">
        <f>Poor!AB16</f>
        <v>0</v>
      </c>
      <c r="AC16" s="121">
        <f t="shared" si="7"/>
        <v>0</v>
      </c>
      <c r="AD16" s="156">
        <f>Poor!AD16</f>
        <v>0</v>
      </c>
      <c r="AE16" s="121">
        <f t="shared" si="8"/>
        <v>0</v>
      </c>
      <c r="AF16" s="122">
        <f t="shared" si="10"/>
        <v>1</v>
      </c>
      <c r="AG16" s="121">
        <f t="shared" si="11"/>
        <v>6.6779116283032024E-4</v>
      </c>
      <c r="AH16" s="123">
        <f t="shared" si="12"/>
        <v>1</v>
      </c>
      <c r="AI16" s="183">
        <f t="shared" si="13"/>
        <v>1.6694779070758006E-4</v>
      </c>
      <c r="AJ16" s="120">
        <f t="shared" si="14"/>
        <v>0</v>
      </c>
      <c r="AK16" s="119">
        <f t="shared" si="15"/>
        <v>3.3389558141516012E-4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74" t="str">
        <f>IF(Poor!A17=0,"",Poor!A17)</f>
        <v>Other crop: pumpkin</v>
      </c>
      <c r="B17" s="101">
        <v>3.7118341932040563E-3</v>
      </c>
      <c r="C17" s="102">
        <v>1.6138409535669819E-4</v>
      </c>
      <c r="D17" s="24">
        <f t="shared" si="0"/>
        <v>3.8732182885607546E-3</v>
      </c>
      <c r="E17" s="75">
        <f>Poor!E17</f>
        <v>0.2</v>
      </c>
      <c r="F17" s="22"/>
      <c r="H17" s="24">
        <f t="shared" si="1"/>
        <v>0.2</v>
      </c>
      <c r="I17" s="22">
        <f t="shared" si="2"/>
        <v>7.7464365771215101E-4</v>
      </c>
      <c r="J17" s="24">
        <f t="shared" ref="J17:J25" si="17">IF(I$32&lt;=1+I131,I17,B17*H17+J$33*(I17-B17*H17))</f>
        <v>7.5504893685480459E-4</v>
      </c>
      <c r="K17" s="22">
        <f t="shared" si="4"/>
        <v>3.7118341932040563E-3</v>
      </c>
      <c r="L17" s="22">
        <f t="shared" si="5"/>
        <v>7.4236683864081126E-4</v>
      </c>
      <c r="M17" s="225">
        <f t="shared" si="6"/>
        <v>7.5504893685480459E-4</v>
      </c>
      <c r="N17" s="229">
        <v>1</v>
      </c>
      <c r="O17" s="2"/>
      <c r="P17" s="22"/>
      <c r="Q17" s="126" t="s">
        <v>125</v>
      </c>
      <c r="R17" s="222">
        <f>IF($B$81=0,0,(SUMIF($N$6:$N$28,$U17,K$6:K$28)+SUMIF($N$91:$N$118,$U17,K$91:K$118))*$B$83*$H$84*Poor!$B$81/$B$81)</f>
        <v>0</v>
      </c>
      <c r="S17" s="222">
        <f>IF($B$81=0,0,(SUMIF($N$6:$N$28,$U17,L$6:L$28)+SUMIF($N$91:$N$118,$U17,L$91:L$118))*$I$83*Poor!$B$81/$B$81)</f>
        <v>0</v>
      </c>
      <c r="T17" s="222">
        <f>IF($B$81=0,0,(SUMIF($N$6:$N$28,$U17,M$6:M$28)+SUMIF($N$91:$N$118,$U17,M$91:M$118))*$I$83*Poor!$B$81/$B$81)</f>
        <v>0</v>
      </c>
      <c r="U17" s="223">
        <v>11</v>
      </c>
      <c r="V17" s="56"/>
      <c r="W17" s="110"/>
      <c r="X17" s="118"/>
      <c r="Y17" s="183">
        <f t="shared" si="9"/>
        <v>3.0201957474192184E-3</v>
      </c>
      <c r="Z17" s="156">
        <f>Poor!Z17</f>
        <v>0.29409999999999997</v>
      </c>
      <c r="AA17" s="121">
        <f t="shared" si="16"/>
        <v>8.88239569315992E-4</v>
      </c>
      <c r="AB17" s="156">
        <f>Poor!AB17</f>
        <v>0.17649999999999999</v>
      </c>
      <c r="AC17" s="121">
        <f t="shared" si="7"/>
        <v>5.3306454941949198E-4</v>
      </c>
      <c r="AD17" s="156">
        <f>Poor!AD17</f>
        <v>0.23530000000000001</v>
      </c>
      <c r="AE17" s="121">
        <f t="shared" si="8"/>
        <v>7.1065205936774215E-4</v>
      </c>
      <c r="AF17" s="122">
        <f t="shared" si="10"/>
        <v>0.29410000000000003</v>
      </c>
      <c r="AG17" s="121">
        <f t="shared" si="11"/>
        <v>8.8823956931599222E-4</v>
      </c>
      <c r="AH17" s="123">
        <f t="shared" si="12"/>
        <v>1</v>
      </c>
      <c r="AI17" s="183">
        <f t="shared" si="13"/>
        <v>7.5504893685480459E-4</v>
      </c>
      <c r="AJ17" s="120">
        <f t="shared" si="14"/>
        <v>7.1065205936774204E-4</v>
      </c>
      <c r="AK17" s="119">
        <f t="shared" si="15"/>
        <v>7.9944581434186713E-4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74" t="str">
        <f>IF(Poor!A18=0,"",Poor!A18)</f>
        <v>Sweet Potatoes: kg produced</v>
      </c>
      <c r="B18" s="101">
        <v>2.4844333748443334E-3</v>
      </c>
      <c r="C18" s="102">
        <v>0</v>
      </c>
      <c r="D18" s="24">
        <f t="shared" ref="D18:D25" si="18">(B18+C18)</f>
        <v>2.4844333748443334E-3</v>
      </c>
      <c r="E18" s="75">
        <f>Poor!E18</f>
        <v>0.2</v>
      </c>
      <c r="F18" s="22"/>
      <c r="H18" s="24">
        <f t="shared" ref="H18:H25" si="19">(E18*F$7/F$9)</f>
        <v>0.2</v>
      </c>
      <c r="I18" s="22">
        <f t="shared" ref="I18:I25" si="20">(D18*H18)</f>
        <v>4.968866749688667E-4</v>
      </c>
      <c r="J18" s="24">
        <f t="shared" si="17"/>
        <v>4.968866749688667E-4</v>
      </c>
      <c r="K18" s="22">
        <f t="shared" ref="K18:K25" si="21">B18</f>
        <v>2.4844333748443334E-3</v>
      </c>
      <c r="L18" s="22">
        <f t="shared" ref="L18:L25" si="22">IF(K18="","",K18*H18)</f>
        <v>4.968866749688667E-4</v>
      </c>
      <c r="M18" s="225">
        <f t="shared" ref="M18:M25" si="23">J18</f>
        <v>4.968866749688667E-4</v>
      </c>
      <c r="N18" s="229">
        <v>1</v>
      </c>
      <c r="O18" s="2"/>
      <c r="P18" s="22"/>
      <c r="Q18" s="59" t="s">
        <v>79</v>
      </c>
      <c r="R18" s="222">
        <f>IF($B$81=0,0,(SUMIF($N$6:$N$28,$U18,K$6:K$28)+SUMIF($N$91:$N$118,$U18,K$91:K$118))*$B$83*$H$84*Poor!$B$81/$B$81)</f>
        <v>2307.4028516274425</v>
      </c>
      <c r="S18" s="222">
        <f>IF($B$81=0,0,(SUMIF($N$6:$N$28,$U18,L$6:L$28)+SUMIF($N$91:$N$118,$U18,L$91:L$118))*$I$83*Poor!$B$81/$B$81)</f>
        <v>1875.2040370549289</v>
      </c>
      <c r="T18" s="222">
        <f>IF($B$81=0,0,(SUMIF($N$6:$N$28,$U18,M$6:M$28)+SUMIF($N$91:$N$118,$U18,M$91:M$118))*$I$83*Poor!$B$81/$B$81)</f>
        <v>1875.2040370549289</v>
      </c>
      <c r="U18" s="223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74" t="str">
        <f>IF(Poor!A19=0,"",Poor!A19)</f>
        <v>Amadumbe: kg produced</v>
      </c>
      <c r="B19" s="101">
        <v>4.8075668623613821E-3</v>
      </c>
      <c r="C19" s="102">
        <v>6.118721461187214E-3</v>
      </c>
      <c r="D19" s="24">
        <f t="shared" si="18"/>
        <v>1.0926288323548597E-2</v>
      </c>
      <c r="E19" s="75">
        <f>Poor!E19</f>
        <v>0.2</v>
      </c>
      <c r="F19" s="22"/>
      <c r="H19" s="24">
        <f t="shared" si="19"/>
        <v>0.2</v>
      </c>
      <c r="I19" s="22">
        <f t="shared" si="20"/>
        <v>2.1852576647097195E-3</v>
      </c>
      <c r="J19" s="24">
        <f t="shared" si="17"/>
        <v>1.4423428268452989E-3</v>
      </c>
      <c r="K19" s="22">
        <f t="shared" si="21"/>
        <v>4.8075668623613821E-3</v>
      </c>
      <c r="L19" s="22">
        <f t="shared" si="22"/>
        <v>9.6151337247227643E-4</v>
      </c>
      <c r="M19" s="225">
        <f t="shared" si="23"/>
        <v>1.4423428268452989E-3</v>
      </c>
      <c r="N19" s="229">
        <v>1</v>
      </c>
      <c r="O19" s="2"/>
      <c r="P19" s="22"/>
      <c r="Q19" s="59" t="s">
        <v>80</v>
      </c>
      <c r="R19" s="222">
        <f>IF($B$81=0,0,(SUMIF($N$6:$N$28,$U19,K$6:K$28)+SUMIF($N$91:$N$118,$U19,K$91:K$118))*$B$83*$H$84*Poor!$B$81/$B$81)</f>
        <v>0</v>
      </c>
      <c r="S19" s="222">
        <f>IF($B$81=0,0,(SUMIF($N$6:$N$28,$U19,L$6:L$28)+SUMIF($N$91:$N$118,$U19,L$91:L$118))*$I$83*Poor!$B$81/$B$81)</f>
        <v>0</v>
      </c>
      <c r="T19" s="222">
        <f>IF($B$81=0,0,(SUMIF($N$6:$N$28,$U19,M$6:M$28)+SUMIF($N$91:$N$118,$U19,M$91:M$118))*$I$83*Poor!$B$81/$B$81)</f>
        <v>0</v>
      </c>
      <c r="U19" s="223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74" t="str">
        <f>IF(Poor!A20=0,"",Poor!A20)</f>
        <v>Green Pepper/ Brinjal / Beetroot: kg produced</v>
      </c>
      <c r="B20" s="101">
        <v>0</v>
      </c>
      <c r="C20" s="102">
        <v>0</v>
      </c>
      <c r="D20" s="24">
        <f t="shared" si="18"/>
        <v>0</v>
      </c>
      <c r="E20" s="75">
        <f>Poor!E20</f>
        <v>0.2</v>
      </c>
      <c r="F20" s="22"/>
      <c r="H20" s="24">
        <f t="shared" si="19"/>
        <v>0.2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5">
        <f t="shared" si="23"/>
        <v>0</v>
      </c>
      <c r="N20" s="229">
        <v>1</v>
      </c>
      <c r="O20" s="2"/>
      <c r="P20" s="22"/>
      <c r="Q20" s="59" t="s">
        <v>81</v>
      </c>
      <c r="R20" s="222">
        <f>IF($B$81=0,0,(SUMIF($N$6:$N$28,$U20,K$6:K$28)+SUMIF($N$91:$N$118,$U20,K$91:K$118))*$B$83*$H$84*Poor!$B$81/$B$81)</f>
        <v>9343.217663344205</v>
      </c>
      <c r="S20" s="222">
        <f>IF($B$81=0,0,(SUMIF($N$6:$N$28,$U20,L$6:L$28)+SUMIF($N$91:$N$118,$U20,L$91:L$118))*$I$83*Poor!$B$81/$B$81)</f>
        <v>8959.9085714285702</v>
      </c>
      <c r="T20" s="222">
        <f>IF($B$81=0,0,(SUMIF($N$6:$N$28,$U20,M$6:M$28)+SUMIF($N$91:$N$118,$U20,M$91:M$118))*$I$83*Poor!$B$81/$B$81)</f>
        <v>8959.9085714285702</v>
      </c>
      <c r="U20" s="223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74" t="str">
        <f>IF(Poor!A21=0,"",Poor!A21)</f>
        <v>FISHING -- see worksheet Data 3</v>
      </c>
      <c r="B21" s="101">
        <v>5.0169009073118666E-3</v>
      </c>
      <c r="C21" s="102">
        <v>1.2542252268279649E-3</v>
      </c>
      <c r="D21" s="24">
        <f t="shared" si="18"/>
        <v>6.2711261341398313E-3</v>
      </c>
      <c r="E21" s="75">
        <f>Poor!E21</f>
        <v>1</v>
      </c>
      <c r="F21" s="22"/>
      <c r="H21" s="24">
        <f t="shared" si="19"/>
        <v>1</v>
      </c>
      <c r="I21" s="22">
        <f t="shared" si="20"/>
        <v>6.2711261341398313E-3</v>
      </c>
      <c r="J21" s="24">
        <f t="shared" si="17"/>
        <v>5.509706827063243E-3</v>
      </c>
      <c r="K21" s="22">
        <f t="shared" si="21"/>
        <v>5.0169009073118666E-3</v>
      </c>
      <c r="L21" s="22">
        <f t="shared" si="22"/>
        <v>5.0169009073118666E-3</v>
      </c>
      <c r="M21" s="225">
        <f t="shared" si="23"/>
        <v>5.509706827063243E-3</v>
      </c>
      <c r="N21" s="229">
        <v>6</v>
      </c>
      <c r="O21" s="2"/>
      <c r="P21" s="22"/>
      <c r="Q21" s="59" t="s">
        <v>82</v>
      </c>
      <c r="R21" s="222">
        <f>IF($B$81=0,0,(SUMIF($N$6:$N$28,$U21,K$6:K$28)+SUMIF($N$91:$N$118,$U21,K$91:K$118))*$B$83*$H$84*Poor!$B$81/$B$81)</f>
        <v>6257.8745637991742</v>
      </c>
      <c r="S21" s="222">
        <f>IF($B$81=0,0,(SUMIF($N$6:$N$28,$U21,L$6:L$28)+SUMIF($N$91:$N$118,$U21,L$91:L$118))*$I$83*Poor!$B$81/$B$81)</f>
        <v>5645.1428571428569</v>
      </c>
      <c r="T21" s="222">
        <f>IF($B$81=0,0,(SUMIF($N$6:$N$28,$U21,M$6:M$28)+SUMIF($N$91:$N$118,$U21,M$91:M$118))*$I$83*Poor!$B$81/$B$81)</f>
        <v>5645.1428571428569</v>
      </c>
      <c r="U21" s="223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74" t="str">
        <f>IF(Poor!A22=0,"",Poor!A22)</f>
        <v>WILD FOODS -- see worksheet Data 3</v>
      </c>
      <c r="B22" s="101">
        <v>0</v>
      </c>
      <c r="C22" s="102">
        <v>0</v>
      </c>
      <c r="D22" s="24">
        <f t="shared" si="18"/>
        <v>0</v>
      </c>
      <c r="E22" s="75">
        <f>Poor!E22</f>
        <v>1</v>
      </c>
      <c r="F22" s="22"/>
      <c r="H22" s="24">
        <f t="shared" si="19"/>
        <v>1</v>
      </c>
      <c r="I22" s="22">
        <f t="shared" si="20"/>
        <v>0</v>
      </c>
      <c r="J22" s="24">
        <f t="shared" si="17"/>
        <v>0</v>
      </c>
      <c r="K22" s="22">
        <f t="shared" si="21"/>
        <v>0</v>
      </c>
      <c r="L22" s="22">
        <f t="shared" si="22"/>
        <v>0</v>
      </c>
      <c r="M22" s="225">
        <f t="shared" si="23"/>
        <v>0</v>
      </c>
      <c r="N22" s="229">
        <v>6</v>
      </c>
      <c r="O22" s="2"/>
      <c r="P22" s="22"/>
      <c r="Q22" s="59" t="s">
        <v>83</v>
      </c>
      <c r="R22" s="222">
        <f>IF($B$81=0,0,(SUMIF($N$6:$N$28,$U22,K$6:K$28)+SUMIF($N$91:$N$118,$U22,K$91:K$118))*$B$83*$H$84*Poor!$B$81/$B$81)</f>
        <v>0</v>
      </c>
      <c r="S22" s="222">
        <f>IF($B$81=0,0,(SUMIF($N$6:$N$28,$U22,L$6:L$28)+SUMIF($N$91:$N$118,$U22,L$91:L$118))*$I$83*Poor!$B$81/$B$81)</f>
        <v>0</v>
      </c>
      <c r="T22" s="222">
        <f>IF($B$81=0,0,(SUMIF($N$6:$N$28,$U22,M$6:M$28)+SUMIF($N$91:$N$118,$U22,M$91:M$118))*$I$83*Poor!$B$81/$B$81)</f>
        <v>0</v>
      </c>
      <c r="U22" s="223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74" t="str">
        <f>IF(Poor!A23=0,"",Poor!A23)</f>
        <v/>
      </c>
      <c r="B23" s="101">
        <v>0</v>
      </c>
      <c r="C23" s="102">
        <v>0</v>
      </c>
      <c r="D23" s="24">
        <f t="shared" si="18"/>
        <v>0</v>
      </c>
      <c r="E23" s="75">
        <f>Poor!E23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5">
        <f t="shared" si="23"/>
        <v>0</v>
      </c>
      <c r="N23" s="229"/>
      <c r="O23" s="2"/>
      <c r="P23" s="22"/>
      <c r="Q23" s="171" t="s">
        <v>100</v>
      </c>
      <c r="R23" s="179">
        <f>SUM(R7:R22)</f>
        <v>144466.25089200071</v>
      </c>
      <c r="S23" s="179">
        <f>SUM(S7:S22)</f>
        <v>69638.623094207505</v>
      </c>
      <c r="T23" s="179">
        <f>SUM(T7:T22)</f>
        <v>69966.875274990831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74" t="str">
        <f>IF(Poor!A24=0,"",Poor!A24)</f>
        <v/>
      </c>
      <c r="B24" s="101">
        <v>0</v>
      </c>
      <c r="C24" s="102">
        <v>0</v>
      </c>
      <c r="D24" s="24">
        <f t="shared" si="18"/>
        <v>0</v>
      </c>
      <c r="E24" s="75">
        <f>Poor!E24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5">
        <f t="shared" si="23"/>
        <v>0</v>
      </c>
      <c r="N24" s="229"/>
      <c r="O24" s="2"/>
      <c r="P24" s="22"/>
      <c r="Q24" s="59" t="s">
        <v>137</v>
      </c>
      <c r="R24" s="41">
        <f>IF($B$81=0,0,(SUM(($B$70*$H$70))+((1-$D$29)*$I$83))*Poor!$B$81/$B$81)</f>
        <v>31035.99249196376</v>
      </c>
      <c r="S24" s="41">
        <f>IF($B$81=0,0,(SUM(($B$70*$H$70))+((1-$D$29)*$I$83))*Poor!$B$81/$B$81)</f>
        <v>31035.99249196376</v>
      </c>
      <c r="T24" s="41">
        <f>IF($B$81=0,0,(SUM(($B$70*$H$70))+((1-$D$29)*$I$83))*Poor!$B$81/$B$81)</f>
        <v>31035.99249196376</v>
      </c>
      <c r="U24" s="56"/>
      <c r="V24" s="56"/>
      <c r="W24" s="110"/>
      <c r="X24" s="118"/>
      <c r="Y24" s="183"/>
      <c r="Z24" s="156"/>
      <c r="AA24" s="121"/>
      <c r="AB24" s="156"/>
      <c r="AC24" s="121"/>
      <c r="AD24" s="156"/>
      <c r="AE24" s="121"/>
      <c r="AF24" s="122"/>
      <c r="AG24" s="121"/>
      <c r="AH24" s="123"/>
      <c r="AI24" s="183"/>
      <c r="AJ24" s="120"/>
      <c r="AK24" s="119"/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74" t="str">
        <f>IF(Poor!A25=0,"",Poor!A25)</f>
        <v/>
      </c>
      <c r="B25" s="101">
        <v>0</v>
      </c>
      <c r="C25" s="102">
        <v>0</v>
      </c>
      <c r="D25" s="24">
        <f t="shared" si="18"/>
        <v>0</v>
      </c>
      <c r="E25" s="75">
        <f>Poor!E25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5">
        <f t="shared" si="23"/>
        <v>0</v>
      </c>
      <c r="N25" s="229"/>
      <c r="O25" s="2"/>
      <c r="P25" s="22"/>
      <c r="Q25" s="142" t="s">
        <v>138</v>
      </c>
      <c r="R25" s="41">
        <f>IF($B$81=0,0,(SUM(($B$70*$H$70),($B$71*$H$71))+((1-$D$29)*$I$83))*Poor!$B$81/$B$81)</f>
        <v>47999.934714185954</v>
      </c>
      <c r="S25" s="41">
        <f>IF($B$81=0,0,(SUM(($B$70*$H$70),($B$71*$H$71))+((1-$D$29)*$I$83))*Poor!$B$81/$B$81)</f>
        <v>47999.934714185954</v>
      </c>
      <c r="T25" s="41">
        <f>IF($B$81=0,0,(SUM(($B$70*$H$70),($B$71*$H$71))+((1-$D$29)*$I$83))*Poor!$B$81/$B$81)</f>
        <v>47999.934714185954</v>
      </c>
      <c r="U25" s="56"/>
      <c r="V25" s="56"/>
      <c r="W25" s="110"/>
      <c r="X25" s="118"/>
      <c r="Y25" s="183"/>
      <c r="Z25" s="156"/>
      <c r="AA25" s="121"/>
      <c r="AB25" s="156"/>
      <c r="AC25" s="121"/>
      <c r="AD25" s="156"/>
      <c r="AE25" s="121"/>
      <c r="AF25" s="122"/>
      <c r="AG25" s="121"/>
      <c r="AH25" s="123"/>
      <c r="AI25" s="183"/>
      <c r="AJ25" s="120"/>
      <c r="AK25" s="119"/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74" t="str">
        <f>IF(Poor!A26=0,"",Poor!A26)</f>
        <v>Food aid</v>
      </c>
      <c r="B26" s="101">
        <v>0.1360010750379167</v>
      </c>
      <c r="C26" s="102">
        <v>0</v>
      </c>
      <c r="D26" s="24">
        <f t="shared" si="0"/>
        <v>0.1360010750379167</v>
      </c>
      <c r="E26" s="75">
        <f>Poor!E26</f>
        <v>1</v>
      </c>
      <c r="F26" s="22"/>
      <c r="H26" s="24">
        <f t="shared" si="1"/>
        <v>1</v>
      </c>
      <c r="I26" s="22">
        <f t="shared" si="2"/>
        <v>0.1360010750379167</v>
      </c>
      <c r="J26" s="24">
        <f>IF(I$32&lt;=1+I131,I26,B26*H26+J$33*(I26-B26*H26))</f>
        <v>0.1360010750379167</v>
      </c>
      <c r="K26" s="22">
        <f t="shared" si="4"/>
        <v>0.1360010750379167</v>
      </c>
      <c r="L26" s="22">
        <f t="shared" si="5"/>
        <v>0.1360010750379167</v>
      </c>
      <c r="M26" s="224">
        <f t="shared" si="6"/>
        <v>0.1360010750379167</v>
      </c>
      <c r="N26" s="229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79373.774714185958</v>
      </c>
      <c r="S26" s="41">
        <f>IF($B$81=0,0,(SUM(($B$70*$H$70),($B$71*$H$71),($B$72*$H$72))+((1-$D$29)*$I$83))*Poor!$B$81/$B$81)</f>
        <v>79373.774714185958</v>
      </c>
      <c r="T26" s="41">
        <f>IF($B$81=0,0,(SUM(($B$70*$H$70),($B$71*$H$71),($B$72*$H$72))+((1-$D$29)*$I$83))*Poor!$B$81/$B$81)</f>
        <v>79373.774714185958</v>
      </c>
      <c r="U26" s="56"/>
      <c r="V26" s="56"/>
      <c r="W26" s="110"/>
      <c r="X26" s="118"/>
      <c r="Y26" s="183">
        <f t="shared" si="9"/>
        <v>0.54400430015166679</v>
      </c>
      <c r="Z26" s="156">
        <f>Poor!Z26</f>
        <v>0.25</v>
      </c>
      <c r="AA26" s="121">
        <f t="shared" si="16"/>
        <v>0.1360010750379167</v>
      </c>
      <c r="AB26" s="156">
        <f>Poor!AB26</f>
        <v>0.25</v>
      </c>
      <c r="AC26" s="121">
        <f t="shared" si="7"/>
        <v>0.1360010750379167</v>
      </c>
      <c r="AD26" s="156">
        <f>Poor!AD26</f>
        <v>0.25</v>
      </c>
      <c r="AE26" s="121">
        <f t="shared" si="8"/>
        <v>0.1360010750379167</v>
      </c>
      <c r="AF26" s="122">
        <f t="shared" si="10"/>
        <v>0.25</v>
      </c>
      <c r="AG26" s="121">
        <f t="shared" si="11"/>
        <v>0.1360010750379167</v>
      </c>
      <c r="AH26" s="123">
        <f t="shared" si="12"/>
        <v>1</v>
      </c>
      <c r="AI26" s="183">
        <f t="shared" si="13"/>
        <v>0.1360010750379167</v>
      </c>
      <c r="AJ26" s="120">
        <f t="shared" si="14"/>
        <v>0.1360010750379167</v>
      </c>
      <c r="AK26" s="119">
        <f t="shared" si="15"/>
        <v>0.1360010750379167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74" t="str">
        <f>IF(Poor!A27=0,"",Poor!A27)</f>
        <v>Purchase - other</v>
      </c>
      <c r="B27" s="101">
        <v>5.1119303326810188E-2</v>
      </c>
      <c r="C27" s="102">
        <v>-5.1119303326810188E-2</v>
      </c>
      <c r="D27" s="24">
        <f>(B27+C27)</f>
        <v>0</v>
      </c>
      <c r="E27" s="75">
        <f>Poor!E27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3.103368014353982E-2</v>
      </c>
      <c r="K27" s="22">
        <f t="shared" si="4"/>
        <v>5.1119303326810188E-2</v>
      </c>
      <c r="L27" s="22">
        <f t="shared" si="5"/>
        <v>5.1119303326810188E-2</v>
      </c>
      <c r="M27" s="226">
        <f t="shared" si="6"/>
        <v>3.103368014353982E-2</v>
      </c>
      <c r="N27" s="229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0.12413472057415928</v>
      </c>
      <c r="Z27" s="156">
        <f>Poor!Z27</f>
        <v>0.25</v>
      </c>
      <c r="AA27" s="121">
        <f t="shared" si="16"/>
        <v>3.103368014353982E-2</v>
      </c>
      <c r="AB27" s="156">
        <f>Poor!AB27</f>
        <v>0.25</v>
      </c>
      <c r="AC27" s="121">
        <f t="shared" si="7"/>
        <v>3.103368014353982E-2</v>
      </c>
      <c r="AD27" s="156">
        <f>Poor!AD27</f>
        <v>0.25</v>
      </c>
      <c r="AE27" s="121">
        <f t="shared" si="8"/>
        <v>3.103368014353982E-2</v>
      </c>
      <c r="AF27" s="122">
        <f t="shared" si="10"/>
        <v>0.25</v>
      </c>
      <c r="AG27" s="121">
        <f t="shared" si="11"/>
        <v>3.103368014353982E-2</v>
      </c>
      <c r="AH27" s="123">
        <f t="shared" si="12"/>
        <v>1</v>
      </c>
      <c r="AI27" s="183">
        <f t="shared" si="13"/>
        <v>3.103368014353982E-2</v>
      </c>
      <c r="AJ27" s="120">
        <f t="shared" si="14"/>
        <v>3.103368014353982E-2</v>
      </c>
      <c r="AK27" s="119">
        <f t="shared" si="15"/>
        <v>3.103368014353982E-2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74" t="str">
        <f>IF(Poor!A28=0,"",Poor!A28)</f>
        <v>Purchase - desirable</v>
      </c>
      <c r="B28" s="101">
        <v>0</v>
      </c>
      <c r="C28" s="102">
        <v>0</v>
      </c>
      <c r="D28" s="24">
        <f t="shared" si="0"/>
        <v>0</v>
      </c>
      <c r="E28" s="75">
        <f>Poor!E28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</v>
      </c>
      <c r="K28" s="22">
        <f t="shared" si="4"/>
        <v>0</v>
      </c>
      <c r="L28" s="22">
        <f t="shared" si="5"/>
        <v>0</v>
      </c>
      <c r="M28" s="224">
        <f t="shared" si="6"/>
        <v>0</v>
      </c>
      <c r="N28" s="229"/>
      <c r="O28" s="2"/>
      <c r="P28" s="22"/>
      <c r="V28" s="56"/>
      <c r="W28" s="110"/>
      <c r="X28" s="118"/>
      <c r="Y28" s="183">
        <f t="shared" si="9"/>
        <v>0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0</v>
      </c>
      <c r="AF28" s="122">
        <f t="shared" si="10"/>
        <v>0.5</v>
      </c>
      <c r="AG28" s="121">
        <f t="shared" si="11"/>
        <v>0</v>
      </c>
      <c r="AH28" s="123">
        <f t="shared" si="12"/>
        <v>1</v>
      </c>
      <c r="AI28" s="183">
        <f t="shared" si="13"/>
        <v>0</v>
      </c>
      <c r="AJ28" s="120">
        <f t="shared" si="14"/>
        <v>0</v>
      </c>
      <c r="AK28" s="119">
        <f t="shared" si="15"/>
        <v>0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74" t="str">
        <f>IF(Poor!A29=0,"",Poor!A29)</f>
        <v>Purchase - fpl non staple</v>
      </c>
      <c r="B29" s="101">
        <v>0.25821738299946628</v>
      </c>
      <c r="C29" s="102">
        <v>-3.3469683914950331E-2</v>
      </c>
      <c r="D29" s="24">
        <f t="shared" si="0"/>
        <v>0.22474769908451595</v>
      </c>
      <c r="E29" s="75">
        <f>Poor!E29</f>
        <v>1</v>
      </c>
      <c r="F29" s="22"/>
      <c r="H29" s="24">
        <f t="shared" si="1"/>
        <v>1</v>
      </c>
      <c r="I29" s="22">
        <f t="shared" si="2"/>
        <v>0.22474769908451595</v>
      </c>
      <c r="J29" s="24">
        <f>IF(I$32&lt;=1+I131,I29,B29*H29+J$33*(I29-B29*H29))</f>
        <v>0.24506658837926099</v>
      </c>
      <c r="K29" s="22">
        <f t="shared" si="4"/>
        <v>0.25821738299946628</v>
      </c>
      <c r="L29" s="22">
        <f t="shared" si="5"/>
        <v>0.25821738299946628</v>
      </c>
      <c r="M29" s="224">
        <f t="shared" si="6"/>
        <v>0.24506658837926099</v>
      </c>
      <c r="N29" s="229"/>
      <c r="P29" s="22"/>
      <c r="V29" s="56"/>
      <c r="W29" s="110"/>
      <c r="X29" s="118"/>
      <c r="Y29" s="183">
        <f t="shared" si="9"/>
        <v>0.98026635351704394</v>
      </c>
      <c r="Z29" s="156">
        <f>Poor!Z29</f>
        <v>0.25</v>
      </c>
      <c r="AA29" s="121">
        <f t="shared" si="16"/>
        <v>0.24506658837926099</v>
      </c>
      <c r="AB29" s="156">
        <f>Poor!AB29</f>
        <v>0.25</v>
      </c>
      <c r="AC29" s="121">
        <f t="shared" si="7"/>
        <v>0.24506658837926099</v>
      </c>
      <c r="AD29" s="156">
        <f>Poor!AD29</f>
        <v>0.25</v>
      </c>
      <c r="AE29" s="121">
        <f t="shared" si="8"/>
        <v>0.24506658837926099</v>
      </c>
      <c r="AF29" s="122">
        <f t="shared" si="10"/>
        <v>0.25</v>
      </c>
      <c r="AG29" s="121">
        <f t="shared" si="11"/>
        <v>0.24506658837926099</v>
      </c>
      <c r="AH29" s="123">
        <f t="shared" si="12"/>
        <v>1</v>
      </c>
      <c r="AI29" s="183">
        <f t="shared" si="13"/>
        <v>0.24506658837926099</v>
      </c>
      <c r="AJ29" s="120">
        <f t="shared" si="14"/>
        <v>0.24506658837926099</v>
      </c>
      <c r="AK29" s="119">
        <f t="shared" si="15"/>
        <v>0.24506658837926099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101">
        <v>0.63059345561288027</v>
      </c>
      <c r="C30" s="103"/>
      <c r="D30" s="24">
        <f>(D119-B124)</f>
        <v>6.9188975333407541</v>
      </c>
      <c r="E30" s="75">
        <f>Poor!E30</f>
        <v>1</v>
      </c>
      <c r="H30" s="96">
        <f>(E30*F$7/F$9)</f>
        <v>1</v>
      </c>
      <c r="I30" s="29">
        <f>IF(E30&gt;=1,I119-I124,MIN(I119-I124,B30*H30))</f>
        <v>3.3377701685814918</v>
      </c>
      <c r="J30" s="231">
        <f>IF(I$32&lt;=1,I30,1-SUM(J6:J29))</f>
        <v>0.48314081459701519</v>
      </c>
      <c r="K30" s="22">
        <f t="shared" si="4"/>
        <v>0.63059345561288027</v>
      </c>
      <c r="L30" s="22">
        <f>IF(L124=L119,0,IF(K30="",0,(L119-L124)/(B119-B124)*K30))</f>
        <v>0.30210402500550837</v>
      </c>
      <c r="M30" s="175">
        <f t="shared" si="6"/>
        <v>0.48314081459701519</v>
      </c>
      <c r="N30" s="166" t="s">
        <v>86</v>
      </c>
      <c r="O30" s="2"/>
      <c r="P30" s="22"/>
      <c r="Q30" s="234" t="s">
        <v>141</v>
      </c>
      <c r="R30" s="234">
        <f t="shared" ref="R30:T32" si="24">IF(R24&gt;R$23,R24-R$23,0)</f>
        <v>0</v>
      </c>
      <c r="S30" s="234">
        <f t="shared" si="24"/>
        <v>0</v>
      </c>
      <c r="T30" s="234">
        <f t="shared" si="24"/>
        <v>0</v>
      </c>
      <c r="V30" s="56"/>
      <c r="W30" s="110"/>
      <c r="X30" s="118"/>
      <c r="Y30" s="183">
        <f>M30*4</f>
        <v>1.9325632583880608</v>
      </c>
      <c r="Z30" s="122">
        <f>IF($Y30=0,0,AA30/($Y$30))</f>
        <v>0.15497169976962635</v>
      </c>
      <c r="AA30" s="187">
        <f>IF(AA79*4/$I$84+SUM(AA6:AA29)&lt;1,AA79*4/$I$84,1-SUM(AA6:AA29))</f>
        <v>0.29949261306472541</v>
      </c>
      <c r="AB30" s="122">
        <f>IF($Y30=0,0,AC30/($Y$30))</f>
        <v>0.29158566619339704</v>
      </c>
      <c r="AC30" s="187">
        <f>IF(AC79*4/$I$84+SUM(AC6:AC29)&lt;1,AC79*4/$I$84,1-SUM(AC6:AC29))</f>
        <v>0.56350774515796476</v>
      </c>
      <c r="AD30" s="122">
        <f>IF($Y30=0,0,AE30/($Y$30))</f>
        <v>0.29335705480889479</v>
      </c>
      <c r="AE30" s="187">
        <f>IF(AE79*4/$I$84+SUM(AE6:AE29)&lt;1,AE79*4/$I$84,1-SUM(AE6:AE29))</f>
        <v>0.56693106571260266</v>
      </c>
      <c r="AF30" s="122">
        <f>IF($Y30=0,0,AG30/($Y$30))</f>
        <v>0.27550331274142725</v>
      </c>
      <c r="AG30" s="187">
        <f>IF(AG79*4/$I$84+SUM(AG6:AG29)&lt;1,AG79*4/$I$84,1-SUM(AG6:AG29))</f>
        <v>0.53242757976827759</v>
      </c>
      <c r="AH30" s="123">
        <f t="shared" si="12"/>
        <v>1.0154177335133454</v>
      </c>
      <c r="AI30" s="183">
        <f t="shared" si="13"/>
        <v>0.49058975092589263</v>
      </c>
      <c r="AJ30" s="120">
        <f t="shared" si="14"/>
        <v>0.43150017911134508</v>
      </c>
      <c r="AK30" s="119">
        <f t="shared" si="15"/>
        <v>0.54967932274044018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1" t="str">
        <f>IF(1-$B$32&gt;0,1-$B$32,"")</f>
        <v/>
      </c>
      <c r="C31" s="77"/>
      <c r="D31" s="24"/>
      <c r="E31" s="22"/>
      <c r="F31" s="22"/>
      <c r="H31" s="24"/>
      <c r="I31" s="22"/>
      <c r="J31" s="232">
        <f>(1-SUM(J6:J30))</f>
        <v>0</v>
      </c>
      <c r="K31" s="22" t="str">
        <f t="shared" si="4"/>
        <v/>
      </c>
      <c r="L31" s="22">
        <f>(1-SUM(L6:L30))</f>
        <v>0.18469720990814542</v>
      </c>
      <c r="M31" s="178">
        <f t="shared" si="6"/>
        <v>0</v>
      </c>
      <c r="N31" s="167">
        <f>M31*I83</f>
        <v>0</v>
      </c>
      <c r="P31" s="22"/>
      <c r="Q31" s="238" t="s">
        <v>142</v>
      </c>
      <c r="R31" s="234">
        <f t="shared" si="24"/>
        <v>0</v>
      </c>
      <c r="S31" s="234">
        <f t="shared" si="24"/>
        <v>0</v>
      </c>
      <c r="T31" s="234">
        <f>IF(T25&gt;T$23,T25-T$23,0)</f>
        <v>0</v>
      </c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77">
        <f>SUM(B6:B30)</f>
        <v>1.3643002144172285</v>
      </c>
      <c r="C32" s="77">
        <f>SUM(C6:C31)</f>
        <v>0.26162775805860128</v>
      </c>
      <c r="D32" s="24">
        <f>SUM(D6:D30)</f>
        <v>7.9142320502037036</v>
      </c>
      <c r="E32" s="2"/>
      <c r="F32" s="2"/>
      <c r="H32" s="17"/>
      <c r="I32" s="22">
        <f>SUM(I6:I30)</f>
        <v>3.8602849571121949</v>
      </c>
      <c r="J32" s="17"/>
      <c r="L32" s="22">
        <f>SUM(L6:L30)</f>
        <v>0.81530279009185458</v>
      </c>
      <c r="M32" s="23"/>
      <c r="N32" s="56"/>
      <c r="O32" s="2"/>
      <c r="P32" s="22"/>
      <c r="Q32" s="234" t="s">
        <v>143</v>
      </c>
      <c r="R32" s="234">
        <f t="shared" si="24"/>
        <v>0</v>
      </c>
      <c r="S32" s="234">
        <f t="shared" si="24"/>
        <v>9735.1516199784528</v>
      </c>
      <c r="T32" s="234">
        <f t="shared" si="24"/>
        <v>9406.8994391951273</v>
      </c>
      <c r="V32" s="56"/>
      <c r="W32" s="110"/>
      <c r="X32" s="118"/>
      <c r="Y32" s="115">
        <f>SUM(Y6:Y31)</f>
        <v>3.9702042546844902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0.39291660637198472</v>
      </c>
      <c r="K33" s="14"/>
      <c r="L33" s="11"/>
      <c r="M33" s="30"/>
      <c r="N33" s="168" t="s">
        <v>87</v>
      </c>
      <c r="O33" s="2"/>
      <c r="P33" s="2"/>
      <c r="Q33" s="238"/>
      <c r="R33" s="234"/>
      <c r="S33" s="234"/>
      <c r="T33" s="234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47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R35" s="41"/>
      <c r="S35" s="41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2"/>
      <c r="S36" s="242"/>
      <c r="T36" s="252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74" t="str">
        <f>IF(Poor!A37=0,"",Poor!A37)</f>
        <v>Cattle sales - local: no. sold</v>
      </c>
      <c r="B37" s="104">
        <v>12000</v>
      </c>
      <c r="C37" s="104">
        <v>-1333.3333333333333</v>
      </c>
      <c r="D37" s="38">
        <f t="shared" ref="D37:D64" si="25">B37+C37</f>
        <v>10666.666666666666</v>
      </c>
      <c r="E37" s="75">
        <f>Poor!E37</f>
        <v>0.5</v>
      </c>
      <c r="F37" s="75">
        <f>Poor!F37</f>
        <v>1.18</v>
      </c>
      <c r="G37" s="75">
        <f>Poor!G37</f>
        <v>1</v>
      </c>
      <c r="H37" s="24">
        <f t="shared" ref="H37" si="26">(E37*F37)</f>
        <v>0.59</v>
      </c>
      <c r="I37" s="39">
        <f t="shared" ref="I37" si="27">D37*H37</f>
        <v>6293.333333333333</v>
      </c>
      <c r="J37" s="38">
        <f>J91*I$83</f>
        <v>6770.9056029873727</v>
      </c>
      <c r="K37" s="40">
        <f>(B37/B$65)</f>
        <v>0.12293738389247078</v>
      </c>
      <c r="L37" s="22">
        <f t="shared" ref="L37" si="28">(K37*H37)</f>
        <v>7.2533056496557752E-2</v>
      </c>
      <c r="M37" s="24">
        <f>J37/B$65</f>
        <v>6.936645178451166E-2</v>
      </c>
      <c r="N37" s="2"/>
      <c r="O37" s="2"/>
      <c r="P37" s="2"/>
      <c r="Q37" s="59"/>
      <c r="R37" s="252"/>
      <c r="S37" s="252"/>
      <c r="T37" s="29"/>
      <c r="U37" s="56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0.20338097771304001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1377.0734015382725</v>
      </c>
      <c r="AD37" s="122">
        <f>IF($J37=0,0,AE37/($J37))</f>
        <v>0.11134994406060636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753.93996013229014</v>
      </c>
      <c r="AF37" s="122">
        <f t="shared" ref="AF37:AF64" si="29">1-SUM(Z37,AB37,AD37)</f>
        <v>0.68526907822635363</v>
      </c>
      <c r="AG37" s="147">
        <f>$J37*AF37</f>
        <v>4639.8922413168102</v>
      </c>
      <c r="AH37" s="123">
        <f>SUM(Z37,AB37,AD37,AF37)</f>
        <v>1</v>
      </c>
      <c r="AI37" s="112">
        <f>SUM(AA37,AC37,AE37,AG37)</f>
        <v>6770.9056029873727</v>
      </c>
      <c r="AJ37" s="148">
        <f>(AA37+AC37)</f>
        <v>1377.0734015382725</v>
      </c>
      <c r="AK37" s="147">
        <f>(AE37+AG37)</f>
        <v>5393.8322014491005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74" t="str">
        <f>IF(Poor!A38=0,"",Poor!A38)</f>
        <v>Goat sales - local: no. sold</v>
      </c>
      <c r="B38" s="104">
        <v>2500</v>
      </c>
      <c r="C38" s="104">
        <v>1733.3333333333333</v>
      </c>
      <c r="D38" s="38">
        <f t="shared" si="25"/>
        <v>4233.333333333333</v>
      </c>
      <c r="E38" s="75">
        <f>Poor!E38</f>
        <v>0.5</v>
      </c>
      <c r="F38" s="75">
        <f>Poor!F38</f>
        <v>1.18</v>
      </c>
      <c r="G38" s="75">
        <f>Poor!G38</f>
        <v>1</v>
      </c>
      <c r="H38" s="24">
        <f t="shared" ref="H38:H64" si="30">(E38*F38)</f>
        <v>0.59</v>
      </c>
      <c r="I38" s="39">
        <f t="shared" ref="I38:I64" si="31">D38*H38</f>
        <v>2497.6666666666665</v>
      </c>
      <c r="J38" s="38">
        <f t="shared" ref="J38:J64" si="32">J92*I$83</f>
        <v>1876.8227161164164</v>
      </c>
      <c r="K38" s="40">
        <f t="shared" ref="K38:K64" si="33">(B38/B$65)</f>
        <v>2.5611954977598078E-2</v>
      </c>
      <c r="L38" s="22">
        <f t="shared" ref="L38:L64" si="34">(K38*H38)</f>
        <v>1.5111053436782866E-2</v>
      </c>
      <c r="M38" s="24">
        <f t="shared" ref="M38:M64" si="35">J38/B$65</f>
        <v>1.9227639562442798E-2</v>
      </c>
      <c r="N38" s="2"/>
      <c r="O38" s="2"/>
      <c r="P38" s="2"/>
      <c r="Q38" s="59"/>
      <c r="R38" s="252"/>
      <c r="S38" s="252"/>
      <c r="T38" s="29"/>
      <c r="U38" s="56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0.20338097771303998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381.71003899780004</v>
      </c>
      <c r="AD38" s="122">
        <f>IF($J38=0,0,AE38/($J38))</f>
        <v>0.11134994406060635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208.98410445123824</v>
      </c>
      <c r="AF38" s="122">
        <f t="shared" si="29"/>
        <v>0.68526907822635375</v>
      </c>
      <c r="AG38" s="147">
        <f t="shared" ref="AG38:AG64" si="36">$J38*AF38</f>
        <v>1286.1285726673782</v>
      </c>
      <c r="AH38" s="123">
        <f t="shared" ref="AH38:AI58" si="37">SUM(Z38,AB38,AD38,AF38)</f>
        <v>1</v>
      </c>
      <c r="AI38" s="112">
        <f t="shared" si="37"/>
        <v>1876.8227161164164</v>
      </c>
      <c r="AJ38" s="148">
        <f t="shared" ref="AJ38:AJ64" si="38">(AA38+AC38)</f>
        <v>381.71003899780004</v>
      </c>
      <c r="AK38" s="147">
        <f t="shared" ref="AK38:AK64" si="39">(AE38+AG38)</f>
        <v>1495.1126771186164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74" t="str">
        <f>IF(Poor!A39=0,"",Poor!A39)</f>
        <v>Sheep sales - local: no. sold</v>
      </c>
      <c r="B39" s="104">
        <v>533.33333333333337</v>
      </c>
      <c r="C39" s="104">
        <v>0</v>
      </c>
      <c r="D39" s="38">
        <f t="shared" si="25"/>
        <v>533.33333333333337</v>
      </c>
      <c r="E39" s="75">
        <f>Poor!E39</f>
        <v>0.5</v>
      </c>
      <c r="F39" s="75">
        <f>Poor!F39</f>
        <v>1.18</v>
      </c>
      <c r="G39" s="75">
        <f>Poor!G39</f>
        <v>1</v>
      </c>
      <c r="H39" s="24">
        <f t="shared" si="30"/>
        <v>0.59</v>
      </c>
      <c r="I39" s="39">
        <f t="shared" si="31"/>
        <v>314.66666666666669</v>
      </c>
      <c r="J39" s="38">
        <f t="shared" si="32"/>
        <v>314.66666666666669</v>
      </c>
      <c r="K39" s="40">
        <f t="shared" si="33"/>
        <v>5.463883728554257E-3</v>
      </c>
      <c r="L39" s="22">
        <f t="shared" si="34"/>
        <v>3.2236913998470113E-3</v>
      </c>
      <c r="M39" s="24">
        <f t="shared" si="35"/>
        <v>3.2236913998470117E-3</v>
      </c>
      <c r="N39" s="2"/>
      <c r="O39" s="2"/>
      <c r="P39" s="2"/>
      <c r="Q39" s="59"/>
      <c r="R39" s="252"/>
      <c r="S39" s="252"/>
      <c r="T39" s="29"/>
      <c r="U39" s="56"/>
      <c r="V39" s="56"/>
      <c r="W39" s="115"/>
      <c r="X39" s="194">
        <f>X8</f>
        <v>1</v>
      </c>
      <c r="Y39" s="110"/>
      <c r="Z39" s="122">
        <f>Z8</f>
        <v>1</v>
      </c>
      <c r="AA39" s="147">
        <f t="shared" ref="AA39:AA64" si="40">$J39*Z39</f>
        <v>314.66666666666669</v>
      </c>
      <c r="AB39" s="122">
        <f>AB8</f>
        <v>0</v>
      </c>
      <c r="AC39" s="147">
        <f t="shared" ref="AC39:AC64" si="41">$J39*AB39</f>
        <v>0</v>
      </c>
      <c r="AD39" s="122">
        <f>AD8</f>
        <v>0</v>
      </c>
      <c r="AE39" s="147">
        <f t="shared" ref="AE39:AE64" si="42">$J39*AD39</f>
        <v>0</v>
      </c>
      <c r="AF39" s="122">
        <f t="shared" si="29"/>
        <v>0</v>
      </c>
      <c r="AG39" s="147">
        <f t="shared" si="36"/>
        <v>0</v>
      </c>
      <c r="AH39" s="123">
        <f t="shared" si="37"/>
        <v>1</v>
      </c>
      <c r="AI39" s="112">
        <f t="shared" si="37"/>
        <v>314.66666666666669</v>
      </c>
      <c r="AJ39" s="148">
        <f t="shared" si="38"/>
        <v>314.66666666666669</v>
      </c>
      <c r="AK39" s="147">
        <f t="shared" si="39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74" t="str">
        <f>IF(Poor!A40=0,"",Poor!A40)</f>
        <v>Chicken sales: no. sold</v>
      </c>
      <c r="B40" s="104">
        <v>466.66666666666669</v>
      </c>
      <c r="C40" s="104">
        <v>0</v>
      </c>
      <c r="D40" s="38">
        <f t="shared" si="25"/>
        <v>466.66666666666669</v>
      </c>
      <c r="E40" s="75">
        <f>Poor!E40</f>
        <v>1</v>
      </c>
      <c r="F40" s="75">
        <f>Poor!F40</f>
        <v>1.18</v>
      </c>
      <c r="G40" s="75">
        <f>Poor!G40</f>
        <v>1</v>
      </c>
      <c r="H40" s="24">
        <f t="shared" si="30"/>
        <v>1.18</v>
      </c>
      <c r="I40" s="39">
        <f t="shared" si="31"/>
        <v>550.66666666666663</v>
      </c>
      <c r="J40" s="38">
        <f t="shared" si="32"/>
        <v>550.66666666666663</v>
      </c>
      <c r="K40" s="40">
        <f t="shared" si="33"/>
        <v>4.7808982624849752E-3</v>
      </c>
      <c r="L40" s="22">
        <f t="shared" si="34"/>
        <v>5.64145994973227E-3</v>
      </c>
      <c r="M40" s="24">
        <f t="shared" si="35"/>
        <v>5.64145994973227E-3</v>
      </c>
      <c r="N40" s="2"/>
      <c r="O40" s="2"/>
      <c r="P40" s="2"/>
      <c r="Q40" s="59"/>
      <c r="R40" s="252"/>
      <c r="S40" s="252"/>
      <c r="T40" s="29"/>
      <c r="U40" s="56"/>
      <c r="V40" s="56"/>
      <c r="W40" s="115"/>
      <c r="X40" s="194">
        <f>X9</f>
        <v>1</v>
      </c>
      <c r="Y40" s="110"/>
      <c r="Z40" s="122">
        <f>Z9</f>
        <v>1</v>
      </c>
      <c r="AA40" s="147">
        <f t="shared" si="40"/>
        <v>550.66666666666663</v>
      </c>
      <c r="AB40" s="122">
        <f>AB9</f>
        <v>0</v>
      </c>
      <c r="AC40" s="147">
        <f t="shared" si="41"/>
        <v>0</v>
      </c>
      <c r="AD40" s="122">
        <f>AD9</f>
        <v>0</v>
      </c>
      <c r="AE40" s="147">
        <f t="shared" si="42"/>
        <v>0</v>
      </c>
      <c r="AF40" s="122">
        <f t="shared" si="29"/>
        <v>0</v>
      </c>
      <c r="AG40" s="147">
        <f t="shared" si="36"/>
        <v>0</v>
      </c>
      <c r="AH40" s="123">
        <f t="shared" si="37"/>
        <v>1</v>
      </c>
      <c r="AI40" s="112">
        <f t="shared" si="37"/>
        <v>550.66666666666663</v>
      </c>
      <c r="AJ40" s="148">
        <f t="shared" si="38"/>
        <v>550.66666666666663</v>
      </c>
      <c r="AK40" s="147">
        <f t="shared" si="39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74" t="str">
        <f>IF(Poor!A41=0,"",Poor!A41)</f>
        <v>Maize: kg produced</v>
      </c>
      <c r="B41" s="104">
        <v>916.66666666666663</v>
      </c>
      <c r="C41" s="104">
        <v>-916.66666666666663</v>
      </c>
      <c r="D41" s="38">
        <f t="shared" si="25"/>
        <v>0</v>
      </c>
      <c r="E41" s="75">
        <f>Poor!E41</f>
        <v>0.3</v>
      </c>
      <c r="F41" s="75">
        <f>Poor!F41</f>
        <v>1.4</v>
      </c>
      <c r="G41" s="75">
        <f>Poor!G41</f>
        <v>1</v>
      </c>
      <c r="H41" s="24">
        <f t="shared" si="30"/>
        <v>0.42</v>
      </c>
      <c r="I41" s="39">
        <f t="shared" si="31"/>
        <v>0</v>
      </c>
      <c r="J41" s="38">
        <f t="shared" si="32"/>
        <v>233.72710654678585</v>
      </c>
      <c r="K41" s="40">
        <f t="shared" si="33"/>
        <v>9.3910501584526292E-3</v>
      </c>
      <c r="L41" s="22">
        <f t="shared" si="34"/>
        <v>3.9442410665501042E-3</v>
      </c>
      <c r="M41" s="24">
        <f t="shared" si="35"/>
        <v>2.3944832519682195E-3</v>
      </c>
      <c r="N41" s="2"/>
      <c r="O41" s="2"/>
      <c r="P41" s="2"/>
      <c r="Q41" s="59"/>
      <c r="R41" s="252"/>
      <c r="S41" s="252"/>
      <c r="T41" s="253"/>
      <c r="U41" s="56"/>
      <c r="V41" s="56"/>
      <c r="W41" s="115"/>
      <c r="X41" s="194">
        <f>X11</f>
        <v>1</v>
      </c>
      <c r="Y41" s="110"/>
      <c r="Z41" s="122">
        <f>Z11</f>
        <v>1</v>
      </c>
      <c r="AA41" s="147">
        <f t="shared" si="40"/>
        <v>233.72710654678585</v>
      </c>
      <c r="AB41" s="122">
        <f>AB11</f>
        <v>0</v>
      </c>
      <c r="AC41" s="147">
        <f t="shared" si="41"/>
        <v>0</v>
      </c>
      <c r="AD41" s="122">
        <f>AD11</f>
        <v>0</v>
      </c>
      <c r="AE41" s="147">
        <f t="shared" si="42"/>
        <v>0</v>
      </c>
      <c r="AF41" s="122">
        <f t="shared" si="29"/>
        <v>0</v>
      </c>
      <c r="AG41" s="147">
        <f t="shared" si="36"/>
        <v>0</v>
      </c>
      <c r="AH41" s="123">
        <f t="shared" si="37"/>
        <v>1</v>
      </c>
      <c r="AI41" s="112">
        <f t="shared" si="37"/>
        <v>233.72710654678585</v>
      </c>
      <c r="AJ41" s="148">
        <f t="shared" si="38"/>
        <v>233.72710654678585</v>
      </c>
      <c r="AK41" s="147">
        <f t="shared" si="39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74" t="str">
        <f>IF(Poor!A42=0,"",Poor!A42)</f>
        <v>Beans: kg produced</v>
      </c>
      <c r="B42" s="104">
        <v>5816.666666666667</v>
      </c>
      <c r="C42" s="104">
        <v>86.666666666666671</v>
      </c>
      <c r="D42" s="38">
        <f t="shared" si="25"/>
        <v>5903.3333333333339</v>
      </c>
      <c r="E42" s="75">
        <f>Poor!E42</f>
        <v>0.2</v>
      </c>
      <c r="F42" s="75">
        <f>Poor!F42</f>
        <v>1.4</v>
      </c>
      <c r="G42" s="75">
        <f>Poor!G42</f>
        <v>1</v>
      </c>
      <c r="H42" s="24">
        <f t="shared" si="30"/>
        <v>0.27999999999999997</v>
      </c>
      <c r="I42" s="39">
        <f t="shared" si="31"/>
        <v>1652.9333333333334</v>
      </c>
      <c r="J42" s="38">
        <f t="shared" si="32"/>
        <v>1638.2014429812934</v>
      </c>
      <c r="K42" s="40">
        <f t="shared" si="33"/>
        <v>5.9590481914544864E-2</v>
      </c>
      <c r="L42" s="22">
        <f t="shared" si="34"/>
        <v>1.6685334936072559E-2</v>
      </c>
      <c r="M42" s="24">
        <f t="shared" si="35"/>
        <v>1.6783016640749236E-2</v>
      </c>
      <c r="N42" s="2"/>
      <c r="O42" s="2"/>
      <c r="P42" s="2"/>
      <c r="Q42" s="41"/>
      <c r="R42" s="41"/>
      <c r="S42" s="254"/>
      <c r="T42" s="254"/>
      <c r="U42" s="56"/>
      <c r="V42" s="56"/>
      <c r="W42" s="115"/>
      <c r="X42" s="118"/>
      <c r="Y42" s="110"/>
      <c r="Z42" s="156">
        <f>Poor!Z42</f>
        <v>0.25</v>
      </c>
      <c r="AA42" s="147">
        <f t="shared" si="40"/>
        <v>409.55036074532336</v>
      </c>
      <c r="AB42" s="156">
        <f>Poor!AB42</f>
        <v>0</v>
      </c>
      <c r="AC42" s="147">
        <f t="shared" si="41"/>
        <v>0</v>
      </c>
      <c r="AD42" s="156">
        <f>Poor!AD42</f>
        <v>0.5</v>
      </c>
      <c r="AE42" s="147">
        <f t="shared" si="42"/>
        <v>819.10072149064672</v>
      </c>
      <c r="AF42" s="122">
        <f t="shared" si="29"/>
        <v>0.25</v>
      </c>
      <c r="AG42" s="147">
        <f t="shared" si="36"/>
        <v>409.55036074532336</v>
      </c>
      <c r="AH42" s="123">
        <f t="shared" si="37"/>
        <v>1</v>
      </c>
      <c r="AI42" s="112">
        <f t="shared" si="37"/>
        <v>1638.2014429812934</v>
      </c>
      <c r="AJ42" s="148">
        <f t="shared" si="38"/>
        <v>409.55036074532336</v>
      </c>
      <c r="AK42" s="147">
        <f t="shared" si="39"/>
        <v>1228.6510822359701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74" t="str">
        <f>IF(Poor!A43=0,"",Poor!A43)</f>
        <v>potatoes: kg produced</v>
      </c>
      <c r="B43" s="104">
        <v>833.33333333333337</v>
      </c>
      <c r="C43" s="104">
        <v>-833.33333333333337</v>
      </c>
      <c r="D43" s="38">
        <f t="shared" si="25"/>
        <v>0</v>
      </c>
      <c r="E43" s="75">
        <f>Poor!E43</f>
        <v>0.2</v>
      </c>
      <c r="F43" s="75">
        <f>Poor!F43</f>
        <v>1.4</v>
      </c>
      <c r="G43" s="75">
        <f>Poor!G43</f>
        <v>1</v>
      </c>
      <c r="H43" s="24">
        <f t="shared" si="30"/>
        <v>0.27999999999999997</v>
      </c>
      <c r="I43" s="39">
        <f t="shared" si="31"/>
        <v>0</v>
      </c>
      <c r="J43" s="38">
        <f t="shared" si="32"/>
        <v>141.6527918465369</v>
      </c>
      <c r="K43" s="40">
        <f t="shared" si="33"/>
        <v>8.5373183258660272E-3</v>
      </c>
      <c r="L43" s="22">
        <f t="shared" si="34"/>
        <v>2.3904491312424876E-3</v>
      </c>
      <c r="M43" s="24">
        <f t="shared" si="35"/>
        <v>1.4512019708898302E-3</v>
      </c>
      <c r="N43" s="2"/>
      <c r="O43" s="2"/>
      <c r="P43" s="2"/>
      <c r="Q43" s="41"/>
      <c r="R43" s="41"/>
      <c r="S43" s="221"/>
      <c r="T43" s="221"/>
      <c r="U43" s="56"/>
      <c r="V43" s="56"/>
      <c r="W43" s="115"/>
      <c r="X43" s="118"/>
      <c r="Y43" s="110"/>
      <c r="Z43" s="156">
        <f>Poor!Z43</f>
        <v>0.25</v>
      </c>
      <c r="AA43" s="147">
        <f t="shared" si="40"/>
        <v>35.413197961634225</v>
      </c>
      <c r="AB43" s="156">
        <f>Poor!AB43</f>
        <v>0.25</v>
      </c>
      <c r="AC43" s="147">
        <f t="shared" si="41"/>
        <v>35.413197961634225</v>
      </c>
      <c r="AD43" s="156">
        <f>Poor!AD43</f>
        <v>0.25</v>
      </c>
      <c r="AE43" s="147">
        <f t="shared" si="42"/>
        <v>35.413197961634225</v>
      </c>
      <c r="AF43" s="122">
        <f t="shared" si="29"/>
        <v>0.25</v>
      </c>
      <c r="AG43" s="147">
        <f t="shared" si="36"/>
        <v>35.413197961634225</v>
      </c>
      <c r="AH43" s="123">
        <f t="shared" si="37"/>
        <v>1</v>
      </c>
      <c r="AI43" s="112">
        <f t="shared" si="37"/>
        <v>141.6527918465369</v>
      </c>
      <c r="AJ43" s="148">
        <f t="shared" si="38"/>
        <v>70.82639592326845</v>
      </c>
      <c r="AK43" s="147">
        <f t="shared" si="39"/>
        <v>70.82639592326845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74" t="str">
        <f>IF(Poor!A44=0,"",Poor!A44)</f>
        <v>Amadumbe: kg produced</v>
      </c>
      <c r="B44" s="104">
        <v>93.333333333333329</v>
      </c>
      <c r="C44" s="104">
        <v>-93.333333333333329</v>
      </c>
      <c r="D44" s="38">
        <f t="shared" si="25"/>
        <v>0</v>
      </c>
      <c r="E44" s="75">
        <f>Poor!E44</f>
        <v>0.2</v>
      </c>
      <c r="F44" s="75">
        <f>Poor!F44</f>
        <v>1.4</v>
      </c>
      <c r="G44" s="75">
        <f>Poor!G44</f>
        <v>1</v>
      </c>
      <c r="H44" s="24">
        <f t="shared" si="30"/>
        <v>0.27999999999999997</v>
      </c>
      <c r="I44" s="39">
        <f t="shared" si="31"/>
        <v>0</v>
      </c>
      <c r="J44" s="38">
        <f t="shared" si="32"/>
        <v>15.865112686812131</v>
      </c>
      <c r="K44" s="40">
        <f t="shared" si="33"/>
        <v>9.5617965249699495E-4</v>
      </c>
      <c r="L44" s="22">
        <f t="shared" si="34"/>
        <v>2.6773030269915853E-4</v>
      </c>
      <c r="M44" s="24">
        <f t="shared" si="35"/>
        <v>1.6253462073966097E-4</v>
      </c>
      <c r="N44" s="2"/>
      <c r="O44" s="2"/>
      <c r="P44" s="2"/>
      <c r="Q44" s="255"/>
      <c r="R44" s="41"/>
      <c r="S44" s="41"/>
      <c r="T44" s="253"/>
      <c r="U44" s="56"/>
      <c r="V44" s="56"/>
      <c r="W44" s="117"/>
      <c r="X44" s="118"/>
      <c r="Y44" s="110"/>
      <c r="Z44" s="156">
        <f>Poor!Z44</f>
        <v>0.25</v>
      </c>
      <c r="AA44" s="147">
        <f t="shared" si="40"/>
        <v>3.9662781717030327</v>
      </c>
      <c r="AB44" s="156">
        <f>Poor!AB44</f>
        <v>0.25</v>
      </c>
      <c r="AC44" s="147">
        <f t="shared" si="41"/>
        <v>3.9662781717030327</v>
      </c>
      <c r="AD44" s="156">
        <f>Poor!AD44</f>
        <v>0.25</v>
      </c>
      <c r="AE44" s="147">
        <f t="shared" si="42"/>
        <v>3.9662781717030327</v>
      </c>
      <c r="AF44" s="122">
        <f t="shared" si="29"/>
        <v>0.25</v>
      </c>
      <c r="AG44" s="147">
        <f t="shared" si="36"/>
        <v>3.9662781717030327</v>
      </c>
      <c r="AH44" s="123">
        <f t="shared" si="37"/>
        <v>1</v>
      </c>
      <c r="AI44" s="112">
        <f t="shared" si="37"/>
        <v>15.865112686812131</v>
      </c>
      <c r="AJ44" s="148">
        <f t="shared" si="38"/>
        <v>7.9325563434060653</v>
      </c>
      <c r="AK44" s="147">
        <f t="shared" si="39"/>
        <v>7.9325563434060653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74" t="str">
        <f>IF(Poor!A45=0,"",Poor!A45)</f>
        <v>Sweet Potatoes: kg produced</v>
      </c>
      <c r="B45" s="104">
        <v>0</v>
      </c>
      <c r="C45" s="104">
        <v>0</v>
      </c>
      <c r="D45" s="38">
        <f t="shared" si="25"/>
        <v>0</v>
      </c>
      <c r="E45" s="75">
        <f>Poor!E45</f>
        <v>0.2</v>
      </c>
      <c r="F45" s="75">
        <f>Poor!F45</f>
        <v>1.4</v>
      </c>
      <c r="G45" s="75">
        <f>Poor!G45</f>
        <v>1</v>
      </c>
      <c r="H45" s="24">
        <f t="shared" si="30"/>
        <v>0.27999999999999997</v>
      </c>
      <c r="I45" s="39">
        <f t="shared" si="31"/>
        <v>0</v>
      </c>
      <c r="J45" s="38">
        <f t="shared" si="32"/>
        <v>0</v>
      </c>
      <c r="K45" s="40">
        <f t="shared" si="33"/>
        <v>0</v>
      </c>
      <c r="L45" s="22">
        <f t="shared" si="34"/>
        <v>0</v>
      </c>
      <c r="M45" s="24">
        <f t="shared" si="35"/>
        <v>0</v>
      </c>
      <c r="N45" s="2"/>
      <c r="O45" s="2"/>
      <c r="P45" s="2"/>
      <c r="Q45" s="255"/>
      <c r="S45" s="41"/>
      <c r="U45" s="56"/>
      <c r="V45" s="56"/>
      <c r="W45" s="110"/>
      <c r="X45" s="118"/>
      <c r="Y45" s="110"/>
      <c r="Z45" s="156">
        <f>Poor!Z45</f>
        <v>0.25</v>
      </c>
      <c r="AA45" s="147">
        <f t="shared" si="40"/>
        <v>0</v>
      </c>
      <c r="AB45" s="156">
        <f>Poor!AB45</f>
        <v>0.25</v>
      </c>
      <c r="AC45" s="147">
        <f t="shared" si="41"/>
        <v>0</v>
      </c>
      <c r="AD45" s="156">
        <f>Poor!AD45</f>
        <v>0.25</v>
      </c>
      <c r="AE45" s="147">
        <f t="shared" si="42"/>
        <v>0</v>
      </c>
      <c r="AF45" s="122">
        <f t="shared" si="29"/>
        <v>0.25</v>
      </c>
      <c r="AG45" s="147">
        <f t="shared" si="36"/>
        <v>0</v>
      </c>
      <c r="AH45" s="123">
        <f t="shared" si="37"/>
        <v>1</v>
      </c>
      <c r="AI45" s="112">
        <f t="shared" si="37"/>
        <v>0</v>
      </c>
      <c r="AJ45" s="148">
        <f t="shared" si="38"/>
        <v>0</v>
      </c>
      <c r="AK45" s="147">
        <f t="shared" si="39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74" t="str">
        <f>IF(Poor!A46=0,"",Poor!A46)</f>
        <v>Other crop: Cabbage</v>
      </c>
      <c r="B46" s="104">
        <v>28.333333333333332</v>
      </c>
      <c r="C46" s="104">
        <v>-28.333333333333332</v>
      </c>
      <c r="D46" s="38">
        <f t="shared" si="25"/>
        <v>0</v>
      </c>
      <c r="E46" s="75">
        <f>Poor!E46</f>
        <v>0.2</v>
      </c>
      <c r="F46" s="75">
        <f>Poor!F46</f>
        <v>1.4</v>
      </c>
      <c r="G46" s="75">
        <f>Poor!G46</f>
        <v>1</v>
      </c>
      <c r="H46" s="24">
        <f t="shared" si="30"/>
        <v>0.27999999999999997</v>
      </c>
      <c r="I46" s="39">
        <f t="shared" si="31"/>
        <v>0</v>
      </c>
      <c r="J46" s="38">
        <f t="shared" si="32"/>
        <v>4.8161949227822536</v>
      </c>
      <c r="K46" s="40">
        <f t="shared" si="33"/>
        <v>2.9026882307944487E-4</v>
      </c>
      <c r="L46" s="22">
        <f t="shared" si="34"/>
        <v>8.1275270462244557E-5</v>
      </c>
      <c r="M46" s="24">
        <f t="shared" si="35"/>
        <v>4.9340867010254212E-5</v>
      </c>
      <c r="N46" s="2"/>
      <c r="O46" s="2"/>
      <c r="P46" s="2"/>
      <c r="Q46" s="255"/>
      <c r="S46" s="41"/>
      <c r="U46" s="56"/>
      <c r="V46" s="56"/>
      <c r="W46" s="110"/>
      <c r="X46" s="118"/>
      <c r="Y46" s="110"/>
      <c r="Z46" s="156">
        <f>Poor!Z46</f>
        <v>0.25</v>
      </c>
      <c r="AA46" s="147">
        <f t="shared" si="40"/>
        <v>1.2040487306955634</v>
      </c>
      <c r="AB46" s="156">
        <f>Poor!AB46</f>
        <v>0.25</v>
      </c>
      <c r="AC46" s="147">
        <f t="shared" si="41"/>
        <v>1.2040487306955634</v>
      </c>
      <c r="AD46" s="156">
        <f>Poor!AD46</f>
        <v>0.25</v>
      </c>
      <c r="AE46" s="147">
        <f t="shared" si="42"/>
        <v>1.2040487306955634</v>
      </c>
      <c r="AF46" s="122">
        <f t="shared" si="29"/>
        <v>0.25</v>
      </c>
      <c r="AG46" s="147">
        <f t="shared" si="36"/>
        <v>1.2040487306955634</v>
      </c>
      <c r="AH46" s="123">
        <f t="shared" si="37"/>
        <v>1</v>
      </c>
      <c r="AI46" s="112">
        <f t="shared" si="37"/>
        <v>4.8161949227822536</v>
      </c>
      <c r="AJ46" s="148">
        <f t="shared" si="38"/>
        <v>2.4080974613911268</v>
      </c>
      <c r="AK46" s="147">
        <f t="shared" si="39"/>
        <v>2.4080974613911268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74" t="str">
        <f>IF(Poor!A47=0,"",Poor!A47)</f>
        <v>beetroot: no. local meas</v>
      </c>
      <c r="B47" s="104">
        <v>0</v>
      </c>
      <c r="C47" s="104">
        <v>0</v>
      </c>
      <c r="D47" s="38">
        <f t="shared" si="25"/>
        <v>0</v>
      </c>
      <c r="E47" s="75">
        <f>Poor!E47</f>
        <v>0.2</v>
      </c>
      <c r="F47" s="75">
        <f>Poor!F47</f>
        <v>1.4</v>
      </c>
      <c r="G47" s="75">
        <f>Poor!G47</f>
        <v>1</v>
      </c>
      <c r="H47" s="24">
        <f t="shared" si="30"/>
        <v>0.27999999999999997</v>
      </c>
      <c r="I47" s="39">
        <f t="shared" si="31"/>
        <v>0</v>
      </c>
      <c r="J47" s="38">
        <f t="shared" si="32"/>
        <v>0</v>
      </c>
      <c r="K47" s="40">
        <f t="shared" si="33"/>
        <v>0</v>
      </c>
      <c r="L47" s="22">
        <f t="shared" si="34"/>
        <v>0</v>
      </c>
      <c r="M47" s="24">
        <f t="shared" si="35"/>
        <v>0</v>
      </c>
      <c r="N47" s="2"/>
      <c r="O47" s="2"/>
      <c r="P47" s="2"/>
      <c r="R47" s="243"/>
      <c r="U47" s="56"/>
      <c r="V47" s="56"/>
      <c r="W47" s="110"/>
      <c r="X47" s="118"/>
      <c r="Y47" s="110"/>
      <c r="Z47" s="156">
        <f>Poor!Z47</f>
        <v>0.25</v>
      </c>
      <c r="AA47" s="147">
        <f t="shared" si="40"/>
        <v>0</v>
      </c>
      <c r="AB47" s="156">
        <f>Poor!AB47</f>
        <v>0.25</v>
      </c>
      <c r="AC47" s="147">
        <f t="shared" si="41"/>
        <v>0</v>
      </c>
      <c r="AD47" s="156">
        <f>Poor!AD47</f>
        <v>0.25</v>
      </c>
      <c r="AE47" s="147">
        <f t="shared" si="42"/>
        <v>0</v>
      </c>
      <c r="AF47" s="122">
        <f t="shared" si="29"/>
        <v>0.25</v>
      </c>
      <c r="AG47" s="147">
        <f t="shared" si="36"/>
        <v>0</v>
      </c>
      <c r="AH47" s="123">
        <f t="shared" si="37"/>
        <v>1</v>
      </c>
      <c r="AI47" s="112">
        <f t="shared" si="37"/>
        <v>0</v>
      </c>
      <c r="AJ47" s="148">
        <f t="shared" si="38"/>
        <v>0</v>
      </c>
      <c r="AK47" s="147">
        <f t="shared" si="39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74" t="str">
        <f>IF(Poor!A48=0,"",Poor!A48)</f>
        <v>Spinach: no produced</v>
      </c>
      <c r="B48" s="104">
        <v>8.3333333333333339</v>
      </c>
      <c r="C48" s="104">
        <v>-8.3333333333333339</v>
      </c>
      <c r="D48" s="38">
        <f t="shared" si="25"/>
        <v>0</v>
      </c>
      <c r="E48" s="75">
        <f>Poor!E48</f>
        <v>0.2</v>
      </c>
      <c r="F48" s="75">
        <f>Poor!F48</f>
        <v>1.4</v>
      </c>
      <c r="G48" s="75">
        <f>Poor!G48</f>
        <v>1</v>
      </c>
      <c r="H48" s="24">
        <f t="shared" si="30"/>
        <v>0.27999999999999997</v>
      </c>
      <c r="I48" s="39">
        <f t="shared" si="31"/>
        <v>0</v>
      </c>
      <c r="J48" s="38">
        <f t="shared" si="32"/>
        <v>1.4165279184653692</v>
      </c>
      <c r="K48" s="40">
        <f t="shared" si="33"/>
        <v>8.5373183258660265E-5</v>
      </c>
      <c r="L48" s="22">
        <f t="shared" si="34"/>
        <v>2.390449131242487E-5</v>
      </c>
      <c r="M48" s="24">
        <f t="shared" si="35"/>
        <v>1.4512019708898304E-5</v>
      </c>
      <c r="N48" s="2"/>
      <c r="O48" s="2"/>
      <c r="P48" s="2"/>
      <c r="Q48" s="255"/>
      <c r="R48" s="252"/>
      <c r="S48" s="41"/>
      <c r="T48" s="29"/>
      <c r="U48" s="56"/>
      <c r="V48" s="56"/>
      <c r="W48" s="110"/>
      <c r="X48" s="118"/>
      <c r="Y48" s="110"/>
      <c r="Z48" s="156">
        <f>Poor!Z48</f>
        <v>0.25</v>
      </c>
      <c r="AA48" s="147">
        <f t="shared" si="40"/>
        <v>0.3541319796163423</v>
      </c>
      <c r="AB48" s="156">
        <f>Poor!AB48</f>
        <v>0.25</v>
      </c>
      <c r="AC48" s="147">
        <f t="shared" si="41"/>
        <v>0.3541319796163423</v>
      </c>
      <c r="AD48" s="156">
        <f>Poor!AD48</f>
        <v>0.25</v>
      </c>
      <c r="AE48" s="147">
        <f t="shared" si="42"/>
        <v>0.3541319796163423</v>
      </c>
      <c r="AF48" s="122">
        <f t="shared" si="29"/>
        <v>0.25</v>
      </c>
      <c r="AG48" s="147">
        <f t="shared" si="36"/>
        <v>0.3541319796163423</v>
      </c>
      <c r="AH48" s="123">
        <f t="shared" si="37"/>
        <v>1</v>
      </c>
      <c r="AI48" s="112">
        <f t="shared" si="37"/>
        <v>1.4165279184653692</v>
      </c>
      <c r="AJ48" s="148">
        <f t="shared" si="38"/>
        <v>0.70826395923268459</v>
      </c>
      <c r="AK48" s="147">
        <f t="shared" si="39"/>
        <v>0.70826395923268459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74" t="str">
        <f>IF(Poor!A49=0,"",Poor!A49)</f>
        <v>Other crop: pumpkin</v>
      </c>
      <c r="B49" s="104">
        <v>26.666666666666668</v>
      </c>
      <c r="C49" s="104">
        <v>-26.666666666666668</v>
      </c>
      <c r="D49" s="38">
        <f t="shared" si="25"/>
        <v>0</v>
      </c>
      <c r="E49" s="75">
        <f>Poor!E49</f>
        <v>0.2</v>
      </c>
      <c r="F49" s="75">
        <f>Poor!F49</f>
        <v>1.4</v>
      </c>
      <c r="G49" s="75">
        <f>Poor!G49</f>
        <v>1</v>
      </c>
      <c r="H49" s="24">
        <f t="shared" si="30"/>
        <v>0.27999999999999997</v>
      </c>
      <c r="I49" s="39">
        <f t="shared" si="31"/>
        <v>0</v>
      </c>
      <c r="J49" s="38">
        <f t="shared" si="32"/>
        <v>4.5328893390891807</v>
      </c>
      <c r="K49" s="40">
        <f t="shared" si="33"/>
        <v>2.7319418642771288E-4</v>
      </c>
      <c r="L49" s="22">
        <f t="shared" si="34"/>
        <v>7.6494372199759596E-5</v>
      </c>
      <c r="M49" s="24">
        <f t="shared" si="35"/>
        <v>4.6438463068474562E-5</v>
      </c>
      <c r="N49" s="2"/>
      <c r="O49" s="2"/>
      <c r="P49" s="2"/>
      <c r="V49" s="56"/>
      <c r="W49" s="110"/>
      <c r="X49" s="118"/>
      <c r="Y49" s="110"/>
      <c r="Z49" s="156">
        <f>Poor!Z49</f>
        <v>0.25</v>
      </c>
      <c r="AA49" s="147">
        <f t="shared" si="40"/>
        <v>1.1332223347722952</v>
      </c>
      <c r="AB49" s="156">
        <f>Poor!AB49</f>
        <v>0.25</v>
      </c>
      <c r="AC49" s="147">
        <f t="shared" si="41"/>
        <v>1.1332223347722952</v>
      </c>
      <c r="AD49" s="156">
        <f>Poor!AD49</f>
        <v>0.25</v>
      </c>
      <c r="AE49" s="147">
        <f t="shared" si="42"/>
        <v>1.1332223347722952</v>
      </c>
      <c r="AF49" s="122">
        <f t="shared" si="29"/>
        <v>0.25</v>
      </c>
      <c r="AG49" s="147">
        <f t="shared" si="36"/>
        <v>1.1332223347722952</v>
      </c>
      <c r="AH49" s="123">
        <f t="shared" si="37"/>
        <v>1</v>
      </c>
      <c r="AI49" s="112">
        <f t="shared" si="37"/>
        <v>4.5328893390891807</v>
      </c>
      <c r="AJ49" s="148">
        <f t="shared" si="38"/>
        <v>2.2664446695445903</v>
      </c>
      <c r="AK49" s="147">
        <f t="shared" si="39"/>
        <v>2.2664446695445903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74" t="str">
        <f>IF(Poor!A50=0,"",Poor!A50)</f>
        <v>Other cashcrop: sugar cane (tons)</v>
      </c>
      <c r="B50" s="104">
        <v>0</v>
      </c>
      <c r="C50" s="104">
        <v>0</v>
      </c>
      <c r="D50" s="38">
        <f t="shared" si="25"/>
        <v>0</v>
      </c>
      <c r="E50" s="75">
        <f>Poor!E50</f>
        <v>0.2</v>
      </c>
      <c r="F50" s="75">
        <f>Poor!F50</f>
        <v>1.4</v>
      </c>
      <c r="G50" s="75">
        <f>Poor!G50</f>
        <v>1</v>
      </c>
      <c r="H50" s="24">
        <f t="shared" si="30"/>
        <v>0.27999999999999997</v>
      </c>
      <c r="I50" s="39">
        <f t="shared" si="31"/>
        <v>0</v>
      </c>
      <c r="J50" s="38">
        <f t="shared" si="32"/>
        <v>0</v>
      </c>
      <c r="K50" s="40">
        <f t="shared" si="33"/>
        <v>0</v>
      </c>
      <c r="L50" s="22">
        <f t="shared" si="34"/>
        <v>0</v>
      </c>
      <c r="M50" s="24">
        <f t="shared" si="35"/>
        <v>0</v>
      </c>
      <c r="N50" s="2"/>
      <c r="O50" s="2"/>
      <c r="P50" s="2"/>
      <c r="V50" s="56"/>
      <c r="W50" s="110"/>
      <c r="X50" s="118"/>
      <c r="Y50" s="110"/>
      <c r="Z50" s="156">
        <f>Poor!Z55</f>
        <v>0.25</v>
      </c>
      <c r="AA50" s="147">
        <f t="shared" si="40"/>
        <v>0</v>
      </c>
      <c r="AB50" s="156">
        <f>Poor!AB55</f>
        <v>0.25</v>
      </c>
      <c r="AC50" s="147">
        <f t="shared" si="41"/>
        <v>0</v>
      </c>
      <c r="AD50" s="156">
        <f>Poor!AD55</f>
        <v>0.25</v>
      </c>
      <c r="AE50" s="147">
        <f t="shared" si="42"/>
        <v>0</v>
      </c>
      <c r="AF50" s="122">
        <f t="shared" si="29"/>
        <v>0.25</v>
      </c>
      <c r="AG50" s="147">
        <f t="shared" si="36"/>
        <v>0</v>
      </c>
      <c r="AH50" s="123">
        <f t="shared" si="37"/>
        <v>1</v>
      </c>
      <c r="AI50" s="112">
        <f t="shared" si="37"/>
        <v>0</v>
      </c>
      <c r="AJ50" s="148">
        <f t="shared" si="38"/>
        <v>0</v>
      </c>
      <c r="AK50" s="147">
        <f t="shared" si="39"/>
        <v>0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74" t="str">
        <f>IF(Poor!A51=0,"",Poor!A51)</f>
        <v>Agricultural cash income -- see Data2</v>
      </c>
      <c r="B51" s="104">
        <v>0</v>
      </c>
      <c r="C51" s="104">
        <v>0</v>
      </c>
      <c r="D51" s="38">
        <f t="shared" si="25"/>
        <v>0</v>
      </c>
      <c r="E51" s="75">
        <f>Poor!E51</f>
        <v>0.5</v>
      </c>
      <c r="F51" s="75">
        <f>Poor!F51</f>
        <v>1.1100000000000001</v>
      </c>
      <c r="G51" s="75">
        <f>Poor!G51</f>
        <v>1</v>
      </c>
      <c r="H51" s="24">
        <f t="shared" si="30"/>
        <v>0.55500000000000005</v>
      </c>
      <c r="I51" s="39">
        <f t="shared" si="31"/>
        <v>0</v>
      </c>
      <c r="J51" s="38">
        <f t="shared" si="32"/>
        <v>0</v>
      </c>
      <c r="K51" s="40">
        <f t="shared" si="33"/>
        <v>0</v>
      </c>
      <c r="L51" s="22">
        <f t="shared" si="34"/>
        <v>0</v>
      </c>
      <c r="M51" s="24">
        <f t="shared" si="35"/>
        <v>0</v>
      </c>
      <c r="N51" s="2"/>
      <c r="O51" s="2"/>
      <c r="P51" s="2"/>
      <c r="V51" s="56"/>
      <c r="W51" s="110"/>
      <c r="X51" s="118"/>
      <c r="Y51" s="110"/>
      <c r="Z51" s="156">
        <f>Poor!Z56</f>
        <v>0.25</v>
      </c>
      <c r="AA51" s="147">
        <f t="shared" si="40"/>
        <v>0</v>
      </c>
      <c r="AB51" s="156">
        <f>Poor!AB56</f>
        <v>0.25</v>
      </c>
      <c r="AC51" s="147">
        <f t="shared" si="41"/>
        <v>0</v>
      </c>
      <c r="AD51" s="156">
        <f>Poor!AD56</f>
        <v>0.25</v>
      </c>
      <c r="AE51" s="147">
        <f t="shared" si="42"/>
        <v>0</v>
      </c>
      <c r="AF51" s="122">
        <f t="shared" si="29"/>
        <v>0.25</v>
      </c>
      <c r="AG51" s="147">
        <f t="shared" si="36"/>
        <v>0</v>
      </c>
      <c r="AH51" s="123">
        <f t="shared" si="37"/>
        <v>1</v>
      </c>
      <c r="AI51" s="112">
        <f t="shared" si="37"/>
        <v>0</v>
      </c>
      <c r="AJ51" s="148">
        <f t="shared" si="38"/>
        <v>0</v>
      </c>
      <c r="AK51" s="147">
        <f t="shared" si="39"/>
        <v>0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74" t="str">
        <f>IF(Poor!A52=0,"",Poor!A52)</f>
        <v>Construction cash income -- see Data2</v>
      </c>
      <c r="B52" s="104">
        <v>36000</v>
      </c>
      <c r="C52" s="104">
        <v>0</v>
      </c>
      <c r="D52" s="38">
        <f t="shared" si="25"/>
        <v>36000</v>
      </c>
      <c r="E52" s="75">
        <f>Poor!E52</f>
        <v>0.5</v>
      </c>
      <c r="F52" s="75">
        <f>Poor!F52</f>
        <v>1.1100000000000001</v>
      </c>
      <c r="G52" s="75">
        <f>Poor!G52</f>
        <v>1</v>
      </c>
      <c r="H52" s="24">
        <f t="shared" si="30"/>
        <v>0.55500000000000005</v>
      </c>
      <c r="I52" s="39">
        <f t="shared" si="31"/>
        <v>19980</v>
      </c>
      <c r="J52" s="38">
        <f t="shared" si="32"/>
        <v>19980.000000000004</v>
      </c>
      <c r="K52" s="40">
        <f t="shared" si="33"/>
        <v>0.36881215167741233</v>
      </c>
      <c r="L52" s="22">
        <f t="shared" si="34"/>
        <v>0.20469074418096386</v>
      </c>
      <c r="M52" s="24">
        <f t="shared" si="35"/>
        <v>0.20469074418096389</v>
      </c>
      <c r="N52" s="2"/>
      <c r="O52" s="2"/>
      <c r="P52" s="2"/>
      <c r="Q52" s="2"/>
      <c r="R52" s="218"/>
      <c r="S52" s="68"/>
      <c r="T52" s="2"/>
      <c r="U52" s="56"/>
      <c r="V52" s="56"/>
      <c r="W52" s="110"/>
      <c r="X52" s="118"/>
      <c r="Y52" s="110"/>
      <c r="Z52" s="156">
        <f>Poor!Z57</f>
        <v>0.25</v>
      </c>
      <c r="AA52" s="147">
        <f t="shared" si="40"/>
        <v>4995.0000000000009</v>
      </c>
      <c r="AB52" s="156">
        <f>Poor!AB57</f>
        <v>0.25</v>
      </c>
      <c r="AC52" s="147">
        <f t="shared" si="41"/>
        <v>4995.0000000000009</v>
      </c>
      <c r="AD52" s="156">
        <f>Poor!AD57</f>
        <v>0.25</v>
      </c>
      <c r="AE52" s="147">
        <f t="shared" si="42"/>
        <v>4995.0000000000009</v>
      </c>
      <c r="AF52" s="122">
        <f t="shared" si="29"/>
        <v>0.25</v>
      </c>
      <c r="AG52" s="147">
        <f t="shared" si="36"/>
        <v>4995.0000000000009</v>
      </c>
      <c r="AH52" s="123">
        <f t="shared" si="37"/>
        <v>1</v>
      </c>
      <c r="AI52" s="112">
        <f t="shared" si="37"/>
        <v>19980.000000000004</v>
      </c>
      <c r="AJ52" s="148">
        <f t="shared" si="38"/>
        <v>9990.0000000000018</v>
      </c>
      <c r="AK52" s="147">
        <f t="shared" si="39"/>
        <v>9990.0000000000018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74" t="str">
        <f>IF(Poor!A53=0,"",Poor!A53)</f>
        <v>Domestic work cash income -- see Data2</v>
      </c>
      <c r="B53" s="104">
        <v>6400</v>
      </c>
      <c r="C53" s="104">
        <v>0</v>
      </c>
      <c r="D53" s="38">
        <f t="shared" si="25"/>
        <v>6400</v>
      </c>
      <c r="E53" s="75">
        <f>Poor!E53</f>
        <v>0.5</v>
      </c>
      <c r="F53" s="75">
        <f>Poor!F53</f>
        <v>1.1100000000000001</v>
      </c>
      <c r="G53" s="75">
        <f>Poor!G53</f>
        <v>1</v>
      </c>
      <c r="H53" s="24">
        <f t="shared" si="30"/>
        <v>0.55500000000000005</v>
      </c>
      <c r="I53" s="39">
        <f t="shared" si="31"/>
        <v>3552.0000000000005</v>
      </c>
      <c r="J53" s="38">
        <f t="shared" si="32"/>
        <v>3552</v>
      </c>
      <c r="K53" s="40">
        <f t="shared" si="33"/>
        <v>6.556660474265108E-2</v>
      </c>
      <c r="L53" s="22">
        <f t="shared" si="34"/>
        <v>3.6389465632171353E-2</v>
      </c>
      <c r="M53" s="24">
        <f t="shared" si="35"/>
        <v>3.6389465632171353E-2</v>
      </c>
      <c r="N53" s="2"/>
      <c r="O53" s="2"/>
      <c r="P53" s="2"/>
      <c r="Q53" s="2"/>
      <c r="R53" s="218"/>
      <c r="S53" s="68"/>
      <c r="T53" s="2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74" t="str">
        <f>IF(Poor!A54=0,"",Poor!A54)</f>
        <v>Formal Employment (conservancies, etc.)</v>
      </c>
      <c r="B54" s="104">
        <v>14720</v>
      </c>
      <c r="C54" s="104">
        <v>0</v>
      </c>
      <c r="D54" s="38">
        <f t="shared" si="25"/>
        <v>14720</v>
      </c>
      <c r="E54" s="75">
        <f>Poor!E54</f>
        <v>0.4</v>
      </c>
      <c r="F54" s="75">
        <f>Poor!F54</f>
        <v>1.18</v>
      </c>
      <c r="G54" s="75">
        <f>Poor!G54</f>
        <v>1</v>
      </c>
      <c r="H54" s="24">
        <f t="shared" si="30"/>
        <v>0.47199999999999998</v>
      </c>
      <c r="I54" s="39">
        <f t="shared" si="31"/>
        <v>6947.8399999999992</v>
      </c>
      <c r="J54" s="38">
        <f t="shared" si="32"/>
        <v>6947.8399999999992</v>
      </c>
      <c r="K54" s="40">
        <f t="shared" si="33"/>
        <v>0.15080319090809749</v>
      </c>
      <c r="L54" s="22">
        <f t="shared" si="34"/>
        <v>7.1179106108622006E-2</v>
      </c>
      <c r="M54" s="24">
        <f t="shared" si="35"/>
        <v>7.1179106108622006E-2</v>
      </c>
      <c r="N54" s="2"/>
      <c r="O54" s="2"/>
      <c r="P54" s="2"/>
      <c r="Q54" s="2"/>
      <c r="R54" s="218"/>
      <c r="S54" s="68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74" t="str">
        <f>IF(Poor!A55=0,"",Poor!A55)</f>
        <v>Labour migration(formal employment): no. people per HH</v>
      </c>
      <c r="B55" s="104">
        <v>5340</v>
      </c>
      <c r="C55" s="104">
        <v>0</v>
      </c>
      <c r="D55" s="38">
        <f t="shared" si="25"/>
        <v>5340</v>
      </c>
      <c r="E55" s="75">
        <f>Poor!E55</f>
        <v>0.4</v>
      </c>
      <c r="F55" s="75">
        <f>Poor!F55</f>
        <v>1.18</v>
      </c>
      <c r="G55" s="75">
        <f>Poor!G55</f>
        <v>1</v>
      </c>
      <c r="H55" s="24">
        <f t="shared" si="30"/>
        <v>0.47199999999999998</v>
      </c>
      <c r="I55" s="39">
        <f t="shared" si="31"/>
        <v>2520.48</v>
      </c>
      <c r="J55" s="38">
        <f t="shared" si="32"/>
        <v>2520.4799999999996</v>
      </c>
      <c r="K55" s="40">
        <f t="shared" si="33"/>
        <v>5.4707135832149499E-2</v>
      </c>
      <c r="L55" s="22">
        <f t="shared" si="34"/>
        <v>2.5821768112774562E-2</v>
      </c>
      <c r="M55" s="24">
        <f t="shared" si="35"/>
        <v>2.5821768112774559E-2</v>
      </c>
      <c r="N55" s="2"/>
      <c r="O55" s="2"/>
      <c r="P55" s="2"/>
      <c r="Q55" s="2"/>
      <c r="R55" s="218"/>
      <c r="S55" s="68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74" t="str">
        <f>IF(Poor!A56=0,"",Poor!A56)</f>
        <v>Small business -- see Data2</v>
      </c>
      <c r="B56" s="104">
        <v>0</v>
      </c>
      <c r="C56" s="104">
        <v>0</v>
      </c>
      <c r="D56" s="38">
        <f t="shared" si="25"/>
        <v>0</v>
      </c>
      <c r="E56" s="75">
        <f>Poor!E56</f>
        <v>0.8</v>
      </c>
      <c r="F56" s="75">
        <f>Poor!F56</f>
        <v>1.18</v>
      </c>
      <c r="G56" s="75">
        <f>Poor!G56</f>
        <v>1</v>
      </c>
      <c r="H56" s="24">
        <f t="shared" si="30"/>
        <v>0.94399999999999995</v>
      </c>
      <c r="I56" s="39">
        <f t="shared" si="31"/>
        <v>0</v>
      </c>
      <c r="J56" s="38">
        <f t="shared" si="32"/>
        <v>0</v>
      </c>
      <c r="K56" s="40">
        <f t="shared" si="33"/>
        <v>0</v>
      </c>
      <c r="L56" s="22">
        <f t="shared" si="34"/>
        <v>0</v>
      </c>
      <c r="M56" s="24">
        <f t="shared" si="35"/>
        <v>0</v>
      </c>
      <c r="N56" s="2"/>
      <c r="O56" s="2"/>
      <c r="P56" s="2"/>
      <c r="Q56" s="2"/>
      <c r="R56" s="218"/>
      <c r="S56" s="68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74" t="str">
        <f>IF(Poor!A57=0,"",Poor!A57)</f>
        <v>Social development -- see Data2</v>
      </c>
      <c r="B57" s="104">
        <v>6644</v>
      </c>
      <c r="C57" s="104">
        <v>0</v>
      </c>
      <c r="D57" s="38">
        <f t="shared" si="25"/>
        <v>6644</v>
      </c>
      <c r="E57" s="75">
        <f>Poor!E57</f>
        <v>1</v>
      </c>
      <c r="F57" s="75">
        <f>Poor!F57</f>
        <v>1.18</v>
      </c>
      <c r="G57" s="75">
        <f>Poor!G57</f>
        <v>1</v>
      </c>
      <c r="H57" s="24">
        <f t="shared" si="30"/>
        <v>1.18</v>
      </c>
      <c r="I57" s="39">
        <f t="shared" si="31"/>
        <v>7839.9199999999992</v>
      </c>
      <c r="J57" s="38">
        <f t="shared" si="32"/>
        <v>7839.9199999999983</v>
      </c>
      <c r="K57" s="40">
        <f t="shared" si="33"/>
        <v>6.8066331548464656E-2</v>
      </c>
      <c r="L57" s="22">
        <f t="shared" si="34"/>
        <v>8.0318271227188293E-2</v>
      </c>
      <c r="M57" s="24">
        <f t="shared" si="35"/>
        <v>8.0318271227188279E-2</v>
      </c>
      <c r="N57" s="2"/>
      <c r="O57" s="2"/>
      <c r="P57" s="2"/>
      <c r="Q57" s="2"/>
      <c r="R57" s="218"/>
      <c r="S57" s="68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74" t="str">
        <f>IF(Poor!A58=0,"",Poor!A58)</f>
        <v>Public works -- see Data2</v>
      </c>
      <c r="B58" s="104">
        <v>833.33333333333337</v>
      </c>
      <c r="C58" s="104">
        <v>0</v>
      </c>
      <c r="D58" s="38">
        <f t="shared" si="25"/>
        <v>833.33333333333337</v>
      </c>
      <c r="E58" s="75">
        <f>Poor!E58</f>
        <v>1</v>
      </c>
      <c r="F58" s="75">
        <f>Poor!F58</f>
        <v>1.18</v>
      </c>
      <c r="G58" s="75">
        <f>Poor!G58</f>
        <v>1</v>
      </c>
      <c r="H58" s="24">
        <f t="shared" si="30"/>
        <v>1.18</v>
      </c>
      <c r="I58" s="39">
        <f t="shared" si="31"/>
        <v>983.33333333333337</v>
      </c>
      <c r="J58" s="38">
        <f t="shared" si="32"/>
        <v>983.33333333333326</v>
      </c>
      <c r="K58" s="40">
        <f t="shared" si="33"/>
        <v>8.5373183258660272E-3</v>
      </c>
      <c r="L58" s="22">
        <f t="shared" si="34"/>
        <v>1.0074035624521912E-2</v>
      </c>
      <c r="M58" s="24">
        <f t="shared" si="35"/>
        <v>1.007403562452191E-2</v>
      </c>
      <c r="N58" s="2"/>
      <c r="O58" s="2"/>
      <c r="P58" s="2"/>
      <c r="Q58" s="2"/>
      <c r="R58" s="218"/>
      <c r="S58" s="68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40"/>
        <v>245.83333333333331</v>
      </c>
      <c r="AB58" s="156">
        <f>Poor!AB58</f>
        <v>0.25</v>
      </c>
      <c r="AC58" s="147">
        <f t="shared" si="41"/>
        <v>245.83333333333331</v>
      </c>
      <c r="AD58" s="156">
        <f>Poor!AD58</f>
        <v>0.25</v>
      </c>
      <c r="AE58" s="147">
        <f t="shared" si="42"/>
        <v>245.83333333333331</v>
      </c>
      <c r="AF58" s="122">
        <f t="shared" si="29"/>
        <v>0.25</v>
      </c>
      <c r="AG58" s="147">
        <f t="shared" si="36"/>
        <v>245.83333333333331</v>
      </c>
      <c r="AH58" s="123">
        <f t="shared" si="37"/>
        <v>1</v>
      </c>
      <c r="AI58" s="112">
        <f t="shared" si="37"/>
        <v>983.33333333333326</v>
      </c>
      <c r="AJ58" s="148">
        <f t="shared" si="38"/>
        <v>491.66666666666663</v>
      </c>
      <c r="AK58" s="147">
        <f t="shared" si="39"/>
        <v>491.66666666666663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74" t="str">
        <f>IF(Poor!A59=0,"",Poor!A59)</f>
        <v>Gifts/social support: type (Child support, Pension and Foster Care)</v>
      </c>
      <c r="B59" s="104">
        <v>4450</v>
      </c>
      <c r="C59" s="104">
        <v>0</v>
      </c>
      <c r="D59" s="38">
        <f t="shared" si="25"/>
        <v>4450</v>
      </c>
      <c r="E59" s="75">
        <f>Poor!E59</f>
        <v>1</v>
      </c>
      <c r="F59" s="75">
        <f>Poor!F59</f>
        <v>1.1100000000000001</v>
      </c>
      <c r="G59" s="75">
        <f>Poor!G59</f>
        <v>1</v>
      </c>
      <c r="H59" s="24">
        <f t="shared" si="30"/>
        <v>1.1100000000000001</v>
      </c>
      <c r="I59" s="39">
        <f t="shared" si="31"/>
        <v>4939.5</v>
      </c>
      <c r="J59" s="38">
        <f t="shared" si="32"/>
        <v>4939.5</v>
      </c>
      <c r="K59" s="40">
        <f t="shared" si="33"/>
        <v>4.5589279860124579E-2</v>
      </c>
      <c r="L59" s="22">
        <f t="shared" si="34"/>
        <v>5.060410064473829E-2</v>
      </c>
      <c r="M59" s="24">
        <f t="shared" si="35"/>
        <v>5.0604100644738283E-2</v>
      </c>
      <c r="N59" s="2"/>
      <c r="O59" s="2"/>
      <c r="P59" s="2"/>
      <c r="Q59" s="2"/>
      <c r="R59" s="218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40"/>
        <v>1234.875</v>
      </c>
      <c r="AB59" s="156">
        <f>Poor!AB59</f>
        <v>0.25</v>
      </c>
      <c r="AC59" s="147">
        <f t="shared" si="41"/>
        <v>1234.875</v>
      </c>
      <c r="AD59" s="156">
        <f>Poor!AD59</f>
        <v>0.25</v>
      </c>
      <c r="AE59" s="147">
        <f t="shared" si="42"/>
        <v>1234.875</v>
      </c>
      <c r="AF59" s="122">
        <f t="shared" si="29"/>
        <v>0.25</v>
      </c>
      <c r="AG59" s="147">
        <f t="shared" si="36"/>
        <v>1234.875</v>
      </c>
      <c r="AH59" s="123">
        <f t="shared" ref="AH59:AI64" si="43">SUM(Z59,AB59,AD59,AF59)</f>
        <v>1</v>
      </c>
      <c r="AI59" s="112">
        <f t="shared" si="43"/>
        <v>4939.5</v>
      </c>
      <c r="AJ59" s="148">
        <f t="shared" si="38"/>
        <v>2469.75</v>
      </c>
      <c r="AK59" s="147">
        <f t="shared" si="39"/>
        <v>2469.75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74" t="str">
        <f>IF(Poor!A60=0,"",Poor!A60)</f>
        <v>Other income: e.g. Credit (cotton loans)</v>
      </c>
      <c r="B60" s="104">
        <v>0</v>
      </c>
      <c r="C60" s="104">
        <v>0</v>
      </c>
      <c r="D60" s="38">
        <f t="shared" si="25"/>
        <v>0</v>
      </c>
      <c r="E60" s="75">
        <f>Poor!E60</f>
        <v>1</v>
      </c>
      <c r="F60" s="75">
        <f>Poor!F60</f>
        <v>1</v>
      </c>
      <c r="G60" s="75">
        <f>Poor!G60</f>
        <v>1</v>
      </c>
      <c r="H60" s="24">
        <f t="shared" si="30"/>
        <v>1</v>
      </c>
      <c r="I60" s="39">
        <f t="shared" si="31"/>
        <v>0</v>
      </c>
      <c r="J60" s="38">
        <f t="shared" si="32"/>
        <v>0</v>
      </c>
      <c r="K60" s="40">
        <f t="shared" si="33"/>
        <v>0</v>
      </c>
      <c r="L60" s="22">
        <f t="shared" si="34"/>
        <v>0</v>
      </c>
      <c r="M60" s="24">
        <f t="shared" si="35"/>
        <v>0</v>
      </c>
      <c r="N60" s="2"/>
      <c r="O60" s="2"/>
      <c r="P60" s="2"/>
      <c r="Q60" s="2"/>
      <c r="R60" s="2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40"/>
        <v>0</v>
      </c>
      <c r="AB60" s="156">
        <f>Poor!AB60</f>
        <v>0.25</v>
      </c>
      <c r="AC60" s="147">
        <f t="shared" si="41"/>
        <v>0</v>
      </c>
      <c r="AD60" s="156">
        <f>Poor!AD60</f>
        <v>0.25</v>
      </c>
      <c r="AE60" s="147">
        <f t="shared" si="42"/>
        <v>0</v>
      </c>
      <c r="AF60" s="122">
        <f t="shared" si="29"/>
        <v>0.25</v>
      </c>
      <c r="AG60" s="147">
        <f t="shared" si="36"/>
        <v>0</v>
      </c>
      <c r="AH60" s="123">
        <f t="shared" si="43"/>
        <v>1</v>
      </c>
      <c r="AI60" s="112">
        <f t="shared" si="43"/>
        <v>0</v>
      </c>
      <c r="AJ60" s="148">
        <f t="shared" si="38"/>
        <v>0</v>
      </c>
      <c r="AK60" s="147">
        <f t="shared" si="39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74" t="str">
        <f>IF(Poor!A61=0,"",Poor!A61)</f>
        <v>Remittances: no. times per year</v>
      </c>
      <c r="B61" s="104">
        <v>0</v>
      </c>
      <c r="C61" s="104">
        <v>0</v>
      </c>
      <c r="D61" s="38">
        <f t="shared" si="25"/>
        <v>0</v>
      </c>
      <c r="E61" s="75">
        <f>Poor!E61</f>
        <v>1</v>
      </c>
      <c r="F61" s="75">
        <f>Poor!F61</f>
        <v>1.1100000000000001</v>
      </c>
      <c r="G61" s="75">
        <f>Poor!G61</f>
        <v>1</v>
      </c>
      <c r="H61" s="24">
        <f t="shared" si="30"/>
        <v>1.1100000000000001</v>
      </c>
      <c r="I61" s="39">
        <f t="shared" si="31"/>
        <v>0</v>
      </c>
      <c r="J61" s="38">
        <f t="shared" si="32"/>
        <v>0</v>
      </c>
      <c r="K61" s="40">
        <f t="shared" si="33"/>
        <v>0</v>
      </c>
      <c r="L61" s="22">
        <f t="shared" si="34"/>
        <v>0</v>
      </c>
      <c r="M61" s="24">
        <f t="shared" si="35"/>
        <v>0</v>
      </c>
      <c r="N61" s="2"/>
      <c r="O61" s="2"/>
      <c r="P61" s="2"/>
      <c r="Q61" s="2"/>
      <c r="R61" s="2"/>
      <c r="S61" s="2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40"/>
        <v>0</v>
      </c>
      <c r="AB61" s="156">
        <f>Poor!AB61</f>
        <v>0.25</v>
      </c>
      <c r="AC61" s="147">
        <f t="shared" si="41"/>
        <v>0</v>
      </c>
      <c r="AD61" s="156">
        <f>Poor!AD61</f>
        <v>0.25</v>
      </c>
      <c r="AE61" s="147">
        <f t="shared" si="42"/>
        <v>0</v>
      </c>
      <c r="AF61" s="122">
        <f t="shared" si="29"/>
        <v>0.25</v>
      </c>
      <c r="AG61" s="147">
        <f t="shared" si="36"/>
        <v>0</v>
      </c>
      <c r="AH61" s="123">
        <f t="shared" si="43"/>
        <v>1</v>
      </c>
      <c r="AI61" s="112">
        <f t="shared" si="43"/>
        <v>0</v>
      </c>
      <c r="AJ61" s="148">
        <f t="shared" si="38"/>
        <v>0</v>
      </c>
      <c r="AK61" s="147">
        <f t="shared" si="39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74" t="str">
        <f>IF(Poor!A62=0,"",Poor!A62)</f>
        <v/>
      </c>
      <c r="B62" s="104">
        <v>0</v>
      </c>
      <c r="C62" s="104">
        <v>0</v>
      </c>
      <c r="D62" s="38">
        <f t="shared" si="25"/>
        <v>0</v>
      </c>
      <c r="E62" s="75">
        <f>Poor!E62</f>
        <v>1</v>
      </c>
      <c r="F62" s="75">
        <f>Poor!F62</f>
        <v>1</v>
      </c>
      <c r="G62" s="75">
        <f>Poor!G62</f>
        <v>1</v>
      </c>
      <c r="H62" s="24">
        <f t="shared" si="30"/>
        <v>1</v>
      </c>
      <c r="I62" s="39">
        <f t="shared" si="31"/>
        <v>0</v>
      </c>
      <c r="J62" s="38">
        <f t="shared" si="32"/>
        <v>0</v>
      </c>
      <c r="K62" s="40">
        <f t="shared" si="33"/>
        <v>0</v>
      </c>
      <c r="L62" s="22">
        <f t="shared" si="34"/>
        <v>0</v>
      </c>
      <c r="M62" s="24">
        <f t="shared" si="35"/>
        <v>0</v>
      </c>
      <c r="N62" s="2"/>
      <c r="O62" s="2"/>
      <c r="P62" s="2"/>
      <c r="Q62" s="2"/>
      <c r="R62" s="2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40"/>
        <v>0</v>
      </c>
      <c r="AB62" s="156">
        <f>Poor!AB62</f>
        <v>0.25</v>
      </c>
      <c r="AC62" s="147">
        <f t="shared" si="41"/>
        <v>0</v>
      </c>
      <c r="AD62" s="156">
        <f>Poor!AD62</f>
        <v>0.25</v>
      </c>
      <c r="AE62" s="147">
        <f t="shared" si="42"/>
        <v>0</v>
      </c>
      <c r="AF62" s="122">
        <f t="shared" si="29"/>
        <v>0.25</v>
      </c>
      <c r="AG62" s="147">
        <f t="shared" si="36"/>
        <v>0</v>
      </c>
      <c r="AH62" s="123">
        <f t="shared" si="43"/>
        <v>1</v>
      </c>
      <c r="AI62" s="112">
        <f t="shared" si="43"/>
        <v>0</v>
      </c>
      <c r="AJ62" s="148">
        <f t="shared" si="38"/>
        <v>0</v>
      </c>
      <c r="AK62" s="147">
        <f t="shared" si="39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74" t="str">
        <f>IF(Poor!A63=0,"",Poor!A63)</f>
        <v/>
      </c>
      <c r="B63" s="104">
        <v>0</v>
      </c>
      <c r="C63" s="104">
        <v>0</v>
      </c>
      <c r="D63" s="38">
        <f t="shared" si="25"/>
        <v>0</v>
      </c>
      <c r="E63" s="75">
        <f>Poor!E63</f>
        <v>1</v>
      </c>
      <c r="F63" s="75">
        <f>Poor!F63</f>
        <v>1</v>
      </c>
      <c r="G63" s="75">
        <f>Poor!G63</f>
        <v>1</v>
      </c>
      <c r="H63" s="24">
        <f t="shared" si="30"/>
        <v>1</v>
      </c>
      <c r="I63" s="39">
        <f t="shared" si="31"/>
        <v>0</v>
      </c>
      <c r="J63" s="38">
        <f t="shared" si="32"/>
        <v>0</v>
      </c>
      <c r="K63" s="40">
        <f t="shared" si="33"/>
        <v>0</v>
      </c>
      <c r="L63" s="22">
        <f t="shared" si="34"/>
        <v>0</v>
      </c>
      <c r="M63" s="24">
        <f t="shared" si="3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40"/>
        <v>0</v>
      </c>
      <c r="AB63" s="156">
        <f>Poor!AB63</f>
        <v>0.25</v>
      </c>
      <c r="AC63" s="147">
        <f t="shared" si="41"/>
        <v>0</v>
      </c>
      <c r="AD63" s="156">
        <f>Poor!AD63</f>
        <v>0.25</v>
      </c>
      <c r="AE63" s="147">
        <f t="shared" si="42"/>
        <v>0</v>
      </c>
      <c r="AF63" s="122">
        <f t="shared" si="29"/>
        <v>0.25</v>
      </c>
      <c r="AG63" s="147">
        <f t="shared" si="36"/>
        <v>0</v>
      </c>
      <c r="AH63" s="123">
        <f t="shared" si="43"/>
        <v>1</v>
      </c>
      <c r="AI63" s="112">
        <f t="shared" si="43"/>
        <v>0</v>
      </c>
      <c r="AJ63" s="148">
        <f t="shared" si="38"/>
        <v>0</v>
      </c>
      <c r="AK63" s="147">
        <f t="shared" si="39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74" t="str">
        <f>IF(Poor!A64=0,"",Poor!A64)</f>
        <v/>
      </c>
      <c r="B64" s="104">
        <v>0</v>
      </c>
      <c r="C64" s="104">
        <v>0</v>
      </c>
      <c r="D64" s="38">
        <f t="shared" si="25"/>
        <v>0</v>
      </c>
      <c r="E64" s="75">
        <f>Poor!E64</f>
        <v>1</v>
      </c>
      <c r="F64" s="75">
        <f>Poor!F64</f>
        <v>1</v>
      </c>
      <c r="G64" s="75">
        <f>Poor!G64</f>
        <v>1</v>
      </c>
      <c r="H64" s="24">
        <f t="shared" si="30"/>
        <v>1</v>
      </c>
      <c r="I64" s="39">
        <f t="shared" si="31"/>
        <v>0</v>
      </c>
      <c r="J64" s="38">
        <f t="shared" si="32"/>
        <v>0</v>
      </c>
      <c r="K64" s="40">
        <f t="shared" si="33"/>
        <v>0</v>
      </c>
      <c r="L64" s="22">
        <f t="shared" si="34"/>
        <v>0</v>
      </c>
      <c r="M64" s="24">
        <f t="shared" si="3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40"/>
        <v>0</v>
      </c>
      <c r="AB64" s="156">
        <f>Poor!AB64</f>
        <v>0.25</v>
      </c>
      <c r="AC64" s="149">
        <f t="shared" si="41"/>
        <v>0</v>
      </c>
      <c r="AD64" s="156">
        <f>Poor!AD64</f>
        <v>0.25</v>
      </c>
      <c r="AE64" s="149">
        <f t="shared" si="42"/>
        <v>0</v>
      </c>
      <c r="AF64" s="150">
        <f t="shared" si="29"/>
        <v>0.25</v>
      </c>
      <c r="AG64" s="149">
        <f t="shared" si="36"/>
        <v>0</v>
      </c>
      <c r="AH64" s="123">
        <f t="shared" si="43"/>
        <v>1</v>
      </c>
      <c r="AI64" s="112">
        <f t="shared" si="43"/>
        <v>0</v>
      </c>
      <c r="AJ64" s="151">
        <f t="shared" si="38"/>
        <v>0</v>
      </c>
      <c r="AK64" s="149">
        <f t="shared" si="39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97610.666666666657</v>
      </c>
      <c r="C65" s="39">
        <f>SUM(C37:C64)</f>
        <v>-1419.9999999999998</v>
      </c>
      <c r="D65" s="42">
        <f>SUM(D37:D64)</f>
        <v>96190.666666666672</v>
      </c>
      <c r="E65" s="32"/>
      <c r="F65" s="32"/>
      <c r="G65" s="32"/>
      <c r="H65" s="31"/>
      <c r="I65" s="39">
        <f>SUM(I37:I64)</f>
        <v>58072.340000000004</v>
      </c>
      <c r="J65" s="39">
        <f>SUM(J37:J64)</f>
        <v>58316.347052012214</v>
      </c>
      <c r="K65" s="40">
        <f>SUM(K37:K64)</f>
        <v>1</v>
      </c>
      <c r="L65" s="22">
        <f>SUM(L37:L64)</f>
        <v>0.59905618238443892</v>
      </c>
      <c r="M65" s="24">
        <f>SUM(M37:M64)</f>
        <v>0.59743826206164863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8026.3900131371975</v>
      </c>
      <c r="AB65" s="137"/>
      <c r="AC65" s="153">
        <f>SUM(AC37:AC64)</f>
        <v>8276.5626530478276</v>
      </c>
      <c r="AD65" s="137"/>
      <c r="AE65" s="153">
        <f>SUM(AE37:AE64)</f>
        <v>8299.8039985859305</v>
      </c>
      <c r="AF65" s="137"/>
      <c r="AG65" s="153">
        <f>SUM(AG37:AG64)</f>
        <v>12853.350387241269</v>
      </c>
      <c r="AH65" s="137"/>
      <c r="AI65" s="153">
        <f>SUM(AI37:AI64)</f>
        <v>37456.107052012216</v>
      </c>
      <c r="AJ65" s="153">
        <f>SUM(AJ37:AJ64)</f>
        <v>16302.952666185025</v>
      </c>
      <c r="AK65" s="153">
        <f>SUM(AK37:AK64)</f>
        <v>21153.154385827202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48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256">
        <f>14533.3520267682*7/8</f>
        <v>12716.683023422174</v>
      </c>
      <c r="C70" s="39"/>
      <c r="D70" s="38"/>
      <c r="E70" s="75">
        <f>Poor!E70</f>
        <v>1</v>
      </c>
      <c r="F70" s="75">
        <f>Poor!F70</f>
        <v>1.4</v>
      </c>
      <c r="G70" s="22"/>
      <c r="H70" s="24">
        <f>(E70*F70)</f>
        <v>1.4</v>
      </c>
      <c r="I70" s="39">
        <f>I124*I$83</f>
        <v>17803.356232791044</v>
      </c>
      <c r="J70" s="51">
        <f t="shared" ref="J70:J77" si="44">J124*I$83</f>
        <v>17803.356232791044</v>
      </c>
      <c r="K70" s="40">
        <f>B70/B$76</f>
        <v>0.13027964522410981</v>
      </c>
      <c r="L70" s="22">
        <f t="shared" ref="L70:L75" si="45">(L124*G$37*F$9/F$7)/B$130</f>
        <v>0.18239150331375373</v>
      </c>
      <c r="M70" s="24">
        <f>J70/B$76</f>
        <v>0.18239150331375376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4450.839058197761</v>
      </c>
      <c r="AB70" s="156">
        <f>Poor!AB70</f>
        <v>0.25</v>
      </c>
      <c r="AC70" s="147">
        <f>$J70*AB70</f>
        <v>4450.839058197761</v>
      </c>
      <c r="AD70" s="156">
        <f>Poor!AD70</f>
        <v>0.25</v>
      </c>
      <c r="AE70" s="147">
        <f>$J70*AD70</f>
        <v>4450.839058197761</v>
      </c>
      <c r="AF70" s="156">
        <f>Poor!AF70</f>
        <v>0.25</v>
      </c>
      <c r="AG70" s="147">
        <f>$J70*AF70</f>
        <v>4450.839058197761</v>
      </c>
      <c r="AH70" s="155">
        <f>SUM(Z70,AB70,AD70,AF70)</f>
        <v>1</v>
      </c>
      <c r="AI70" s="147">
        <f>SUM(AA70,AC70,AE70,AG70)</f>
        <v>17803.356232791044</v>
      </c>
      <c r="AJ70" s="148">
        <f>(AA70+AC70)</f>
        <v>8901.678116395522</v>
      </c>
      <c r="AK70" s="147">
        <f>(AE70+AG70)</f>
        <v>8901.678116395522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14376.2222222222*7/8</f>
        <v>12579.194444444425</v>
      </c>
      <c r="C71" s="39"/>
      <c r="D71" s="38"/>
      <c r="E71" s="75">
        <f>Poor!E71</f>
        <v>1</v>
      </c>
      <c r="F71" s="75">
        <f>Poor!F71</f>
        <v>1.18</v>
      </c>
      <c r="G71" s="22"/>
      <c r="H71" s="24">
        <f t="shared" ref="H71:H72" si="46">(E71*F71)</f>
        <v>1.18</v>
      </c>
      <c r="I71" s="39">
        <f>I125*I$83</f>
        <v>14843.449444444421</v>
      </c>
      <c r="J71" s="51">
        <f t="shared" si="44"/>
        <v>14843.449444444421</v>
      </c>
      <c r="K71" s="40">
        <f t="shared" ref="K71:K72" si="47">B71/B$76</f>
        <v>0.12887110470622501</v>
      </c>
      <c r="L71" s="22">
        <f t="shared" si="45"/>
        <v>0.15206790355334548</v>
      </c>
      <c r="M71" s="24">
        <f t="shared" ref="M71:M72" si="48">J71/B$76</f>
        <v>0.15206790355334548</v>
      </c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26588*7/8</f>
        <v>23264.5</v>
      </c>
      <c r="C72" s="39"/>
      <c r="D72" s="38"/>
      <c r="E72" s="75">
        <f>Poor!E72</f>
        <v>1</v>
      </c>
      <c r="F72" s="75">
        <f>Poor!F72</f>
        <v>1.18</v>
      </c>
      <c r="G72" s="22"/>
      <c r="H72" s="24">
        <f t="shared" si="46"/>
        <v>1.18</v>
      </c>
      <c r="I72" s="39">
        <f>I126*I$83</f>
        <v>0</v>
      </c>
      <c r="J72" s="51">
        <f t="shared" si="44"/>
        <v>19840.623073744755</v>
      </c>
      <c r="K72" s="40">
        <f t="shared" si="47"/>
        <v>0.23833973063053221</v>
      </c>
      <c r="L72" s="22">
        <f t="shared" si="45"/>
        <v>0.22725684774129415</v>
      </c>
      <c r="M72" s="24">
        <f t="shared" si="48"/>
        <v>0.20326285795689772</v>
      </c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v>10344.166666666666</v>
      </c>
      <c r="C73" s="39"/>
      <c r="D73" s="38"/>
      <c r="E73" s="75">
        <f>Poor!E73</f>
        <v>1</v>
      </c>
      <c r="F73" s="75">
        <f>Poor!F73</f>
        <v>1.18</v>
      </c>
      <c r="G73" s="22"/>
      <c r="H73" s="24">
        <f>(E73*F73)</f>
        <v>1.18</v>
      </c>
      <c r="I73" s="39">
        <f>I127*I$83</f>
        <v>0</v>
      </c>
      <c r="J73" s="51">
        <f t="shared" si="44"/>
        <v>0</v>
      </c>
      <c r="K73" s="40">
        <f>B73/B$76</f>
        <v>0.10597373237897498</v>
      </c>
      <c r="L73" s="22">
        <f t="shared" si="45"/>
        <v>0</v>
      </c>
      <c r="M73" s="24">
        <f>J73/B$76</f>
        <v>0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1098.5504999999998</v>
      </c>
      <c r="AB73" s="156">
        <f>Poor!AB73</f>
        <v>0.09</v>
      </c>
      <c r="AC73" s="147">
        <f>$H$73*$B$73*AB73</f>
        <v>1098.5504999999998</v>
      </c>
      <c r="AD73" s="156">
        <f>Poor!AD73</f>
        <v>0.23</v>
      </c>
      <c r="AE73" s="147">
        <f>$H$73*$B$73*AD73</f>
        <v>2807.406833333333</v>
      </c>
      <c r="AF73" s="156">
        <f>Poor!AF73</f>
        <v>0.59</v>
      </c>
      <c r="AG73" s="147">
        <f>$H$73*$B$73*AF73</f>
        <v>7201.6088333333319</v>
      </c>
      <c r="AH73" s="155">
        <f>SUM(Z73,AB73,AD73,AF73)</f>
        <v>1</v>
      </c>
      <c r="AI73" s="147">
        <f>SUM(AA73,AC73,AE73,AG73)</f>
        <v>12206.116666666665</v>
      </c>
      <c r="AJ73" s="148">
        <f>(AA73+AC73)</f>
        <v>2197.1009999999997</v>
      </c>
      <c r="AK73" s="147">
        <f>(AE73+AG73)</f>
        <v>10009.015666666664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7607.8808142069029</v>
      </c>
      <c r="C74" s="39"/>
      <c r="D74" s="38"/>
      <c r="E74" s="32"/>
      <c r="F74" s="32"/>
      <c r="G74" s="32"/>
      <c r="H74" s="31"/>
      <c r="I74" s="39">
        <f>I128*I$83</f>
        <v>40268.983767208949</v>
      </c>
      <c r="J74" s="51">
        <f t="shared" si="44"/>
        <v>5828.9183010319975</v>
      </c>
      <c r="K74" s="40">
        <f>B74/B$76</f>
        <v>7.7941080355359765E-2</v>
      </c>
      <c r="L74" s="22">
        <f t="shared" si="45"/>
        <v>3.7339927776045563E-2</v>
      </c>
      <c r="M74" s="24">
        <f>J74/B$76</f>
        <v>5.9715997237651607E-2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AA30*$I$84/4</f>
        <v>2033.2922947914992</v>
      </c>
      <c r="AB74" s="156"/>
      <c r="AC74" s="147">
        <f>AC30*$I$84/4</f>
        <v>3825.7235948500675</v>
      </c>
      <c r="AD74" s="156"/>
      <c r="AE74" s="147">
        <f>AE30*$I$84/4</f>
        <v>3848.9649403881699</v>
      </c>
      <c r="AF74" s="156"/>
      <c r="AG74" s="147">
        <f>AG30*$I$84/4</f>
        <v>3614.7165180443403</v>
      </c>
      <c r="AH74" s="155"/>
      <c r="AI74" s="147">
        <f>SUM(AA74,AC74,AE74,AG74)</f>
        <v>13322.697348074078</v>
      </c>
      <c r="AJ74" s="148">
        <f>(AA74+AC74)</f>
        <v>5859.0158896415669</v>
      </c>
      <c r="AK74" s="147">
        <f>(AE74+AG74)</f>
        <v>7463.6814584325102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31098.241717926481</v>
      </c>
      <c r="C75" s="39"/>
      <c r="D75" s="38"/>
      <c r="E75" s="32"/>
      <c r="F75" s="32"/>
      <c r="G75" s="32"/>
      <c r="H75" s="31"/>
      <c r="I75" s="47"/>
      <c r="J75" s="51">
        <f t="shared" si="44"/>
        <v>0</v>
      </c>
      <c r="K75" s="40">
        <f>B75/B$76</f>
        <v>0.31859470670479817</v>
      </c>
      <c r="L75" s="22">
        <f t="shared" si="45"/>
        <v>0</v>
      </c>
      <c r="M75" s="24">
        <f>J75/B$76</f>
        <v>0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8338.8836875579982</v>
      </c>
      <c r="AB75" s="158"/>
      <c r="AC75" s="149">
        <f>AA75+AC65-SUM(AC70,AC74)</f>
        <v>8338.8836875579982</v>
      </c>
      <c r="AD75" s="158"/>
      <c r="AE75" s="149">
        <f>AC75+AE65-SUM(AE70,AE74)</f>
        <v>8338.883687558</v>
      </c>
      <c r="AF75" s="158"/>
      <c r="AG75" s="149">
        <f>IF(SUM(AG6:AG29)+((AG65-AG70-$J$75)*4/I$83)&lt;1,0,AG65-AG70-$J$75-(1-SUM(AG6:AG29))*I$83/4)</f>
        <v>6796.6250274100603</v>
      </c>
      <c r="AH75" s="134"/>
      <c r="AI75" s="149">
        <f>AI76-SUM(AI70,AI74)</f>
        <v>6330.0534711471009</v>
      </c>
      <c r="AJ75" s="151">
        <f>AJ76-SUM(AJ70,AJ74)</f>
        <v>1542.2586601479361</v>
      </c>
      <c r="AK75" s="149">
        <f>AJ75+AK76-SUM(AK70,AK74)</f>
        <v>6330.0534711471009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97610.666666666657</v>
      </c>
      <c r="C76" s="39"/>
      <c r="D76" s="38"/>
      <c r="E76" s="32"/>
      <c r="F76" s="32"/>
      <c r="G76" s="32"/>
      <c r="H76" s="31"/>
      <c r="I76" s="39">
        <f>I130*I$83</f>
        <v>58072.34</v>
      </c>
      <c r="J76" s="51">
        <f t="shared" si="44"/>
        <v>58316.347052012214</v>
      </c>
      <c r="K76" s="40">
        <f>SUM(K70:K75)</f>
        <v>0.99999999999999989</v>
      </c>
      <c r="L76" s="22">
        <f>SUM(L70:L75)</f>
        <v>0.59905618238443892</v>
      </c>
      <c r="M76" s="24">
        <f>SUM(M70:M75)</f>
        <v>0.59743826206164863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8026.3900131371975</v>
      </c>
      <c r="AB76" s="137"/>
      <c r="AC76" s="153">
        <f>AC65</f>
        <v>8276.5626530478276</v>
      </c>
      <c r="AD76" s="137"/>
      <c r="AE76" s="153">
        <f>AE65</f>
        <v>8299.8039985859305</v>
      </c>
      <c r="AF76" s="137"/>
      <c r="AG76" s="153">
        <f>AG65</f>
        <v>12853.350387241269</v>
      </c>
      <c r="AH76" s="137"/>
      <c r="AI76" s="153">
        <f>SUM(AA76,AC76,AE76,AG76)</f>
        <v>37456.107052012223</v>
      </c>
      <c r="AJ76" s="154">
        <f>SUM(AA76,AC76)</f>
        <v>16302.952666185025</v>
      </c>
      <c r="AK76" s="154">
        <f>SUM(AE76,AG76)</f>
        <v>21153.154385827198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14843.449444444415</v>
      </c>
      <c r="J77" s="100">
        <f t="shared" si="44"/>
        <v>0</v>
      </c>
      <c r="K77" s="40"/>
      <c r="L77" s="22">
        <f>-(L131*G$37*F$9/F$7)/B$130</f>
        <v>0</v>
      </c>
      <c r="M77" s="24">
        <f>-J77/B$76</f>
        <v>0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AA31*$I$84/4</f>
        <v>0</v>
      </c>
      <c r="AB77" s="112"/>
      <c r="AC77" s="111">
        <f>AC31*$I$84/4</f>
        <v>0</v>
      </c>
      <c r="AD77" s="112"/>
      <c r="AE77" s="111">
        <f>AE31*$I$84/4</f>
        <v>0</v>
      </c>
      <c r="AF77" s="112"/>
      <c r="AG77" s="111">
        <f>AG31*$I$84/4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6796.6250274100603</v>
      </c>
      <c r="AB78" s="112"/>
      <c r="AC78" s="112">
        <f>IF(AA75&lt;0,0,AA75)</f>
        <v>8338.8836875579982</v>
      </c>
      <c r="AD78" s="112"/>
      <c r="AE78" s="112">
        <f>AC75</f>
        <v>8338.8836875579982</v>
      </c>
      <c r="AF78" s="112"/>
      <c r="AG78" s="112">
        <f>AE75</f>
        <v>8338.883687558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230" t="s">
        <v>186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10372.175982349498</v>
      </c>
      <c r="AB79" s="112"/>
      <c r="AC79" s="112">
        <f>AA79-AA74+AC65-AC70</f>
        <v>12164.607282408066</v>
      </c>
      <c r="AD79" s="112"/>
      <c r="AE79" s="112">
        <f>AC79-AC74+AE65-AE70</f>
        <v>12187.848627946169</v>
      </c>
      <c r="AF79" s="112"/>
      <c r="AG79" s="112">
        <f>AE79-AE74+AG65-AG70</f>
        <v>16741.395016601506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v>0.66091214045306179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30">
        <v>7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v>7.1446277643945102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12064.636488833721</v>
      </c>
      <c r="C83" s="39"/>
      <c r="D83" s="38"/>
      <c r="E83" s="32"/>
      <c r="F83" s="32"/>
      <c r="G83" s="32"/>
      <c r="H83" s="24">
        <f>G$37*F$9/F$7</f>
        <v>1</v>
      </c>
      <c r="I83" s="39">
        <f xml:space="preserve"> B83*H83</f>
        <v>12064.636488833721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$I$84*Z82/4</f>
        <v>6789.1233576170725</v>
      </c>
      <c r="AB83" s="112"/>
      <c r="AC83" s="165">
        <f>$I$84*AB82/4</f>
        <v>6789.1233576170725</v>
      </c>
      <c r="AD83" s="112"/>
      <c r="AE83" s="165">
        <f>$I$84*AD82/4</f>
        <v>6789.1233576170725</v>
      </c>
      <c r="AF83" s="112"/>
      <c r="AG83" s="165">
        <f>$I$84*AF82/4</f>
        <v>6789.1233576170725</v>
      </c>
      <c r="AH83" s="165">
        <f>SUM(AA83,AC83,AE83,AG83)</f>
        <v>27156.49343046829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4">
        <f>B70+((1-D29)*B83)</f>
        <v>22069.82022109942</v>
      </c>
      <c r="C84" s="46"/>
      <c r="D84" s="235"/>
      <c r="E84" s="64"/>
      <c r="F84" s="64"/>
      <c r="G84" s="64"/>
      <c r="H84" s="236">
        <f>IF(B84=0,0,I84/B84)</f>
        <v>1.2304809535560175</v>
      </c>
      <c r="I84" s="234">
        <f>(B70*H70)+((1-(D29*H29))*I83)</f>
        <v>27156.49343046829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/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Middle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49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49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>IF(A37="","",A37)</f>
        <v>Cattle sales - local: no. sold</v>
      </c>
      <c r="B91" s="75">
        <f t="shared" ref="B91:C118" si="50">(B37/$B$83)</f>
        <v>0.9946424835183767</v>
      </c>
      <c r="C91" s="75">
        <f t="shared" si="50"/>
        <v>-0.11051583150204185</v>
      </c>
      <c r="D91" s="24">
        <f t="shared" ref="D91" si="51">(B91+C91)</f>
        <v>0.88412665201633489</v>
      </c>
      <c r="H91" s="24">
        <f>(E37*F37/G37*F$7/F$9)</f>
        <v>0.59</v>
      </c>
      <c r="I91" s="22">
        <f t="shared" ref="I91" si="52">(D91*H91)</f>
        <v>0.52163472468963756</v>
      </c>
      <c r="J91" s="24">
        <f>IF(I$32&lt;=1+I$131,I91,L91+J$33*(I91-L91))</f>
        <v>0.56121919705198764</v>
      </c>
      <c r="K91" s="22">
        <f t="shared" ref="K91" si="53">(B91)</f>
        <v>0.9946424835183767</v>
      </c>
      <c r="L91" s="22">
        <f t="shared" ref="L91" si="54">(K91*H91)</f>
        <v>0.58683906527584218</v>
      </c>
      <c r="M91" s="227">
        <f t="shared" si="49"/>
        <v>0.56121919705198764</v>
      </c>
      <c r="N91" s="229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ref="A92:A118" si="55">IF(A38="","",A38)</f>
        <v>Goat sales - local: no. sold</v>
      </c>
      <c r="B92" s="75">
        <f t="shared" si="50"/>
        <v>0.20721718406632847</v>
      </c>
      <c r="C92" s="75">
        <f t="shared" si="50"/>
        <v>0.14367058095265439</v>
      </c>
      <c r="D92" s="24">
        <f t="shared" ref="D92:D118" si="56">(B92+C92)</f>
        <v>0.35088776501898289</v>
      </c>
      <c r="H92" s="24">
        <f t="shared" ref="H92:H118" si="57">(E38*F38/G38*F$7/F$9)</f>
        <v>0.59</v>
      </c>
      <c r="I92" s="22">
        <f t="shared" ref="I92:I118" si="58">(D92*H92)</f>
        <v>0.20702378136119989</v>
      </c>
      <c r="J92" s="24">
        <f t="shared" ref="J92:J118" si="59">IF(I$32&lt;=1+I$131,I92,L92+J$33*(I92-L92))</f>
        <v>0.15556396729014479</v>
      </c>
      <c r="K92" s="22">
        <f t="shared" ref="K92:K118" si="60">(B92)</f>
        <v>0.20721718406632847</v>
      </c>
      <c r="L92" s="22">
        <f t="shared" ref="L92:L118" si="61">(K92*H92)</f>
        <v>0.12225813859913379</v>
      </c>
      <c r="M92" s="227">
        <f t="shared" ref="M92:M118" si="62">(J92)</f>
        <v>0.15556396729014479</v>
      </c>
      <c r="N92" s="229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5"/>
        <v>Sheep sales - local: no. sold</v>
      </c>
      <c r="B93" s="75">
        <f t="shared" si="50"/>
        <v>4.4206332600816745E-2</v>
      </c>
      <c r="C93" s="75">
        <f t="shared" si="50"/>
        <v>0</v>
      </c>
      <c r="D93" s="24">
        <f t="shared" si="56"/>
        <v>4.4206332600816745E-2</v>
      </c>
      <c r="H93" s="24">
        <f t="shared" si="57"/>
        <v>0.59</v>
      </c>
      <c r="I93" s="22">
        <f t="shared" si="58"/>
        <v>2.608173623448188E-2</v>
      </c>
      <c r="J93" s="24">
        <f t="shared" si="59"/>
        <v>2.608173623448188E-2</v>
      </c>
      <c r="K93" s="22">
        <f t="shared" si="60"/>
        <v>4.4206332600816745E-2</v>
      </c>
      <c r="L93" s="22">
        <f t="shared" si="61"/>
        <v>2.608173623448188E-2</v>
      </c>
      <c r="M93" s="227">
        <f t="shared" si="62"/>
        <v>2.608173623448188E-2</v>
      </c>
      <c r="N93" s="229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5"/>
        <v>Chicken sales: no. sold</v>
      </c>
      <c r="B94" s="75">
        <f t="shared" si="50"/>
        <v>3.8680541025714651E-2</v>
      </c>
      <c r="C94" s="75">
        <f t="shared" si="50"/>
        <v>0</v>
      </c>
      <c r="D94" s="24">
        <f t="shared" si="56"/>
        <v>3.8680541025714651E-2</v>
      </c>
      <c r="H94" s="24">
        <f t="shared" si="57"/>
        <v>1.18</v>
      </c>
      <c r="I94" s="22">
        <f t="shared" si="58"/>
        <v>4.5643038410343284E-2</v>
      </c>
      <c r="J94" s="24">
        <f t="shared" si="59"/>
        <v>4.5643038410343284E-2</v>
      </c>
      <c r="K94" s="22">
        <f t="shared" si="60"/>
        <v>3.8680541025714651E-2</v>
      </c>
      <c r="L94" s="22">
        <f t="shared" si="61"/>
        <v>4.5643038410343284E-2</v>
      </c>
      <c r="M94" s="227">
        <f t="shared" si="62"/>
        <v>4.5643038410343284E-2</v>
      </c>
      <c r="N94" s="229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5"/>
        <v>Maize: kg produced</v>
      </c>
      <c r="B95" s="75">
        <f t="shared" si="50"/>
        <v>7.5979634157653769E-2</v>
      </c>
      <c r="C95" s="75">
        <f t="shared" si="50"/>
        <v>-7.5979634157653769E-2</v>
      </c>
      <c r="D95" s="24">
        <f t="shared" si="56"/>
        <v>0</v>
      </c>
      <c r="H95" s="24">
        <f t="shared" si="57"/>
        <v>0.42</v>
      </c>
      <c r="I95" s="22">
        <f t="shared" si="58"/>
        <v>0</v>
      </c>
      <c r="J95" s="24">
        <f t="shared" si="59"/>
        <v>1.9372909143438276E-2</v>
      </c>
      <c r="K95" s="22">
        <f t="shared" si="60"/>
        <v>7.5979634157653769E-2</v>
      </c>
      <c r="L95" s="22">
        <f t="shared" si="61"/>
        <v>3.1911446346214581E-2</v>
      </c>
      <c r="M95" s="227">
        <f t="shared" si="62"/>
        <v>1.9372909143438276E-2</v>
      </c>
      <c r="N95" s="229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5"/>
        <v>Beans: kg produced</v>
      </c>
      <c r="B96" s="75">
        <f t="shared" si="50"/>
        <v>0.48212531492765759</v>
      </c>
      <c r="C96" s="75">
        <f t="shared" si="50"/>
        <v>7.1835290476327208E-3</v>
      </c>
      <c r="D96" s="24">
        <f t="shared" si="56"/>
        <v>0.48930884397529029</v>
      </c>
      <c r="H96" s="24">
        <f t="shared" si="57"/>
        <v>0.27999999999999997</v>
      </c>
      <c r="I96" s="22">
        <f t="shared" si="58"/>
        <v>0.13700647631308127</v>
      </c>
      <c r="J96" s="24">
        <f t="shared" si="59"/>
        <v>0.13578539597919184</v>
      </c>
      <c r="K96" s="22">
        <f t="shared" si="60"/>
        <v>0.48212531492765759</v>
      </c>
      <c r="L96" s="22">
        <f t="shared" si="61"/>
        <v>0.13499508817974412</v>
      </c>
      <c r="M96" s="227">
        <f t="shared" si="62"/>
        <v>0.13578539597919184</v>
      </c>
      <c r="N96" s="229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5"/>
        <v>potatoes: kg produced</v>
      </c>
      <c r="B97" s="75">
        <f t="shared" si="50"/>
        <v>6.9072394688776156E-2</v>
      </c>
      <c r="C97" s="75">
        <f t="shared" si="50"/>
        <v>-6.9072394688776156E-2</v>
      </c>
      <c r="D97" s="24">
        <f t="shared" si="56"/>
        <v>0</v>
      </c>
      <c r="H97" s="24">
        <f t="shared" si="57"/>
        <v>0.27999999999999997</v>
      </c>
      <c r="I97" s="22">
        <f t="shared" si="58"/>
        <v>0</v>
      </c>
      <c r="J97" s="24">
        <f t="shared" si="59"/>
        <v>1.1741157056629259E-2</v>
      </c>
      <c r="K97" s="22">
        <f t="shared" si="60"/>
        <v>6.9072394688776156E-2</v>
      </c>
      <c r="L97" s="22">
        <f t="shared" si="61"/>
        <v>1.9340270512857322E-2</v>
      </c>
      <c r="M97" s="227">
        <f t="shared" si="62"/>
        <v>1.1741157056629259E-2</v>
      </c>
      <c r="N97" s="229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5"/>
        <v>Amadumbe: kg produced</v>
      </c>
      <c r="B98" s="75">
        <f t="shared" si="50"/>
        <v>7.7361082051429289E-3</v>
      </c>
      <c r="C98" s="75">
        <f t="shared" si="50"/>
        <v>-7.7361082051429289E-3</v>
      </c>
      <c r="D98" s="24">
        <f t="shared" si="56"/>
        <v>0</v>
      </c>
      <c r="H98" s="24">
        <f t="shared" si="57"/>
        <v>0.27999999999999997</v>
      </c>
      <c r="I98" s="22">
        <f t="shared" si="58"/>
        <v>0</v>
      </c>
      <c r="J98" s="24">
        <f t="shared" si="59"/>
        <v>1.315009590342477E-3</v>
      </c>
      <c r="K98" s="22">
        <f t="shared" si="60"/>
        <v>7.7361082051429289E-3</v>
      </c>
      <c r="L98" s="22">
        <f t="shared" si="61"/>
        <v>2.1661102974400198E-3</v>
      </c>
      <c r="M98" s="227">
        <f t="shared" si="62"/>
        <v>1.315009590342477E-3</v>
      </c>
      <c r="N98" s="229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5"/>
        <v>Sweet Potatoes: kg produced</v>
      </c>
      <c r="B99" s="75">
        <f t="shared" si="50"/>
        <v>0</v>
      </c>
      <c r="C99" s="75">
        <f t="shared" si="50"/>
        <v>0</v>
      </c>
      <c r="D99" s="24">
        <f t="shared" si="56"/>
        <v>0</v>
      </c>
      <c r="H99" s="24">
        <f t="shared" si="57"/>
        <v>0.27999999999999997</v>
      </c>
      <c r="I99" s="22">
        <f t="shared" si="58"/>
        <v>0</v>
      </c>
      <c r="J99" s="24">
        <f t="shared" si="59"/>
        <v>0</v>
      </c>
      <c r="K99" s="22">
        <f t="shared" si="60"/>
        <v>0</v>
      </c>
      <c r="L99" s="22">
        <f t="shared" si="61"/>
        <v>0</v>
      </c>
      <c r="M99" s="227">
        <f t="shared" si="62"/>
        <v>0</v>
      </c>
      <c r="N99" s="229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5"/>
        <v>Other crop: Cabbage</v>
      </c>
      <c r="B100" s="75">
        <f t="shared" si="50"/>
        <v>2.3484614194183894E-3</v>
      </c>
      <c r="C100" s="75">
        <f t="shared" si="50"/>
        <v>-2.3484614194183894E-3</v>
      </c>
      <c r="D100" s="24">
        <f t="shared" si="56"/>
        <v>0</v>
      </c>
      <c r="H100" s="24">
        <f t="shared" si="57"/>
        <v>0.27999999999999997</v>
      </c>
      <c r="I100" s="22">
        <f t="shared" si="58"/>
        <v>0</v>
      </c>
      <c r="J100" s="24">
        <f t="shared" si="59"/>
        <v>3.9919933992539478E-4</v>
      </c>
      <c r="K100" s="22">
        <f t="shared" si="60"/>
        <v>2.3484614194183894E-3</v>
      </c>
      <c r="L100" s="22">
        <f t="shared" si="61"/>
        <v>6.5756919743714898E-4</v>
      </c>
      <c r="M100" s="227">
        <f t="shared" si="62"/>
        <v>3.9919933992539478E-4</v>
      </c>
      <c r="N100" s="229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5"/>
        <v>beetroot: no. local meas</v>
      </c>
      <c r="B101" s="75">
        <f t="shared" si="50"/>
        <v>0</v>
      </c>
      <c r="C101" s="75">
        <f t="shared" si="50"/>
        <v>0</v>
      </c>
      <c r="D101" s="24">
        <f t="shared" si="56"/>
        <v>0</v>
      </c>
      <c r="H101" s="24">
        <f t="shared" si="57"/>
        <v>0.27999999999999997</v>
      </c>
      <c r="I101" s="22">
        <f t="shared" si="58"/>
        <v>0</v>
      </c>
      <c r="J101" s="24">
        <f t="shared" si="59"/>
        <v>0</v>
      </c>
      <c r="K101" s="22">
        <f t="shared" si="60"/>
        <v>0</v>
      </c>
      <c r="L101" s="22">
        <f t="shared" si="61"/>
        <v>0</v>
      </c>
      <c r="M101" s="227">
        <f t="shared" si="62"/>
        <v>0</v>
      </c>
      <c r="N101" s="229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5"/>
        <v>Spinach: no produced</v>
      </c>
      <c r="B102" s="75">
        <f t="shared" si="50"/>
        <v>6.9072394688776163E-4</v>
      </c>
      <c r="C102" s="75">
        <f t="shared" si="50"/>
        <v>-6.9072394688776163E-4</v>
      </c>
      <c r="D102" s="24">
        <f t="shared" si="56"/>
        <v>0</v>
      </c>
      <c r="H102" s="24">
        <f t="shared" si="57"/>
        <v>0.27999999999999997</v>
      </c>
      <c r="I102" s="22">
        <f t="shared" si="58"/>
        <v>0</v>
      </c>
      <c r="J102" s="24">
        <f t="shared" si="59"/>
        <v>1.1741157056629261E-4</v>
      </c>
      <c r="K102" s="22">
        <f t="shared" si="60"/>
        <v>6.9072394688776163E-4</v>
      </c>
      <c r="L102" s="22">
        <f t="shared" si="61"/>
        <v>1.9340270512857325E-4</v>
      </c>
      <c r="M102" s="227">
        <f t="shared" si="62"/>
        <v>1.1741157056629261E-4</v>
      </c>
      <c r="N102" s="229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5"/>
        <v>Other crop: pumpkin</v>
      </c>
      <c r="B103" s="75">
        <f t="shared" si="50"/>
        <v>2.2103166300408371E-3</v>
      </c>
      <c r="C103" s="75">
        <f t="shared" si="50"/>
        <v>-2.2103166300408371E-3</v>
      </c>
      <c r="D103" s="24">
        <f t="shared" si="56"/>
        <v>0</v>
      </c>
      <c r="H103" s="24">
        <f t="shared" si="57"/>
        <v>0.27999999999999997</v>
      </c>
      <c r="I103" s="22">
        <f t="shared" si="58"/>
        <v>0</v>
      </c>
      <c r="J103" s="24">
        <f t="shared" si="59"/>
        <v>3.757170258121363E-4</v>
      </c>
      <c r="K103" s="22">
        <f t="shared" si="60"/>
        <v>2.2103166300408371E-3</v>
      </c>
      <c r="L103" s="22">
        <f t="shared" si="61"/>
        <v>6.1888865641143438E-4</v>
      </c>
      <c r="M103" s="227">
        <f t="shared" si="62"/>
        <v>3.757170258121363E-4</v>
      </c>
      <c r="N103" s="229">
        <v>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5"/>
        <v>Other cashcrop: sugar cane (tons)</v>
      </c>
      <c r="B104" s="75">
        <f t="shared" si="50"/>
        <v>0</v>
      </c>
      <c r="C104" s="75">
        <f t="shared" si="50"/>
        <v>0</v>
      </c>
      <c r="D104" s="24">
        <f t="shared" si="56"/>
        <v>0</v>
      </c>
      <c r="H104" s="24">
        <f t="shared" si="57"/>
        <v>0.27999999999999997</v>
      </c>
      <c r="I104" s="22">
        <f t="shared" si="58"/>
        <v>0</v>
      </c>
      <c r="J104" s="24">
        <f t="shared" si="59"/>
        <v>0</v>
      </c>
      <c r="K104" s="22">
        <f t="shared" si="60"/>
        <v>0</v>
      </c>
      <c r="L104" s="22">
        <f t="shared" si="61"/>
        <v>0</v>
      </c>
      <c r="M104" s="227">
        <f t="shared" si="62"/>
        <v>0</v>
      </c>
      <c r="N104" s="229">
        <v>2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5"/>
        <v>Agricultural cash income -- see Data2</v>
      </c>
      <c r="B105" s="75">
        <f t="shared" si="50"/>
        <v>0</v>
      </c>
      <c r="C105" s="75">
        <f t="shared" si="50"/>
        <v>0</v>
      </c>
      <c r="D105" s="24">
        <f t="shared" si="56"/>
        <v>0</v>
      </c>
      <c r="H105" s="24">
        <f t="shared" si="57"/>
        <v>0.55500000000000005</v>
      </c>
      <c r="I105" s="22">
        <f t="shared" si="58"/>
        <v>0</v>
      </c>
      <c r="J105" s="24">
        <f t="shared" si="59"/>
        <v>0</v>
      </c>
      <c r="K105" s="22">
        <f t="shared" si="60"/>
        <v>0</v>
      </c>
      <c r="L105" s="22">
        <f t="shared" si="61"/>
        <v>0</v>
      </c>
      <c r="M105" s="227">
        <f t="shared" si="62"/>
        <v>0</v>
      </c>
      <c r="N105" s="229">
        <v>7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5"/>
        <v>Construction cash income -- see Data2</v>
      </c>
      <c r="B106" s="75">
        <f t="shared" si="50"/>
        <v>2.9839274505551301</v>
      </c>
      <c r="C106" s="75">
        <f t="shared" si="50"/>
        <v>0</v>
      </c>
      <c r="D106" s="24">
        <f t="shared" si="56"/>
        <v>2.9839274505551301</v>
      </c>
      <c r="H106" s="24">
        <f t="shared" si="57"/>
        <v>0.55500000000000005</v>
      </c>
      <c r="I106" s="22">
        <f t="shared" si="58"/>
        <v>1.6560797350580974</v>
      </c>
      <c r="J106" s="24">
        <f t="shared" si="59"/>
        <v>1.6560797350580974</v>
      </c>
      <c r="K106" s="22">
        <f t="shared" si="60"/>
        <v>2.9839274505551301</v>
      </c>
      <c r="L106" s="22">
        <f t="shared" si="61"/>
        <v>1.6560797350580974</v>
      </c>
      <c r="M106" s="227">
        <f t="shared" si="62"/>
        <v>1.6560797350580974</v>
      </c>
      <c r="N106" s="229">
        <v>7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si="55"/>
        <v>Domestic work cash income -- see Data2</v>
      </c>
      <c r="B107" s="75">
        <f t="shared" si="50"/>
        <v>0.53047599120980082</v>
      </c>
      <c r="C107" s="75">
        <f t="shared" si="50"/>
        <v>0</v>
      </c>
      <c r="D107" s="24">
        <f t="shared" si="56"/>
        <v>0.53047599120980082</v>
      </c>
      <c r="H107" s="24">
        <f t="shared" si="57"/>
        <v>0.55500000000000005</v>
      </c>
      <c r="I107" s="22">
        <f t="shared" si="58"/>
        <v>0.29441417512143947</v>
      </c>
      <c r="J107" s="24">
        <f t="shared" si="59"/>
        <v>0.29441417512143947</v>
      </c>
      <c r="K107" s="22">
        <f t="shared" si="60"/>
        <v>0.53047599120980082</v>
      </c>
      <c r="L107" s="22">
        <f t="shared" si="61"/>
        <v>0.29441417512143947</v>
      </c>
      <c r="M107" s="227">
        <f t="shared" si="62"/>
        <v>0.29441417512143947</v>
      </c>
      <c r="N107" s="229">
        <v>7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5"/>
        <v>Formal Employment (conservancies, etc.)</v>
      </c>
      <c r="B108" s="75">
        <f t="shared" si="50"/>
        <v>1.2200947797825421</v>
      </c>
      <c r="C108" s="75">
        <f t="shared" si="50"/>
        <v>0</v>
      </c>
      <c r="D108" s="24">
        <f t="shared" si="56"/>
        <v>1.2200947797825421</v>
      </c>
      <c r="H108" s="24">
        <f t="shared" si="57"/>
        <v>0.47199999999999992</v>
      </c>
      <c r="I108" s="22">
        <f t="shared" si="58"/>
        <v>0.57588473605735979</v>
      </c>
      <c r="J108" s="24">
        <f t="shared" si="59"/>
        <v>0.57588473605735979</v>
      </c>
      <c r="K108" s="22">
        <f t="shared" si="60"/>
        <v>1.2200947797825421</v>
      </c>
      <c r="L108" s="22">
        <f t="shared" si="61"/>
        <v>0.57588473605735979</v>
      </c>
      <c r="M108" s="227">
        <f t="shared" si="62"/>
        <v>0.57588473605735979</v>
      </c>
      <c r="N108" s="229">
        <v>8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5"/>
        <v>Labour migration(formal employment): no. people per HH</v>
      </c>
      <c r="B109" s="75">
        <f t="shared" si="50"/>
        <v>0.44261590516567761</v>
      </c>
      <c r="C109" s="75">
        <f t="shared" si="50"/>
        <v>0</v>
      </c>
      <c r="D109" s="24">
        <f t="shared" si="56"/>
        <v>0.44261590516567761</v>
      </c>
      <c r="H109" s="24">
        <f t="shared" si="57"/>
        <v>0.47199999999999992</v>
      </c>
      <c r="I109" s="22">
        <f t="shared" si="58"/>
        <v>0.2089147072381998</v>
      </c>
      <c r="J109" s="24">
        <f t="shared" si="59"/>
        <v>0.2089147072381998</v>
      </c>
      <c r="K109" s="22">
        <f t="shared" si="60"/>
        <v>0.44261590516567761</v>
      </c>
      <c r="L109" s="22">
        <f t="shared" si="61"/>
        <v>0.2089147072381998</v>
      </c>
      <c r="M109" s="227">
        <f t="shared" si="62"/>
        <v>0.2089147072381998</v>
      </c>
      <c r="N109" s="229">
        <v>8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5"/>
        <v>Small business -- see Data2</v>
      </c>
      <c r="B110" s="75">
        <f t="shared" si="50"/>
        <v>0</v>
      </c>
      <c r="C110" s="75">
        <f t="shared" si="50"/>
        <v>0</v>
      </c>
      <c r="D110" s="24">
        <f t="shared" si="56"/>
        <v>0</v>
      </c>
      <c r="H110" s="24">
        <f t="shared" si="57"/>
        <v>0.94399999999999984</v>
      </c>
      <c r="I110" s="22">
        <f t="shared" si="58"/>
        <v>0</v>
      </c>
      <c r="J110" s="24">
        <f t="shared" si="59"/>
        <v>0</v>
      </c>
      <c r="K110" s="22">
        <f t="shared" si="60"/>
        <v>0</v>
      </c>
      <c r="L110" s="22">
        <f t="shared" si="61"/>
        <v>0</v>
      </c>
      <c r="M110" s="227">
        <f t="shared" si="62"/>
        <v>0</v>
      </c>
      <c r="N110" s="229">
        <v>11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5"/>
        <v>Social development -- see Data2</v>
      </c>
      <c r="B111" s="75">
        <f t="shared" si="50"/>
        <v>0.5507003883746745</v>
      </c>
      <c r="C111" s="75">
        <f t="shared" si="50"/>
        <v>0</v>
      </c>
      <c r="D111" s="24">
        <f t="shared" si="56"/>
        <v>0.5507003883746745</v>
      </c>
      <c r="H111" s="24">
        <f t="shared" si="57"/>
        <v>1.18</v>
      </c>
      <c r="I111" s="22">
        <f t="shared" si="58"/>
        <v>0.64982645828211583</v>
      </c>
      <c r="J111" s="24">
        <f t="shared" si="59"/>
        <v>0.64982645828211583</v>
      </c>
      <c r="K111" s="22">
        <f t="shared" si="60"/>
        <v>0.5507003883746745</v>
      </c>
      <c r="L111" s="22">
        <f t="shared" si="61"/>
        <v>0.64982645828211583</v>
      </c>
      <c r="M111" s="227">
        <f t="shared" si="62"/>
        <v>0.64982645828211583</v>
      </c>
      <c r="N111" s="229">
        <v>14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5"/>
        <v>Public works -- see Data2</v>
      </c>
      <c r="B112" s="75">
        <f t="shared" si="50"/>
        <v>6.9072394688776156E-2</v>
      </c>
      <c r="C112" s="75">
        <f t="shared" si="50"/>
        <v>0</v>
      </c>
      <c r="D112" s="24">
        <f t="shared" si="56"/>
        <v>6.9072394688776156E-2</v>
      </c>
      <c r="H112" s="24">
        <f t="shared" si="57"/>
        <v>1.18</v>
      </c>
      <c r="I112" s="22">
        <f t="shared" si="58"/>
        <v>8.1505425732755862E-2</v>
      </c>
      <c r="J112" s="24">
        <f t="shared" si="59"/>
        <v>8.1505425732755862E-2</v>
      </c>
      <c r="K112" s="22">
        <f t="shared" si="60"/>
        <v>6.9072394688776156E-2</v>
      </c>
      <c r="L112" s="22">
        <f t="shared" si="61"/>
        <v>8.1505425732755862E-2</v>
      </c>
      <c r="M112" s="227">
        <f t="shared" si="62"/>
        <v>8.1505425732755862E-2</v>
      </c>
      <c r="N112" s="229">
        <v>9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5"/>
        <v>Gifts/social support: type (Child support, Pension and Foster Care)</v>
      </c>
      <c r="B113" s="75">
        <f t="shared" si="50"/>
        <v>0.36884658763806466</v>
      </c>
      <c r="C113" s="75">
        <f t="shared" si="50"/>
        <v>0</v>
      </c>
      <c r="D113" s="24">
        <f t="shared" si="56"/>
        <v>0.36884658763806466</v>
      </c>
      <c r="H113" s="24">
        <f t="shared" si="57"/>
        <v>1.1100000000000001</v>
      </c>
      <c r="I113" s="22">
        <f t="shared" si="58"/>
        <v>0.4094197122782518</v>
      </c>
      <c r="J113" s="24">
        <f t="shared" si="59"/>
        <v>0.4094197122782518</v>
      </c>
      <c r="K113" s="22">
        <f t="shared" si="60"/>
        <v>0.36884658763806466</v>
      </c>
      <c r="L113" s="22">
        <f t="shared" si="61"/>
        <v>0.4094197122782518</v>
      </c>
      <c r="M113" s="227">
        <f t="shared" si="62"/>
        <v>0.4094197122782518</v>
      </c>
      <c r="N113" s="229">
        <v>15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5"/>
        <v>Other income: e.g. Credit (cotton loans)</v>
      </c>
      <c r="B114" s="75">
        <f t="shared" si="50"/>
        <v>0</v>
      </c>
      <c r="C114" s="75">
        <f t="shared" si="50"/>
        <v>0</v>
      </c>
      <c r="D114" s="24">
        <f t="shared" si="56"/>
        <v>0</v>
      </c>
      <c r="H114" s="24">
        <f t="shared" si="57"/>
        <v>1</v>
      </c>
      <c r="I114" s="22">
        <f t="shared" si="58"/>
        <v>0</v>
      </c>
      <c r="J114" s="24">
        <f t="shared" si="59"/>
        <v>0</v>
      </c>
      <c r="K114" s="22">
        <f t="shared" si="60"/>
        <v>0</v>
      </c>
      <c r="L114" s="22">
        <f t="shared" si="61"/>
        <v>0</v>
      </c>
      <c r="M114" s="227">
        <f t="shared" si="62"/>
        <v>0</v>
      </c>
      <c r="N114" s="229">
        <v>16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5"/>
        <v>Remittances: no. times per year</v>
      </c>
      <c r="B115" s="75">
        <f t="shared" si="50"/>
        <v>0</v>
      </c>
      <c r="C115" s="75">
        <f t="shared" si="50"/>
        <v>0</v>
      </c>
      <c r="D115" s="24">
        <f t="shared" si="56"/>
        <v>0</v>
      </c>
      <c r="H115" s="24">
        <f t="shared" si="57"/>
        <v>1.1100000000000001</v>
      </c>
      <c r="I115" s="22">
        <f t="shared" si="58"/>
        <v>0</v>
      </c>
      <c r="J115" s="24">
        <f t="shared" si="59"/>
        <v>0</v>
      </c>
      <c r="K115" s="22">
        <f t="shared" si="60"/>
        <v>0</v>
      </c>
      <c r="L115" s="22">
        <f t="shared" si="61"/>
        <v>0</v>
      </c>
      <c r="M115" s="227">
        <f t="shared" si="62"/>
        <v>0</v>
      </c>
      <c r="N115" s="229">
        <v>15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5"/>
        <v/>
      </c>
      <c r="B116" s="75">
        <f t="shared" si="50"/>
        <v>0</v>
      </c>
      <c r="C116" s="75">
        <f t="shared" si="50"/>
        <v>0</v>
      </c>
      <c r="D116" s="24">
        <f t="shared" si="56"/>
        <v>0</v>
      </c>
      <c r="H116" s="24">
        <f t="shared" si="57"/>
        <v>1</v>
      </c>
      <c r="I116" s="22">
        <f t="shared" si="58"/>
        <v>0</v>
      </c>
      <c r="J116" s="24">
        <f t="shared" si="59"/>
        <v>0</v>
      </c>
      <c r="K116" s="22">
        <f t="shared" si="60"/>
        <v>0</v>
      </c>
      <c r="L116" s="22">
        <f t="shared" si="61"/>
        <v>0</v>
      </c>
      <c r="M116" s="227">
        <f t="shared" si="62"/>
        <v>0</v>
      </c>
      <c r="N116" s="229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5"/>
        <v/>
      </c>
      <c r="B117" s="75">
        <f t="shared" si="50"/>
        <v>0</v>
      </c>
      <c r="C117" s="75">
        <f t="shared" si="50"/>
        <v>0</v>
      </c>
      <c r="D117" s="24">
        <f t="shared" si="56"/>
        <v>0</v>
      </c>
      <c r="H117" s="24">
        <f t="shared" si="57"/>
        <v>1</v>
      </c>
      <c r="I117" s="22">
        <f t="shared" si="58"/>
        <v>0</v>
      </c>
      <c r="J117" s="24">
        <f t="shared" si="59"/>
        <v>0</v>
      </c>
      <c r="K117" s="22">
        <f t="shared" si="60"/>
        <v>0</v>
      </c>
      <c r="L117" s="22">
        <f t="shared" si="61"/>
        <v>0</v>
      </c>
      <c r="M117" s="227">
        <f t="shared" si="62"/>
        <v>0</v>
      </c>
      <c r="N117" s="229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5"/>
        <v/>
      </c>
      <c r="B118" s="75">
        <f t="shared" si="50"/>
        <v>0</v>
      </c>
      <c r="C118" s="75">
        <f t="shared" si="50"/>
        <v>0</v>
      </c>
      <c r="D118" s="24">
        <f t="shared" si="56"/>
        <v>0</v>
      </c>
      <c r="H118" s="24">
        <f t="shared" si="57"/>
        <v>1</v>
      </c>
      <c r="I118" s="22">
        <f t="shared" si="58"/>
        <v>0</v>
      </c>
      <c r="J118" s="24">
        <f t="shared" si="59"/>
        <v>0</v>
      </c>
      <c r="K118" s="22">
        <f t="shared" si="60"/>
        <v>0</v>
      </c>
      <c r="L118" s="22">
        <f t="shared" si="61"/>
        <v>0</v>
      </c>
      <c r="M118" s="227">
        <f t="shared" si="62"/>
        <v>0</v>
      </c>
      <c r="N118" s="229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8.0906429926014791</v>
      </c>
      <c r="C119" s="22">
        <f>SUM(C91:C118)</f>
        <v>-0.11769936054967459</v>
      </c>
      <c r="D119" s="24">
        <f>SUM(D91:D118)</f>
        <v>7.9729436320518055</v>
      </c>
      <c r="E119" s="22"/>
      <c r="F119" s="2"/>
      <c r="G119" s="2"/>
      <c r="H119" s="31"/>
      <c r="I119" s="22">
        <f>SUM(I91:I118)</f>
        <v>4.8134347067769632</v>
      </c>
      <c r="J119" s="24">
        <f>SUM(J91:J118)</f>
        <v>4.8336596884610827</v>
      </c>
      <c r="K119" s="22">
        <f>SUM(K91:K118)</f>
        <v>8.0906429926014791</v>
      </c>
      <c r="L119" s="22">
        <f>SUM(L91:L118)</f>
        <v>4.8467497041832548</v>
      </c>
      <c r="M119" s="57">
        <f t="shared" si="49"/>
        <v>4.8336596884610827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Middle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63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63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75">
        <f>B70/B83</f>
        <v>1.0540460987110509</v>
      </c>
      <c r="C124" s="2"/>
      <c r="D124" s="24"/>
      <c r="H124" s="24">
        <f>(E70*F70/G$37*F$7/F$9)</f>
        <v>1.4</v>
      </c>
      <c r="I124" s="29">
        <f>IF(SUMPRODUCT($B$124:$B124,$H$124:$H124)&lt;I$119,($B124*$H124),I$119)</f>
        <v>1.4756645381954712</v>
      </c>
      <c r="J124" s="237">
        <f>IF(SUMPRODUCT($B$124:$B124,$H$124:$H124)&lt;J$119,($B124*$H124),J$119)</f>
        <v>1.4756645381954712</v>
      </c>
      <c r="K124" s="22">
        <f>(B124)</f>
        <v>1.0540460987110509</v>
      </c>
      <c r="L124" s="29">
        <f>IF(SUMPRODUCT($B$124:$B124,$H$124:$H124)&lt;L$119,($B124*$H124),L$119)</f>
        <v>1.4756645381954712</v>
      </c>
      <c r="M124" s="57">
        <f t="shared" si="63"/>
        <v>1.4756645381954712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1.0426501002402309</v>
      </c>
      <c r="C125" s="2"/>
      <c r="D125" s="24"/>
      <c r="H125" s="24">
        <f>(E71*F71/G$37*F$7/F$9)</f>
        <v>1.18</v>
      </c>
      <c r="I125" s="29">
        <f>IF(SUMPRODUCT($B$124:$B125,$H$124:$H125)&lt;I$119,($B125*$H125),IF(SUMPRODUCT($B$124:$B124,$H$124:$H124)&lt;I$119,I$119-SUMPRODUCT($B$124:$B124,$H$124:$H124),0))</f>
        <v>1.2303271182834723</v>
      </c>
      <c r="J125" s="237">
        <f>IF(SUMPRODUCT($B$124:$B125,$H$124:$H125)&lt;J$119,($B125*$H125),IF(SUMPRODUCT($B$124:$B124,$H$124:$H124)&lt;J$119,J$119-SUMPRODUCT($B$124:$B124,$H$124:$H124),0))</f>
        <v>1.2303271182834723</v>
      </c>
      <c r="K125" s="22">
        <f t="shared" ref="K125:K126" si="64">(B125)</f>
        <v>1.0426501002402309</v>
      </c>
      <c r="L125" s="29">
        <f>IF(SUMPRODUCT($B$124:$B125,$H$124:$H125)&lt;L$119,($B125*$H125),IF(SUMPRODUCT($B$124:$B124,$H$124:$H124)&lt;L$119,L$119-SUMPRODUCT($B$124:$B124,$H$124:$H124),0))</f>
        <v>1.2303271182834723</v>
      </c>
      <c r="M125" s="57">
        <f t="shared" ref="M125:M126" si="65">(J125)</f>
        <v>1.2303271182834723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1.9283216714844396</v>
      </c>
      <c r="C126" s="2"/>
      <c r="D126" s="24"/>
      <c r="H126" s="24">
        <f>(E72*F72/G$37*F$7/F$9)</f>
        <v>1.18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7">
        <f>IF(SUMPRODUCT($B$124:$B126,$H$124:$H126)&lt;(J$119-J$128),($B126*$H126),IF(SUMPRODUCT($B$124:$B125,$H$124:$H125)&lt;(J$119-J$128),J$119-J$128-SUMPRODUCT($B$124:$B125,$H$124:$H125),0))</f>
        <v>1.6445272173851242</v>
      </c>
      <c r="K126" s="22">
        <f t="shared" si="64"/>
        <v>1.9283216714844396</v>
      </c>
      <c r="L126" s="29">
        <f>IF(SUMPRODUCT($B$124:$B126,$H$124:$H126)&lt;(L$119-L$128),($B126*$H126),IF(SUMPRODUCT($B$124:$B125,$H$124:$H125)&lt;(L$119-L$128),L$119-L$128-SUMPRODUCT($B$124:$B125,$H$124:$H125),0))</f>
        <v>1.8386540226988028</v>
      </c>
      <c r="M126" s="57">
        <f t="shared" si="65"/>
        <v>1.6445272173851242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75">
        <f>B73/B83</f>
        <v>0.85739563527177842</v>
      </c>
      <c r="C127" s="2"/>
      <c r="D127" s="24"/>
      <c r="H127" s="24">
        <f>(E73*F73/G$37*F$7/F$9)</f>
        <v>1.18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7">
        <f>IF(SUMPRODUCT($B$124:$B127,$H$124:$H127)&lt;(J$119-J$128),($B127*$H127),IF(SUMPRODUCT($B$124:$B126,$H$124:$H126)&lt;(J$119-J128),J$119-J$128-SUMPRODUCT($B$124:$B126,$H$124:$H126),0))</f>
        <v>0</v>
      </c>
      <c r="K127" s="22">
        <f>(B127)</f>
        <v>0.85739563527177842</v>
      </c>
      <c r="L127" s="29">
        <f>IF(SUMPRODUCT($B$124:$B127,$H$124:$H127)&lt;(L$119-L$128),($B127*$H127),IF(SUMPRODUCT($B$124:$B126,$H$124:$H126)&lt;(L$119-L128),L$119-L$128-SUMPRODUCT($B$124:$B126,$H$124:$H126),0))</f>
        <v>0</v>
      </c>
      <c r="M127" s="57">
        <f t="shared" si="63"/>
        <v>0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2">
        <f>(B30)</f>
        <v>0.63059345561288027</v>
      </c>
      <c r="C128" s="2"/>
      <c r="D128" s="31"/>
      <c r="E128" s="2"/>
      <c r="F128" s="2"/>
      <c r="G128" s="2"/>
      <c r="H128" s="24"/>
      <c r="I128" s="29">
        <f>(I30)</f>
        <v>3.3377701685814918</v>
      </c>
      <c r="J128" s="228">
        <f>(J30)</f>
        <v>0.48314081459701519</v>
      </c>
      <c r="K128" s="22">
        <f>(B128)</f>
        <v>0.63059345561288027</v>
      </c>
      <c r="L128" s="22">
        <f>IF(L124=L119,0,(L119-L124)/(B119-B124)*K128)</f>
        <v>0.30210402500550837</v>
      </c>
      <c r="M128" s="57">
        <f t="shared" si="63"/>
        <v>0.48314081459701519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2.5776360312810986</v>
      </c>
      <c r="C129" s="2"/>
      <c r="D129" s="31"/>
      <c r="E129" s="2"/>
      <c r="F129" s="2"/>
      <c r="G129" s="2"/>
      <c r="H129" s="24"/>
      <c r="I129" s="29"/>
      <c r="J129" s="228">
        <f>IF(SUM(J124:J128)&gt;J130,0,J130-SUM(J124:J128))</f>
        <v>0</v>
      </c>
      <c r="K129" s="29">
        <f>(B129)</f>
        <v>2.5776360312810986</v>
      </c>
      <c r="L129" s="60">
        <f>IF(SUM(L124:L128)&gt;L130,0,L130-SUM(L124:L128))</f>
        <v>0</v>
      </c>
      <c r="M129" s="57">
        <f t="shared" si="63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2">
        <f>(B119)</f>
        <v>8.0906429926014791</v>
      </c>
      <c r="C130" s="2"/>
      <c r="D130" s="31"/>
      <c r="E130" s="2"/>
      <c r="F130" s="2"/>
      <c r="G130" s="2"/>
      <c r="H130" s="24"/>
      <c r="I130" s="29">
        <f>(I119)</f>
        <v>4.8134347067769632</v>
      </c>
      <c r="J130" s="228">
        <f>(J119)</f>
        <v>4.8336596884610827</v>
      </c>
      <c r="K130" s="22">
        <f>(B130)</f>
        <v>8.0906429926014791</v>
      </c>
      <c r="L130" s="22">
        <f>(L119)</f>
        <v>4.8467497041832548</v>
      </c>
      <c r="M130" s="57">
        <f t="shared" si="63"/>
        <v>4.8336596884610827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1.2303271182834719</v>
      </c>
      <c r="J131" s="237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</v>
      </c>
      <c r="M131" s="237">
        <f>IF(I131&lt;SUM(M126:M127),0,I131-(SUM(M126:M127)))</f>
        <v>0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4">
    <mergeCell ref="Z2:AA2"/>
    <mergeCell ref="AB2:AC2"/>
    <mergeCell ref="AD2:AE2"/>
    <mergeCell ref="AF2:AG2"/>
  </mergeCells>
  <phoneticPr fontId="1" type="noConversion"/>
  <conditionalFormatting sqref="U7:U22">
    <cfRule type="cellIs" dxfId="213" priority="164" operator="equal">
      <formula>16</formula>
    </cfRule>
    <cfRule type="cellIs" dxfId="212" priority="165" operator="equal">
      <formula>15</formula>
    </cfRule>
    <cfRule type="cellIs" dxfId="211" priority="166" operator="equal">
      <formula>14</formula>
    </cfRule>
    <cfRule type="cellIs" dxfId="210" priority="167" operator="equal">
      <formula>13</formula>
    </cfRule>
    <cfRule type="cellIs" dxfId="209" priority="168" operator="equal">
      <formula>12</formula>
    </cfRule>
    <cfRule type="cellIs" dxfId="208" priority="169" operator="equal">
      <formula>11</formula>
    </cfRule>
    <cfRule type="cellIs" dxfId="207" priority="170" operator="equal">
      <formula>10</formula>
    </cfRule>
    <cfRule type="cellIs" dxfId="206" priority="171" operator="equal">
      <formula>9</formula>
    </cfRule>
    <cfRule type="cellIs" dxfId="205" priority="172" operator="equal">
      <formula>8</formula>
    </cfRule>
    <cfRule type="cellIs" dxfId="204" priority="173" operator="equal">
      <formula>7</formula>
    </cfRule>
    <cfRule type="cellIs" dxfId="203" priority="174" operator="equal">
      <formula>6</formula>
    </cfRule>
    <cfRule type="cellIs" dxfId="202" priority="175" operator="equal">
      <formula>5</formula>
    </cfRule>
    <cfRule type="cellIs" dxfId="201" priority="176" operator="equal">
      <formula>4</formula>
    </cfRule>
    <cfRule type="cellIs" dxfId="200" priority="177" operator="equal">
      <formula>3</formula>
    </cfRule>
    <cfRule type="cellIs" dxfId="199" priority="178" operator="equal">
      <formula>2</formula>
    </cfRule>
    <cfRule type="cellIs" dxfId="198" priority="179" operator="equal">
      <formula>1</formula>
    </cfRule>
  </conditionalFormatting>
  <conditionalFormatting sqref="N29">
    <cfRule type="cellIs" dxfId="197" priority="148" operator="equal">
      <formula>16</formula>
    </cfRule>
    <cfRule type="cellIs" dxfId="196" priority="149" operator="equal">
      <formula>15</formula>
    </cfRule>
    <cfRule type="cellIs" dxfId="195" priority="150" operator="equal">
      <formula>14</formula>
    </cfRule>
    <cfRule type="cellIs" dxfId="194" priority="151" operator="equal">
      <formula>13</formula>
    </cfRule>
    <cfRule type="cellIs" dxfId="193" priority="152" operator="equal">
      <formula>12</formula>
    </cfRule>
    <cfRule type="cellIs" dxfId="192" priority="153" operator="equal">
      <formula>11</formula>
    </cfRule>
    <cfRule type="cellIs" dxfId="191" priority="154" operator="equal">
      <formula>10</formula>
    </cfRule>
    <cfRule type="cellIs" dxfId="190" priority="155" operator="equal">
      <formula>9</formula>
    </cfRule>
    <cfRule type="cellIs" dxfId="189" priority="156" operator="equal">
      <formula>8</formula>
    </cfRule>
    <cfRule type="cellIs" dxfId="188" priority="157" operator="equal">
      <formula>7</formula>
    </cfRule>
    <cfRule type="cellIs" dxfId="187" priority="158" operator="equal">
      <formula>6</formula>
    </cfRule>
    <cfRule type="cellIs" dxfId="186" priority="159" operator="equal">
      <formula>5</formula>
    </cfRule>
    <cfRule type="cellIs" dxfId="185" priority="160" operator="equal">
      <formula>4</formula>
    </cfRule>
    <cfRule type="cellIs" dxfId="184" priority="161" operator="equal">
      <formula>3</formula>
    </cfRule>
    <cfRule type="cellIs" dxfId="183" priority="162" operator="equal">
      <formula>2</formula>
    </cfRule>
    <cfRule type="cellIs" dxfId="182" priority="163" operator="equal">
      <formula>1</formula>
    </cfRule>
  </conditionalFormatting>
  <conditionalFormatting sqref="N116:N118">
    <cfRule type="cellIs" dxfId="181" priority="100" operator="equal">
      <formula>16</formula>
    </cfRule>
    <cfRule type="cellIs" dxfId="180" priority="101" operator="equal">
      <formula>15</formula>
    </cfRule>
    <cfRule type="cellIs" dxfId="179" priority="102" operator="equal">
      <formula>14</formula>
    </cfRule>
    <cfRule type="cellIs" dxfId="178" priority="103" operator="equal">
      <formula>13</formula>
    </cfRule>
    <cfRule type="cellIs" dxfId="177" priority="104" operator="equal">
      <formula>12</formula>
    </cfRule>
    <cfRule type="cellIs" dxfId="176" priority="105" operator="equal">
      <formula>11</formula>
    </cfRule>
    <cfRule type="cellIs" dxfId="175" priority="106" operator="equal">
      <formula>10</formula>
    </cfRule>
    <cfRule type="cellIs" dxfId="174" priority="107" operator="equal">
      <formula>9</formula>
    </cfRule>
    <cfRule type="cellIs" dxfId="173" priority="108" operator="equal">
      <formula>8</formula>
    </cfRule>
    <cfRule type="cellIs" dxfId="172" priority="109" operator="equal">
      <formula>7</formula>
    </cfRule>
    <cfRule type="cellIs" dxfId="171" priority="110" operator="equal">
      <formula>6</formula>
    </cfRule>
    <cfRule type="cellIs" dxfId="170" priority="111" operator="equal">
      <formula>5</formula>
    </cfRule>
    <cfRule type="cellIs" dxfId="169" priority="112" operator="equal">
      <formula>4</formula>
    </cfRule>
    <cfRule type="cellIs" dxfId="168" priority="113" operator="equal">
      <formula>3</formula>
    </cfRule>
    <cfRule type="cellIs" dxfId="167" priority="114" operator="equal">
      <formula>2</formula>
    </cfRule>
    <cfRule type="cellIs" dxfId="166" priority="115" operator="equal">
      <formula>1</formula>
    </cfRule>
  </conditionalFormatting>
  <conditionalFormatting sqref="N6:N28">
    <cfRule type="cellIs" dxfId="165" priority="84" operator="equal">
      <formula>16</formula>
    </cfRule>
    <cfRule type="cellIs" dxfId="164" priority="85" operator="equal">
      <formula>15</formula>
    </cfRule>
    <cfRule type="cellIs" dxfId="163" priority="86" operator="equal">
      <formula>14</formula>
    </cfRule>
    <cfRule type="cellIs" dxfId="162" priority="87" operator="equal">
      <formula>13</formula>
    </cfRule>
    <cfRule type="cellIs" dxfId="161" priority="88" operator="equal">
      <formula>12</formula>
    </cfRule>
    <cfRule type="cellIs" dxfId="160" priority="89" operator="equal">
      <formula>11</formula>
    </cfRule>
    <cfRule type="cellIs" dxfId="159" priority="90" operator="equal">
      <formula>10</formula>
    </cfRule>
    <cfRule type="cellIs" dxfId="158" priority="91" operator="equal">
      <formula>9</formula>
    </cfRule>
    <cfRule type="cellIs" dxfId="157" priority="92" operator="equal">
      <formula>8</formula>
    </cfRule>
    <cfRule type="cellIs" dxfId="156" priority="93" operator="equal">
      <formula>7</formula>
    </cfRule>
    <cfRule type="cellIs" dxfId="155" priority="94" operator="equal">
      <formula>6</formula>
    </cfRule>
    <cfRule type="cellIs" dxfId="154" priority="95" operator="equal">
      <formula>5</formula>
    </cfRule>
    <cfRule type="cellIs" dxfId="153" priority="96" operator="equal">
      <formula>4</formula>
    </cfRule>
    <cfRule type="cellIs" dxfId="152" priority="97" operator="equal">
      <formula>3</formula>
    </cfRule>
    <cfRule type="cellIs" dxfId="151" priority="98" operator="equal">
      <formula>2</formula>
    </cfRule>
    <cfRule type="cellIs" dxfId="150" priority="99" operator="equal">
      <formula>1</formula>
    </cfRule>
  </conditionalFormatting>
  <conditionalFormatting sqref="R31:T31">
    <cfRule type="cellIs" dxfId="149" priority="51" operator="greaterThan">
      <formula>0</formula>
    </cfRule>
  </conditionalFormatting>
  <conditionalFormatting sqref="R32:T32">
    <cfRule type="cellIs" dxfId="148" priority="50" operator="greaterThan">
      <formula>0</formula>
    </cfRule>
  </conditionalFormatting>
  <conditionalFormatting sqref="R30:T30">
    <cfRule type="cellIs" dxfId="147" priority="49" operator="greaterThan">
      <formula>0</formula>
    </cfRule>
  </conditionalFormatting>
  <conditionalFormatting sqref="N113:N115">
    <cfRule type="cellIs" dxfId="146" priority="33" operator="equal">
      <formula>16</formula>
    </cfRule>
    <cfRule type="cellIs" dxfId="145" priority="34" operator="equal">
      <formula>15</formula>
    </cfRule>
    <cfRule type="cellIs" dxfId="144" priority="35" operator="equal">
      <formula>14</formula>
    </cfRule>
    <cfRule type="cellIs" dxfId="143" priority="36" operator="equal">
      <formula>13</formula>
    </cfRule>
    <cfRule type="cellIs" dxfId="142" priority="37" operator="equal">
      <formula>12</formula>
    </cfRule>
    <cfRule type="cellIs" dxfId="141" priority="38" operator="equal">
      <formula>11</formula>
    </cfRule>
    <cfRule type="cellIs" dxfId="140" priority="39" operator="equal">
      <formula>10</formula>
    </cfRule>
    <cfRule type="cellIs" dxfId="139" priority="40" operator="equal">
      <formula>9</formula>
    </cfRule>
    <cfRule type="cellIs" dxfId="138" priority="41" operator="equal">
      <formula>8</formula>
    </cfRule>
    <cfRule type="cellIs" dxfId="137" priority="42" operator="equal">
      <formula>7</formula>
    </cfRule>
    <cfRule type="cellIs" dxfId="136" priority="43" operator="equal">
      <formula>6</formula>
    </cfRule>
    <cfRule type="cellIs" dxfId="135" priority="44" operator="equal">
      <formula>5</formula>
    </cfRule>
    <cfRule type="cellIs" dxfId="134" priority="45" operator="equal">
      <formula>4</formula>
    </cfRule>
    <cfRule type="cellIs" dxfId="133" priority="46" operator="equal">
      <formula>3</formula>
    </cfRule>
    <cfRule type="cellIs" dxfId="132" priority="47" operator="equal">
      <formula>2</formula>
    </cfRule>
    <cfRule type="cellIs" dxfId="131" priority="48" operator="equal">
      <formula>1</formula>
    </cfRule>
  </conditionalFormatting>
  <conditionalFormatting sqref="N91:N104">
    <cfRule type="cellIs" dxfId="130" priority="17" operator="equal">
      <formula>16</formula>
    </cfRule>
    <cfRule type="cellIs" dxfId="129" priority="18" operator="equal">
      <formula>15</formula>
    </cfRule>
    <cfRule type="cellIs" dxfId="128" priority="19" operator="equal">
      <formula>14</formula>
    </cfRule>
    <cfRule type="cellIs" dxfId="127" priority="20" operator="equal">
      <formula>13</formula>
    </cfRule>
    <cfRule type="cellIs" dxfId="126" priority="21" operator="equal">
      <formula>12</formula>
    </cfRule>
    <cfRule type="cellIs" dxfId="125" priority="22" operator="equal">
      <formula>11</formula>
    </cfRule>
    <cfRule type="cellIs" dxfId="124" priority="23" operator="equal">
      <formula>10</formula>
    </cfRule>
    <cfRule type="cellIs" dxfId="123" priority="24" operator="equal">
      <formula>9</formula>
    </cfRule>
    <cfRule type="cellIs" dxfId="122" priority="25" operator="equal">
      <formula>8</formula>
    </cfRule>
    <cfRule type="cellIs" dxfId="121" priority="26" operator="equal">
      <formula>7</formula>
    </cfRule>
    <cfRule type="cellIs" dxfId="120" priority="27" operator="equal">
      <formula>6</formula>
    </cfRule>
    <cfRule type="cellIs" dxfId="119" priority="28" operator="equal">
      <formula>5</formula>
    </cfRule>
    <cfRule type="cellIs" dxfId="118" priority="29" operator="equal">
      <formula>4</formula>
    </cfRule>
    <cfRule type="cellIs" dxfId="117" priority="30" operator="equal">
      <formula>3</formula>
    </cfRule>
    <cfRule type="cellIs" dxfId="116" priority="31" operator="equal">
      <formula>2</formula>
    </cfRule>
    <cfRule type="cellIs" dxfId="115" priority="32" operator="equal">
      <formula>1</formula>
    </cfRule>
  </conditionalFormatting>
  <conditionalFormatting sqref="N105:N112">
    <cfRule type="cellIs" dxfId="114" priority="1" operator="equal">
      <formula>16</formula>
    </cfRule>
    <cfRule type="cellIs" dxfId="113" priority="2" operator="equal">
      <formula>15</formula>
    </cfRule>
    <cfRule type="cellIs" dxfId="112" priority="3" operator="equal">
      <formula>14</formula>
    </cfRule>
    <cfRule type="cellIs" dxfId="111" priority="4" operator="equal">
      <formula>13</formula>
    </cfRule>
    <cfRule type="cellIs" dxfId="110" priority="5" operator="equal">
      <formula>12</formula>
    </cfRule>
    <cfRule type="cellIs" dxfId="109" priority="6" operator="equal">
      <formula>11</formula>
    </cfRule>
    <cfRule type="cellIs" dxfId="108" priority="7" operator="equal">
      <formula>10</formula>
    </cfRule>
    <cfRule type="cellIs" dxfId="107" priority="8" operator="equal">
      <formula>9</formula>
    </cfRule>
    <cfRule type="cellIs" dxfId="106" priority="9" operator="equal">
      <formula>8</formula>
    </cfRule>
    <cfRule type="cellIs" dxfId="105" priority="10" operator="equal">
      <formula>7</formula>
    </cfRule>
    <cfRule type="cellIs" dxfId="104" priority="11" operator="equal">
      <formula>6</formula>
    </cfRule>
    <cfRule type="cellIs" dxfId="103" priority="12" operator="equal">
      <formula>5</formula>
    </cfRule>
    <cfRule type="cellIs" dxfId="102" priority="13" operator="equal">
      <formula>4</formula>
    </cfRule>
    <cfRule type="cellIs" dxfId="101" priority="14" operator="equal">
      <formula>3</formula>
    </cfRule>
    <cfRule type="cellIs" dxfId="100" priority="15" operator="equal">
      <formula>2</formula>
    </cfRule>
    <cfRule type="cellIs" dxfId="99" priority="16" operator="equal">
      <formula>1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67" activePane="bottomRight" state="frozen"/>
      <selection pane="topRight" activeCell="B1" sqref="B1"/>
      <selection pane="bottomLeft" activeCell="A3" sqref="A3"/>
      <selection pane="bottomRight" activeCell="B87" sqref="B87"/>
    </sheetView>
  </sheetViews>
  <sheetFormatPr baseColWidth="10" defaultColWidth="8" defaultRowHeight="15" x14ac:dyDescent="0"/>
  <cols>
    <col min="1" max="1" width="21.71093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ZA1XX, 59100</v>
      </c>
      <c r="B1" s="244" t="str">
        <f>Poor!B1</f>
        <v xml:space="preserve">Open access Livestock husbandry </v>
      </c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180" t="str">
        <f>Poor!Z1</f>
        <v>Apr-Jun</v>
      </c>
      <c r="AA1" s="181"/>
      <c r="AB1" s="180" t="str">
        <f>Poor!AB1</f>
        <v>Jul-Sep</v>
      </c>
      <c r="AC1" s="181"/>
      <c r="AD1" s="180" t="str">
        <f>Poor!AD1</f>
        <v>Oct-Dec</v>
      </c>
      <c r="AE1" s="181"/>
      <c r="AF1" s="180" t="str">
        <f>Poor!AF1</f>
        <v>Jan-Mar</v>
      </c>
      <c r="AG1" s="181"/>
      <c r="AH1" s="117"/>
      <c r="AI1" s="110"/>
      <c r="AJ1" s="180" t="str">
        <f>LEFT(Z1,4) &amp; MID(AB1,5,3)</f>
        <v>Apr-Sep</v>
      </c>
      <c r="AK1" s="181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9" t="str">
        <f>Poor!Z2</f>
        <v>Q1</v>
      </c>
      <c r="AA2" s="260"/>
      <c r="AB2" s="259" t="str">
        <f>Poor!AB2</f>
        <v>Q2</v>
      </c>
      <c r="AC2" s="260"/>
      <c r="AD2" s="259" t="str">
        <f>Poor!AD2</f>
        <v>Q3</v>
      </c>
      <c r="AE2" s="260"/>
      <c r="AF2" s="259" t="str">
        <f>Poor!AF2</f>
        <v>Q4</v>
      </c>
      <c r="AG2" s="260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49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85" t="str">
        <f>IF(Poor!A6=0,"",Poor!A6)</f>
        <v>Cows' milk - season 1</v>
      </c>
      <c r="B6" s="101">
        <v>4.2240037359900375E-2</v>
      </c>
      <c r="C6" s="102">
        <v>0</v>
      </c>
      <c r="D6" s="24">
        <f t="shared" ref="D6:D29" si="0">(B6+C6)</f>
        <v>4.2240037359900375E-2</v>
      </c>
      <c r="E6" s="75">
        <f>Middle!E6</f>
        <v>0.2</v>
      </c>
      <c r="F6" s="2" t="s">
        <v>21</v>
      </c>
      <c r="H6" s="24">
        <f t="shared" ref="H6:H29" si="1">(E6*F$7/F$9)</f>
        <v>0.2</v>
      </c>
      <c r="I6" s="22">
        <f t="shared" ref="I6:I29" si="2">(D6*H6)</f>
        <v>8.4480074719800752E-3</v>
      </c>
      <c r="J6" s="24">
        <f t="shared" ref="J6:J13" si="3">IF(I$32&lt;=1+I$131,I6,B6*H6+J$33*(I6-B6*H6))</f>
        <v>8.4480074719800752E-3</v>
      </c>
      <c r="K6" s="22">
        <f t="shared" ref="K6:K31" si="4">B6</f>
        <v>4.2240037359900375E-2</v>
      </c>
      <c r="L6" s="22">
        <f t="shared" ref="L6:L29" si="5">IF(K6="","",K6*H6)</f>
        <v>8.4480074719800752E-3</v>
      </c>
      <c r="M6" s="177">
        <f t="shared" ref="M6:M31" si="6">J6</f>
        <v>8.4480074719800752E-3</v>
      </c>
      <c r="N6" s="229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3.3792029887920301E-2</v>
      </c>
      <c r="Z6" s="156">
        <f>Poor!Z6</f>
        <v>0.17</v>
      </c>
      <c r="AA6" s="121">
        <f>$M6*Z6*4</f>
        <v>5.7446450809464514E-3</v>
      </c>
      <c r="AB6" s="156">
        <f>Poor!AB6</f>
        <v>0.17</v>
      </c>
      <c r="AC6" s="121">
        <f t="shared" ref="AC6:AC29" si="7">$M6*AB6*4</f>
        <v>5.7446450809464514E-3</v>
      </c>
      <c r="AD6" s="156">
        <f>Poor!AD6</f>
        <v>0.33</v>
      </c>
      <c r="AE6" s="121">
        <f t="shared" ref="AE6:AE29" si="8">$M6*AD6*4</f>
        <v>1.11513698630137E-2</v>
      </c>
      <c r="AF6" s="122">
        <f>1-SUM(Z6,AB6,AD6)</f>
        <v>0.32999999999999996</v>
      </c>
      <c r="AG6" s="121">
        <f>$M6*AF6*4</f>
        <v>1.1151369863013698E-2</v>
      </c>
      <c r="AH6" s="123">
        <f>SUM(Z6,AB6,AD6,AF6)</f>
        <v>1</v>
      </c>
      <c r="AI6" s="183">
        <f>SUM(AA6,AC6,AE6,AG6)/4</f>
        <v>8.4480074719800752E-3</v>
      </c>
      <c r="AJ6" s="120">
        <f>(AA6+AC6)/2</f>
        <v>5.7446450809464514E-3</v>
      </c>
      <c r="AK6" s="119">
        <f>(AE6+AG6)/2</f>
        <v>1.11513698630137E-2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85" t="str">
        <f>IF(Poor!A7=0,"",Poor!A7)</f>
        <v>Own meat</v>
      </c>
      <c r="B7" s="101">
        <v>8.6975165006226651E-2</v>
      </c>
      <c r="C7" s="102">
        <v>0</v>
      </c>
      <c r="D7" s="24">
        <f t="shared" si="0"/>
        <v>8.6975165006226651E-2</v>
      </c>
      <c r="E7" s="75">
        <f>Middle!E7</f>
        <v>0.2</v>
      </c>
      <c r="F7" s="27">
        <v>8800</v>
      </c>
      <c r="H7" s="24">
        <f t="shared" si="1"/>
        <v>0.2</v>
      </c>
      <c r="I7" s="22">
        <f t="shared" si="2"/>
        <v>1.7395033001245331E-2</v>
      </c>
      <c r="J7" s="24">
        <f t="shared" si="3"/>
        <v>1.7395033001245331E-2</v>
      </c>
      <c r="K7" s="22">
        <f t="shared" si="4"/>
        <v>8.6975165006226651E-2</v>
      </c>
      <c r="L7" s="22">
        <f t="shared" si="5"/>
        <v>1.7395033001245331E-2</v>
      </c>
      <c r="M7" s="177">
        <f t="shared" si="6"/>
        <v>1.7395033001245331E-2</v>
      </c>
      <c r="N7" s="229">
        <v>3</v>
      </c>
      <c r="O7" s="2"/>
      <c r="P7" s="22"/>
      <c r="Q7" s="59" t="s">
        <v>71</v>
      </c>
      <c r="R7" s="222">
        <f>IF($B$81=0,0,(SUMIF($N$6:$N$28,$U7,K$6:K$28)+SUMIF($N$91:$N$118,$U7,K$91:K$118))*$B$83*$H$84*Poor!$B$81/$B$81)</f>
        <v>1825.413865737894</v>
      </c>
      <c r="S7" s="222">
        <f>IF($B$81=0,0,(SUMIF($N$6:$N$28,$U7,L$6:L$28)+SUMIF($N$91:$N$118,$U7,L$91:L$118))*$I$83*Poor!$B$81/$B$81)</f>
        <v>357.04522419492463</v>
      </c>
      <c r="T7" s="222">
        <f>IF($B$81=0,0,(SUMIF($N$6:$N$28,$U7,M$6:M$28)+SUMIF($N$91:$N$118,$U7,M$91:M$118))*$I$83*Poor!$B$81/$B$81)</f>
        <v>365.72831580300436</v>
      </c>
      <c r="U7" s="223">
        <v>1</v>
      </c>
      <c r="V7" s="56"/>
      <c r="W7" s="115"/>
      <c r="X7" s="118">
        <f>Poor!X7</f>
        <v>4</v>
      </c>
      <c r="Y7" s="183">
        <f t="shared" ref="Y7:Y29" si="9">M7*4</f>
        <v>6.9580132004981324E-2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6.9580132004981324E-2</v>
      </c>
      <c r="AH7" s="123">
        <f t="shared" ref="AH7:AH30" si="12">SUM(Z7,AB7,AD7,AF7)</f>
        <v>1</v>
      </c>
      <c r="AI7" s="183">
        <f t="shared" ref="AI7:AI30" si="13">SUM(AA7,AC7,AE7,AG7)/4</f>
        <v>1.7395033001245331E-2</v>
      </c>
      <c r="AJ7" s="120">
        <f t="shared" ref="AJ7:AJ31" si="14">(AA7+AC7)/2</f>
        <v>0</v>
      </c>
      <c r="AK7" s="119">
        <f t="shared" ref="AK7:AK31" si="15">(AE7+AG7)/2</f>
        <v>3.4790066002490662E-2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85" t="str">
        <f>IF(Poor!A8=0,"",Poor!A8)</f>
        <v>Green cons - Season 1: no of months</v>
      </c>
      <c r="B8" s="101">
        <v>2.4999999999999996E-3</v>
      </c>
      <c r="C8" s="102">
        <v>0</v>
      </c>
      <c r="D8" s="24">
        <f t="shared" si="0"/>
        <v>2.4999999999999996E-3</v>
      </c>
      <c r="E8" s="75">
        <f>Middle!E8</f>
        <v>0.2</v>
      </c>
      <c r="F8" s="22" t="s">
        <v>23</v>
      </c>
      <c r="H8" s="24">
        <f t="shared" si="1"/>
        <v>0.2</v>
      </c>
      <c r="I8" s="22">
        <f t="shared" si="2"/>
        <v>4.999999999999999E-4</v>
      </c>
      <c r="J8" s="24">
        <f t="shared" si="3"/>
        <v>4.999999999999999E-4</v>
      </c>
      <c r="K8" s="22">
        <f t="shared" si="4"/>
        <v>2.4999999999999996E-3</v>
      </c>
      <c r="L8" s="22">
        <f t="shared" si="5"/>
        <v>4.999999999999999E-4</v>
      </c>
      <c r="M8" s="224">
        <f t="shared" si="6"/>
        <v>4.999999999999999E-4</v>
      </c>
      <c r="N8" s="229">
        <v>1</v>
      </c>
      <c r="O8" s="2"/>
      <c r="P8" s="22"/>
      <c r="Q8" s="59" t="s">
        <v>72</v>
      </c>
      <c r="R8" s="222">
        <f>IF($B$81=0,0,(SUMIF($N$6:$N$28,$U8,K$6:K$28)+SUMIF($N$91:$N$118,$U8,K$91:K$118))*$B$83*$H$84*Poor!$B$81/$B$81)</f>
        <v>22116.438696656045</v>
      </c>
      <c r="S8" s="222">
        <f>IF($B$81=0,0,(SUMIF($N$6:$N$28,$U8,L$6:L$28)+SUMIF($N$91:$N$118,$U8,L$91:L$118))*$I$83*Poor!$B$81/$B$81)</f>
        <v>5320.6399999999994</v>
      </c>
      <c r="T8" s="222">
        <f>IF($B$81=0,0,(SUMIF($N$6:$N$28,$U8,M$6:M$28)+SUMIF($N$91:$N$118,$U8,M$91:M$118))*$I$83*Poor!$B$81/$B$81)</f>
        <v>5316.3254689601545</v>
      </c>
      <c r="U8" s="223">
        <v>2</v>
      </c>
      <c r="V8" s="56"/>
      <c r="W8" s="115"/>
      <c r="X8" s="118">
        <f>Poor!X8</f>
        <v>1</v>
      </c>
      <c r="Y8" s="183">
        <f t="shared" si="9"/>
        <v>1.9999999999999996E-3</v>
      </c>
      <c r="Z8" s="125">
        <f>IF($Y8=0,0,AA8/$Y8)</f>
        <v>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1.9999999999999996E-3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4.999999999999999E-4</v>
      </c>
      <c r="AJ8" s="120">
        <f t="shared" si="14"/>
        <v>9.999999999999998E-4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85" t="str">
        <f>IF(Poor!A9=0,"",Poor!A9)</f>
        <v>Maize: kg produced</v>
      </c>
      <c r="B9" s="101">
        <v>4.3767753735990039E-2</v>
      </c>
      <c r="C9" s="102">
        <v>0.4435928938356164</v>
      </c>
      <c r="D9" s="24">
        <f t="shared" si="0"/>
        <v>0.48736064757160646</v>
      </c>
      <c r="E9" s="75">
        <f>Middle!E9</f>
        <v>0.3</v>
      </c>
      <c r="F9" s="76">
        <f>Poor!F9</f>
        <v>8800</v>
      </c>
      <c r="H9" s="24">
        <f t="shared" si="1"/>
        <v>0.3</v>
      </c>
      <c r="I9" s="22">
        <f t="shared" si="2"/>
        <v>0.14620819427148193</v>
      </c>
      <c r="J9" s="24">
        <f t="shared" si="3"/>
        <v>1.372901709599353E-2</v>
      </c>
      <c r="K9" s="22">
        <f t="shared" si="4"/>
        <v>4.3767753735990039E-2</v>
      </c>
      <c r="L9" s="22">
        <f t="shared" si="5"/>
        <v>1.3130326120797011E-2</v>
      </c>
      <c r="M9" s="224">
        <f t="shared" si="6"/>
        <v>1.372901709599353E-2</v>
      </c>
      <c r="N9" s="229">
        <v>1</v>
      </c>
      <c r="O9" s="2"/>
      <c r="P9" s="22"/>
      <c r="Q9" s="59" t="s">
        <v>73</v>
      </c>
      <c r="R9" s="222">
        <f>IF($B$81=0,0,(SUMIF($N$6:$N$28,$U9,K$6:K$28)+SUMIF($N$91:$N$118,$U9,K$91:K$118))*$B$83*$H$84*Poor!$B$81/$B$81)</f>
        <v>2192.2857565535119</v>
      </c>
      <c r="S9" s="222">
        <f>IF($B$81=0,0,(SUMIF($N$6:$N$28,$U9,L$6:L$28)+SUMIF($N$91:$N$118,$U9,L$91:L$118))*$I$83*Poor!$B$81/$B$81)</f>
        <v>356.32787322935076</v>
      </c>
      <c r="T9" s="222">
        <f>IF($B$81=0,0,(SUMIF($N$6:$N$28,$U9,M$6:M$28)+SUMIF($N$91:$N$118,$U9,M$91:M$118))*$I$83*Poor!$B$81/$B$81)</f>
        <v>356.32787322935076</v>
      </c>
      <c r="U9" s="223">
        <v>3</v>
      </c>
      <c r="V9" s="56"/>
      <c r="W9" s="115"/>
      <c r="X9" s="118">
        <f>Poor!X9</f>
        <v>1</v>
      </c>
      <c r="Y9" s="183">
        <f t="shared" si="9"/>
        <v>5.4916068383974122E-2</v>
      </c>
      <c r="Z9" s="125">
        <f>IF($Y9=0,0,AA9/$Y9)</f>
        <v>1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5.4916068383974122E-2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1.372901709599353E-2</v>
      </c>
      <c r="AJ9" s="120">
        <f t="shared" si="14"/>
        <v>2.7458034191987061E-2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85" t="str">
        <f>IF(Poor!A10=0,"",Poor!A10)</f>
        <v>Beans: kg produced</v>
      </c>
      <c r="B10" s="101">
        <v>3.6013388480697385E-2</v>
      </c>
      <c r="C10" s="102">
        <v>0</v>
      </c>
      <c r="D10" s="24">
        <f t="shared" si="0"/>
        <v>3.6013388480697385E-2</v>
      </c>
      <c r="E10" s="75">
        <f>Middle!E10</f>
        <v>0.2</v>
      </c>
      <c r="H10" s="24">
        <f t="shared" si="1"/>
        <v>0.2</v>
      </c>
      <c r="I10" s="22">
        <f t="shared" si="2"/>
        <v>7.202677696139477E-3</v>
      </c>
      <c r="J10" s="24">
        <f t="shared" si="3"/>
        <v>7.202677696139477E-3</v>
      </c>
      <c r="K10" s="22">
        <f t="shared" si="4"/>
        <v>3.6013388480697385E-2</v>
      </c>
      <c r="L10" s="22">
        <f t="shared" si="5"/>
        <v>7.202677696139477E-3</v>
      </c>
      <c r="M10" s="224">
        <f t="shared" si="6"/>
        <v>7.202677696139477E-3</v>
      </c>
      <c r="N10" s="229">
        <v>1</v>
      </c>
      <c r="O10" s="2"/>
      <c r="P10" s="22"/>
      <c r="Q10" s="59" t="s">
        <v>74</v>
      </c>
      <c r="R10" s="222">
        <f>IF($B$81=0,0,(SUMIF($N$6:$N$28,$U10,K$6:K$28)+SUMIF($N$91:$N$118,$U10,K$91:K$118))*$B$83*$H$84*Poor!$B$81/$B$81)</f>
        <v>0</v>
      </c>
      <c r="S10" s="222">
        <f>IF($B$81=0,0,(SUMIF($N$6:$N$28,$U10,L$6:L$28)+SUMIF($N$91:$N$118,$U10,L$91:L$118))*$I$83*Poor!$B$81/$B$81)</f>
        <v>0</v>
      </c>
      <c r="T10" s="222">
        <f>IF($B$81=0,0,(SUMIF($N$6:$N$28,$U10,M$6:M$28)+SUMIF($N$91:$N$118,$U10,M$91:M$118))*$I$83*Poor!$B$81/$B$81)</f>
        <v>0</v>
      </c>
      <c r="U10" s="223">
        <v>4</v>
      </c>
      <c r="V10" s="56"/>
      <c r="W10" s="115"/>
      <c r="X10" s="118">
        <f>Poor!X10</f>
        <v>1</v>
      </c>
      <c r="Y10" s="183">
        <f t="shared" si="9"/>
        <v>2.8810710784557908E-2</v>
      </c>
      <c r="Z10" s="125">
        <f>IF($Y10=0,0,AA10/$Y10)</f>
        <v>1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2.8810710784557908E-2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0</v>
      </c>
      <c r="AG10" s="121">
        <f t="shared" si="11"/>
        <v>0</v>
      </c>
      <c r="AH10" s="123">
        <f t="shared" si="12"/>
        <v>1</v>
      </c>
      <c r="AI10" s="183">
        <f t="shared" si="13"/>
        <v>7.202677696139477E-3</v>
      </c>
      <c r="AJ10" s="120">
        <f t="shared" si="14"/>
        <v>1.4405355392278954E-2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85" t="str">
        <f>IF(Poor!A11=0,"",Poor!A11)</f>
        <v>Potatoes: no. local meas</v>
      </c>
      <c r="B11" s="101">
        <v>2.1776816936488169E-2</v>
      </c>
      <c r="C11" s="102">
        <v>2.9563083437110827E-2</v>
      </c>
      <c r="D11" s="24">
        <f t="shared" si="0"/>
        <v>5.1339900373598993E-2</v>
      </c>
      <c r="E11" s="75">
        <f>Middle!E11</f>
        <v>0.2</v>
      </c>
      <c r="H11" s="24">
        <f t="shared" si="1"/>
        <v>0.2</v>
      </c>
      <c r="I11" s="22">
        <f t="shared" si="2"/>
        <v>1.0267980074719799E-2</v>
      </c>
      <c r="J11" s="24">
        <f t="shared" si="3"/>
        <v>4.3819630788898365E-3</v>
      </c>
      <c r="K11" s="22">
        <f t="shared" si="4"/>
        <v>2.1776816936488169E-2</v>
      </c>
      <c r="L11" s="22">
        <f t="shared" si="5"/>
        <v>4.3553633872976342E-3</v>
      </c>
      <c r="M11" s="224">
        <f t="shared" si="6"/>
        <v>4.3819630788898365E-3</v>
      </c>
      <c r="N11" s="229">
        <v>1</v>
      </c>
      <c r="O11" s="2"/>
      <c r="P11" s="22"/>
      <c r="Q11" s="59" t="s">
        <v>75</v>
      </c>
      <c r="R11" s="222">
        <f>IF($B$81=0,0,(SUMIF($N$6:$N$28,$U11,K$6:K$28)+SUMIF($N$91:$N$118,$U11,K$91:K$118))*$B$83*$H$84*Poor!$B$81/$B$81)</f>
        <v>31324.70731659016</v>
      </c>
      <c r="S11" s="222">
        <f>IF($B$81=0,0,(SUMIF($N$6:$N$28,$U11,L$6:L$28)+SUMIF($N$91:$N$118,$U11,L$91:L$118))*$I$83*Poor!$B$81/$B$81)</f>
        <v>15019.714285714284</v>
      </c>
      <c r="T11" s="222">
        <f>IF($B$81=0,0,(SUMIF($N$6:$N$28,$U11,M$6:M$28)+SUMIF($N$91:$N$118,$U11,M$91:M$118))*$I$83*Poor!$B$81/$B$81)</f>
        <v>15027.449654356078</v>
      </c>
      <c r="U11" s="223">
        <v>5</v>
      </c>
      <c r="V11" s="56"/>
      <c r="W11" s="115"/>
      <c r="X11" s="118">
        <f>Poor!X11</f>
        <v>1</v>
      </c>
      <c r="Y11" s="183">
        <f t="shared" si="9"/>
        <v>1.7527852315559346E-2</v>
      </c>
      <c r="Z11" s="125">
        <f>IF($Y11=0,0,AA11/$Y11)</f>
        <v>1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1.7527852315559346E-2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4.3819630788898365E-3</v>
      </c>
      <c r="AJ11" s="120">
        <f t="shared" si="14"/>
        <v>8.763926157779673E-3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85" t="str">
        <f>IF(Poor!A12=0,"",Poor!A12)</f>
        <v>Cabbage: no. local meas</v>
      </c>
      <c r="B12" s="101">
        <v>1.4278953922789539E-3</v>
      </c>
      <c r="C12" s="102">
        <v>0</v>
      </c>
      <c r="D12" s="24">
        <f t="shared" si="0"/>
        <v>1.4278953922789539E-3</v>
      </c>
      <c r="E12" s="75">
        <f>Middle!E12</f>
        <v>0.2</v>
      </c>
      <c r="H12" s="24">
        <f t="shared" si="1"/>
        <v>0.2</v>
      </c>
      <c r="I12" s="22">
        <f t="shared" si="2"/>
        <v>2.855790784557908E-4</v>
      </c>
      <c r="J12" s="24">
        <f t="shared" si="3"/>
        <v>2.855790784557908E-4</v>
      </c>
      <c r="K12" s="22">
        <f t="shared" si="4"/>
        <v>1.4278953922789539E-3</v>
      </c>
      <c r="L12" s="22">
        <f t="shared" si="5"/>
        <v>2.855790784557908E-4</v>
      </c>
      <c r="M12" s="224">
        <f t="shared" si="6"/>
        <v>2.855790784557908E-4</v>
      </c>
      <c r="N12" s="229">
        <v>1</v>
      </c>
      <c r="O12" s="2"/>
      <c r="P12" s="22"/>
      <c r="Q12" s="126" t="s">
        <v>124</v>
      </c>
      <c r="R12" s="222">
        <f>IF($B$81=0,0,(SUMIF($N$6:$N$28,$U12,K$6:K$28)+SUMIF($N$91:$N$118,$U12,K$91:K$118))*$B$83*$H$84*Poor!$B$81/$B$81)</f>
        <v>0</v>
      </c>
      <c r="S12" s="222">
        <f>IF($B$81=0,0,(SUMIF($N$6:$N$28,$U12,L$6:L$28)+SUMIF($N$91:$N$118,$U12,L$91:L$118))*$I$83*Poor!$B$81/$B$81)</f>
        <v>0</v>
      </c>
      <c r="T12" s="222">
        <f>IF($B$81=0,0,(SUMIF($N$6:$N$28,$U12,M$6:M$28)+SUMIF($N$91:$N$118,$U12,M$91:M$118))*$I$83*Poor!$B$81/$B$81)</f>
        <v>0</v>
      </c>
      <c r="U12" s="223">
        <v>6</v>
      </c>
      <c r="V12" s="56"/>
      <c r="W12" s="117"/>
      <c r="X12" s="118"/>
      <c r="Y12" s="183">
        <f t="shared" si="9"/>
        <v>1.1423163138231632E-3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7.6535193026151934E-4</v>
      </c>
      <c r="AF12" s="122">
        <f>1-SUM(Z12,AB12,AD12)</f>
        <v>0.32999999999999996</v>
      </c>
      <c r="AG12" s="121">
        <f>$M12*AF12*4</f>
        <v>3.769643835616438E-4</v>
      </c>
      <c r="AH12" s="123">
        <f t="shared" si="12"/>
        <v>1</v>
      </c>
      <c r="AI12" s="183">
        <f t="shared" si="13"/>
        <v>2.855790784557908E-4</v>
      </c>
      <c r="AJ12" s="120">
        <f t="shared" si="14"/>
        <v>0</v>
      </c>
      <c r="AK12" s="119">
        <f t="shared" si="15"/>
        <v>5.711581569115816E-4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85" t="str">
        <f>IF(Poor!A13=0,"",Poor!A13)</f>
        <v>beetroot: no. local meas</v>
      </c>
      <c r="B13" s="101">
        <v>0</v>
      </c>
      <c r="C13" s="102">
        <v>0</v>
      </c>
      <c r="D13" s="24">
        <f t="shared" si="0"/>
        <v>0</v>
      </c>
      <c r="E13" s="75">
        <f>Middle!E13</f>
        <v>0.2</v>
      </c>
      <c r="H13" s="24">
        <f t="shared" si="1"/>
        <v>0.2</v>
      </c>
      <c r="I13" s="22">
        <f t="shared" si="2"/>
        <v>0</v>
      </c>
      <c r="J13" s="24">
        <f t="shared" si="3"/>
        <v>0</v>
      </c>
      <c r="K13" s="22">
        <f t="shared" si="4"/>
        <v>0</v>
      </c>
      <c r="L13" s="22">
        <f t="shared" si="5"/>
        <v>0</v>
      </c>
      <c r="M13" s="225">
        <f t="shared" si="6"/>
        <v>0</v>
      </c>
      <c r="N13" s="229">
        <v>1</v>
      </c>
      <c r="O13" s="2"/>
      <c r="P13" s="22"/>
      <c r="Q13" s="59" t="s">
        <v>76</v>
      </c>
      <c r="R13" s="222">
        <f>IF($B$81=0,0,(SUMIF($N$6:$N$28,$U13,K$6:K$28)+SUMIF($N$91:$N$118,$U13,K$91:K$118))*$B$83*$H$84*Poor!$B$81/$B$81)</f>
        <v>0</v>
      </c>
      <c r="S13" s="222">
        <f>IF($B$81=0,0,(SUMIF($N$6:$N$28,$U13,L$6:L$28)+SUMIF($N$91:$N$118,$U13,L$91:L$118))*$I$83*Poor!$B$81/$B$81)</f>
        <v>0</v>
      </c>
      <c r="T13" s="222">
        <f>IF($B$81=0,0,(SUMIF($N$6:$N$28,$U13,M$6:M$28)+SUMIF($N$91:$N$118,$U13,M$91:M$118))*$I$83*Poor!$B$81/$B$81)</f>
        <v>0</v>
      </c>
      <c r="U13" s="223">
        <v>7</v>
      </c>
      <c r="V13" s="56"/>
      <c r="W13" s="110"/>
      <c r="X13" s="118"/>
      <c r="Y13" s="183">
        <f t="shared" si="9"/>
        <v>0</v>
      </c>
      <c r="Z13" s="156">
        <f>Poor!Z13</f>
        <v>1</v>
      </c>
      <c r="AA13" s="121">
        <f>$M13*Z13*4</f>
        <v>0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0</v>
      </c>
      <c r="AJ13" s="120">
        <f t="shared" si="14"/>
        <v>0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85" t="str">
        <f>IF(Poor!A14=0,"",Poor!A14)</f>
        <v>Groundnuts (dry): no. local meas</v>
      </c>
      <c r="B14" s="101">
        <v>0</v>
      </c>
      <c r="C14" s="102">
        <v>0</v>
      </c>
      <c r="D14" s="24">
        <f t="shared" si="0"/>
        <v>0</v>
      </c>
      <c r="E14" s="75">
        <f>Middle!E14</f>
        <v>0.2</v>
      </c>
      <c r="F14" s="22"/>
      <c r="H14" s="24">
        <f t="shared" si="1"/>
        <v>0.2</v>
      </c>
      <c r="I14" s="22">
        <f t="shared" si="2"/>
        <v>0</v>
      </c>
      <c r="J14" s="24">
        <f>IF(I$32&lt;=1+I131,I14,B14*H14+J$33*(I14-B14*H14))</f>
        <v>0</v>
      </c>
      <c r="K14" s="22">
        <f t="shared" si="4"/>
        <v>0</v>
      </c>
      <c r="L14" s="22">
        <f t="shared" si="5"/>
        <v>0</v>
      </c>
      <c r="M14" s="225">
        <f t="shared" si="6"/>
        <v>0</v>
      </c>
      <c r="N14" s="229">
        <v>1</v>
      </c>
      <c r="O14" s="2"/>
      <c r="P14" s="22"/>
      <c r="Q14" s="126" t="s">
        <v>77</v>
      </c>
      <c r="R14" s="222">
        <f>IF($B$81=0,0,(SUMIF($N$6:$N$28,$U14,K$6:K$28)+SUMIF($N$91:$N$118,$U14,K$91:K$118))*$B$83*$H$84*Poor!$B$81/$B$81)</f>
        <v>154408.65828783836</v>
      </c>
      <c r="S14" s="222">
        <f>IF($B$81=0,0,(SUMIF($N$6:$N$28,$U14,L$6:L$28)+SUMIF($N$91:$N$118,$U14,L$91:L$118))*$I$83*Poor!$B$81/$B$81)</f>
        <v>59229.257142857132</v>
      </c>
      <c r="T14" s="222">
        <f>IF($B$81=0,0,(SUMIF($N$6:$N$28,$U14,M$6:M$28)+SUMIF($N$91:$N$118,$U14,M$91:M$118))*$I$83*Poor!$B$81/$B$81)</f>
        <v>59229.257142857132</v>
      </c>
      <c r="U14" s="223">
        <v>8</v>
      </c>
      <c r="V14" s="56"/>
      <c r="W14" s="110"/>
      <c r="X14" s="118"/>
      <c r="Y14" s="183">
        <f>M14*4</f>
        <v>0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0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0</v>
      </c>
      <c r="AJ14" s="120">
        <f t="shared" si="14"/>
        <v>0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85" t="str">
        <f>IF(Poor!A15=0,"",Poor!A15)</f>
        <v>Cow peas</v>
      </c>
      <c r="B15" s="101">
        <v>0</v>
      </c>
      <c r="C15" s="102">
        <v>0</v>
      </c>
      <c r="D15" s="24">
        <f t="shared" si="0"/>
        <v>0</v>
      </c>
      <c r="E15" s="75">
        <f>Middle!E15</f>
        <v>0.2</v>
      </c>
      <c r="F15" s="22"/>
      <c r="H15" s="24">
        <f t="shared" si="1"/>
        <v>0.2</v>
      </c>
      <c r="I15" s="22">
        <f t="shared" si="2"/>
        <v>0</v>
      </c>
      <c r="J15" s="24">
        <f>IF(I$32&lt;=1+I131,I15,B15*H15+J$33*(I15-B15*H15))</f>
        <v>0</v>
      </c>
      <c r="K15" s="22">
        <f t="shared" si="4"/>
        <v>0</v>
      </c>
      <c r="L15" s="22">
        <f t="shared" si="5"/>
        <v>0</v>
      </c>
      <c r="M15" s="226">
        <f t="shared" si="6"/>
        <v>0</v>
      </c>
      <c r="N15" s="229">
        <v>1</v>
      </c>
      <c r="O15" s="2"/>
      <c r="P15" s="22"/>
      <c r="Q15" s="59" t="s">
        <v>126</v>
      </c>
      <c r="R15" s="222">
        <f>IF($B$81=0,0,(SUMIF($N$6:$N$28,$U15,K$6:K$28)+SUMIF($N$91:$N$118,$U15,K$91:K$118))*$B$83*$H$84*Poor!$B$81/$B$81)</f>
        <v>0</v>
      </c>
      <c r="S15" s="222">
        <f>IF($B$81=0,0,(SUMIF($N$6:$N$28,$U15,L$6:L$28)+SUMIF($N$91:$N$118,$U15,L$91:L$118))*$I$83*Poor!$B$81/$B$81)</f>
        <v>0</v>
      </c>
      <c r="T15" s="222">
        <f>IF($B$81=0,0,(SUMIF($N$6:$N$28,$U15,M$6:M$28)+SUMIF($N$91:$N$118,$U15,M$91:M$118))*$I$83*Poor!$B$81/$B$81)</f>
        <v>0</v>
      </c>
      <c r="U15" s="223">
        <v>9</v>
      </c>
      <c r="V15" s="56"/>
      <c r="W15" s="110"/>
      <c r="X15" s="118"/>
      <c r="Y15" s="183">
        <f t="shared" si="9"/>
        <v>0</v>
      </c>
      <c r="Z15" s="156">
        <f>Poor!Z15</f>
        <v>0.25</v>
      </c>
      <c r="AA15" s="121">
        <f t="shared" si="16"/>
        <v>0</v>
      </c>
      <c r="AB15" s="156">
        <f>Poor!AB15</f>
        <v>0.25</v>
      </c>
      <c r="AC15" s="121">
        <f t="shared" si="7"/>
        <v>0</v>
      </c>
      <c r="AD15" s="156">
        <f>Poor!AD15</f>
        <v>0.25</v>
      </c>
      <c r="AE15" s="121">
        <f t="shared" si="8"/>
        <v>0</v>
      </c>
      <c r="AF15" s="122">
        <f t="shared" si="10"/>
        <v>0.25</v>
      </c>
      <c r="AG15" s="121">
        <f t="shared" si="11"/>
        <v>0</v>
      </c>
      <c r="AH15" s="123">
        <f t="shared" si="12"/>
        <v>1</v>
      </c>
      <c r="AI15" s="183">
        <f t="shared" si="13"/>
        <v>0</v>
      </c>
      <c r="AJ15" s="120">
        <f t="shared" si="14"/>
        <v>0</v>
      </c>
      <c r="AK15" s="119">
        <f t="shared" si="15"/>
        <v>0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85" t="str">
        <f>IF(Poor!A16=0,"",Poor!A16)</f>
        <v>Other crop: Spinach</v>
      </c>
      <c r="B16" s="101">
        <v>1.0042341220423412E-3</v>
      </c>
      <c r="C16" s="102">
        <v>0</v>
      </c>
      <c r="D16" s="24">
        <f t="shared" si="0"/>
        <v>1.0042341220423412E-3</v>
      </c>
      <c r="E16" s="75">
        <f>Middle!E16</f>
        <v>0.2</v>
      </c>
      <c r="F16" s="22"/>
      <c r="H16" s="24">
        <f t="shared" si="1"/>
        <v>0.2</v>
      </c>
      <c r="I16" s="22">
        <f t="shared" si="2"/>
        <v>2.0084682440846824E-4</v>
      </c>
      <c r="J16" s="24">
        <f>IF(I$32&lt;=1+I131,I16,B16*H16+J$33*(I16-B16*H16))</f>
        <v>2.0084682440846824E-4</v>
      </c>
      <c r="K16" s="22">
        <f t="shared" si="4"/>
        <v>1.0042341220423412E-3</v>
      </c>
      <c r="L16" s="22">
        <f t="shared" si="5"/>
        <v>2.0084682440846824E-4</v>
      </c>
      <c r="M16" s="224">
        <f t="shared" si="6"/>
        <v>2.0084682440846824E-4</v>
      </c>
      <c r="N16" s="229">
        <v>1</v>
      </c>
      <c r="O16" s="2"/>
      <c r="P16" s="22"/>
      <c r="Q16" s="126" t="s">
        <v>78</v>
      </c>
      <c r="R16" s="222">
        <f>IF($B$81=0,0,(SUMIF($N$6:$N$28,$U16,K$6:K$28)+SUMIF($N$91:$N$118,$U16,K$91:K$118))*$B$83*$H$84*Poor!$B$81/$B$81)</f>
        <v>0</v>
      </c>
      <c r="S16" s="222">
        <f>IF($B$81=0,0,(SUMIF($N$6:$N$28,$U16,L$6:L$28)+SUMIF($N$91:$N$118,$U16,L$91:L$118))*$I$83*Poor!$B$81/$B$81)</f>
        <v>0</v>
      </c>
      <c r="T16" s="222">
        <f>IF($B$81=0,0,(SUMIF($N$6:$N$28,$U16,M$6:M$28)+SUMIF($N$91:$N$118,$U16,M$91:M$118))*$I$83*Poor!$B$81/$B$81)</f>
        <v>0</v>
      </c>
      <c r="U16" s="223">
        <v>10</v>
      </c>
      <c r="V16" s="56"/>
      <c r="W16" s="110"/>
      <c r="X16" s="118"/>
      <c r="Y16" s="183">
        <f t="shared" si="9"/>
        <v>8.0338729763387298E-4</v>
      </c>
      <c r="Z16" s="156">
        <f>Poor!Z16</f>
        <v>0</v>
      </c>
      <c r="AA16" s="121">
        <f t="shared" si="16"/>
        <v>0</v>
      </c>
      <c r="AB16" s="156">
        <f>Poor!AB16</f>
        <v>0</v>
      </c>
      <c r="AC16" s="121">
        <f t="shared" si="7"/>
        <v>0</v>
      </c>
      <c r="AD16" s="156">
        <f>Poor!AD16</f>
        <v>0</v>
      </c>
      <c r="AE16" s="121">
        <f t="shared" si="8"/>
        <v>0</v>
      </c>
      <c r="AF16" s="122">
        <f t="shared" si="10"/>
        <v>1</v>
      </c>
      <c r="AG16" s="121">
        <f t="shared" si="11"/>
        <v>8.0338729763387298E-4</v>
      </c>
      <c r="AH16" s="123">
        <f t="shared" si="12"/>
        <v>1</v>
      </c>
      <c r="AI16" s="183">
        <f t="shared" si="13"/>
        <v>2.0084682440846824E-4</v>
      </c>
      <c r="AJ16" s="120">
        <f t="shared" si="14"/>
        <v>0</v>
      </c>
      <c r="AK16" s="119">
        <f t="shared" si="15"/>
        <v>4.0169364881693649E-4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85" t="str">
        <f>IF(Poor!A17=0,"",Poor!A17)</f>
        <v>Other crop: pumpkin</v>
      </c>
      <c r="B17" s="101">
        <v>0</v>
      </c>
      <c r="C17" s="102">
        <v>0</v>
      </c>
      <c r="D17" s="24">
        <f t="shared" si="0"/>
        <v>0</v>
      </c>
      <c r="E17" s="75">
        <f>Middle!E17</f>
        <v>0.2</v>
      </c>
      <c r="F17" s="22"/>
      <c r="H17" s="24">
        <f t="shared" si="1"/>
        <v>0.2</v>
      </c>
      <c r="I17" s="22">
        <f t="shared" si="2"/>
        <v>0</v>
      </c>
      <c r="J17" s="24">
        <f t="shared" ref="J17:J25" si="17">IF(I$32&lt;=1+I131,I17,B17*H17+J$33*(I17-B17*H17))</f>
        <v>0</v>
      </c>
      <c r="K17" s="22">
        <f t="shared" si="4"/>
        <v>0</v>
      </c>
      <c r="L17" s="22">
        <f t="shared" si="5"/>
        <v>0</v>
      </c>
      <c r="M17" s="225">
        <f t="shared" si="6"/>
        <v>0</v>
      </c>
      <c r="N17" s="229">
        <v>1</v>
      </c>
      <c r="O17" s="2"/>
      <c r="P17" s="22"/>
      <c r="Q17" s="126" t="s">
        <v>125</v>
      </c>
      <c r="R17" s="222">
        <f>IF($B$81=0,0,(SUMIF($N$6:$N$28,$U17,K$6:K$28)+SUMIF($N$91:$N$118,$U17,K$91:K$118))*$B$83*$H$84*Poor!$B$81/$B$81)</f>
        <v>60961.888313094656</v>
      </c>
      <c r="S17" s="222">
        <f>IF($B$81=0,0,(SUMIF($N$6:$N$28,$U17,L$6:L$28)+SUMIF($N$91:$N$118,$U17,L$91:L$118))*$I$83*Poor!$B$81/$B$81)</f>
        <v>46768.457142857136</v>
      </c>
      <c r="T17" s="222">
        <f>IF($B$81=0,0,(SUMIF($N$6:$N$28,$U17,M$6:M$28)+SUMIF($N$91:$N$118,$U17,M$91:M$118))*$I$83*Poor!$B$81/$B$81)</f>
        <v>46768.457142857136</v>
      </c>
      <c r="U17" s="223">
        <v>11</v>
      </c>
      <c r="V17" s="56"/>
      <c r="W17" s="110"/>
      <c r="X17" s="118"/>
      <c r="Y17" s="183">
        <f t="shared" si="9"/>
        <v>0</v>
      </c>
      <c r="Z17" s="156">
        <f>Poor!Z17</f>
        <v>0.29409999999999997</v>
      </c>
      <c r="AA17" s="121">
        <f t="shared" si="16"/>
        <v>0</v>
      </c>
      <c r="AB17" s="156">
        <f>Poor!AB17</f>
        <v>0.17649999999999999</v>
      </c>
      <c r="AC17" s="121">
        <f t="shared" si="7"/>
        <v>0</v>
      </c>
      <c r="AD17" s="156">
        <f>Poor!AD17</f>
        <v>0.23530000000000001</v>
      </c>
      <c r="AE17" s="121">
        <f t="shared" si="8"/>
        <v>0</v>
      </c>
      <c r="AF17" s="122">
        <f t="shared" si="10"/>
        <v>0.29410000000000003</v>
      </c>
      <c r="AG17" s="121">
        <f t="shared" si="11"/>
        <v>0</v>
      </c>
      <c r="AH17" s="123">
        <f t="shared" si="12"/>
        <v>1</v>
      </c>
      <c r="AI17" s="183">
        <f t="shared" si="13"/>
        <v>0</v>
      </c>
      <c r="AJ17" s="120">
        <f t="shared" si="14"/>
        <v>0</v>
      </c>
      <c r="AK17" s="119">
        <f t="shared" si="15"/>
        <v>0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85" t="str">
        <f>IF(Poor!A18=0,"",Poor!A18)</f>
        <v>Sweet Potatoes: kg produced</v>
      </c>
      <c r="B18" s="101">
        <v>0</v>
      </c>
      <c r="C18" s="102">
        <v>0</v>
      </c>
      <c r="D18" s="24">
        <f t="shared" ref="D18:D25" si="18">(B18+C18)</f>
        <v>0</v>
      </c>
      <c r="E18" s="75">
        <f>Middle!E18</f>
        <v>0.2</v>
      </c>
      <c r="F18" s="22"/>
      <c r="H18" s="24">
        <f t="shared" ref="H18:H25" si="19">(E18*F$7/F$9)</f>
        <v>0.2</v>
      </c>
      <c r="I18" s="22">
        <f t="shared" ref="I18:I25" si="20">(D18*H18)</f>
        <v>0</v>
      </c>
      <c r="J18" s="24">
        <f t="shared" si="17"/>
        <v>0</v>
      </c>
      <c r="K18" s="22">
        <f t="shared" ref="K18:K25" si="21">B18</f>
        <v>0</v>
      </c>
      <c r="L18" s="22">
        <f t="shared" ref="L18:L25" si="22">IF(K18="","",K18*H18)</f>
        <v>0</v>
      </c>
      <c r="M18" s="225">
        <f t="shared" ref="M18:M25" si="23">J18</f>
        <v>0</v>
      </c>
      <c r="N18" s="229">
        <v>1</v>
      </c>
      <c r="O18" s="2"/>
      <c r="P18" s="22"/>
      <c r="Q18" s="59" t="s">
        <v>79</v>
      </c>
      <c r="R18" s="222">
        <f>IF($B$81=0,0,(SUMIF($N$6:$N$28,$U18,K$6:K$28)+SUMIF($N$91:$N$118,$U18,K$91:K$118))*$B$83*$H$84*Poor!$B$81/$B$81)</f>
        <v>403.95618288041288</v>
      </c>
      <c r="S18" s="222">
        <f>IF($B$81=0,0,(SUMIF($N$6:$N$28,$U18,L$6:L$28)+SUMIF($N$91:$N$118,$U18,L$91:L$118))*$I$83*Poor!$B$81/$B$81)</f>
        <v>328.28942826758424</v>
      </c>
      <c r="T18" s="222">
        <f>IF($B$81=0,0,(SUMIF($N$6:$N$28,$U18,M$6:M$28)+SUMIF($N$91:$N$118,$U18,M$91:M$118))*$I$83*Poor!$B$81/$B$81)</f>
        <v>328.28942826758424</v>
      </c>
      <c r="U18" s="223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85" t="str">
        <f>IF(Poor!A19=0,"",Poor!A19)</f>
        <v>Amadumbe: kg produced</v>
      </c>
      <c r="B19" s="101">
        <v>1.1013698630136985E-3</v>
      </c>
      <c r="C19" s="102">
        <v>4.9561643835616441E-3</v>
      </c>
      <c r="D19" s="24">
        <f t="shared" si="18"/>
        <v>6.0575342465753424E-3</v>
      </c>
      <c r="E19" s="75">
        <f>Middle!E19</f>
        <v>0.2</v>
      </c>
      <c r="F19" s="22"/>
      <c r="H19" s="24">
        <f t="shared" si="19"/>
        <v>0.2</v>
      </c>
      <c r="I19" s="22">
        <f t="shared" si="20"/>
        <v>1.2115068493150686E-3</v>
      </c>
      <c r="J19" s="24">
        <f t="shared" si="17"/>
        <v>2.2473333301970851E-4</v>
      </c>
      <c r="K19" s="22">
        <f t="shared" si="21"/>
        <v>1.1013698630136985E-3</v>
      </c>
      <c r="L19" s="22">
        <f t="shared" si="22"/>
        <v>2.2027397260273972E-4</v>
      </c>
      <c r="M19" s="225">
        <f t="shared" si="23"/>
        <v>2.2473333301970851E-4</v>
      </c>
      <c r="N19" s="229">
        <v>1</v>
      </c>
      <c r="O19" s="2"/>
      <c r="P19" s="22"/>
      <c r="Q19" s="59" t="s">
        <v>80</v>
      </c>
      <c r="R19" s="222">
        <f>IF($B$81=0,0,(SUMIF($N$6:$N$28,$U19,K$6:K$28)+SUMIF($N$91:$N$118,$U19,K$91:K$118))*$B$83*$H$84*Poor!$B$81/$B$81)</f>
        <v>0</v>
      </c>
      <c r="S19" s="222">
        <f>IF($B$81=0,0,(SUMIF($N$6:$N$28,$U19,L$6:L$28)+SUMIF($N$91:$N$118,$U19,L$91:L$118))*$I$83*Poor!$B$81/$B$81)</f>
        <v>0</v>
      </c>
      <c r="T19" s="222">
        <f>IF($B$81=0,0,(SUMIF($N$6:$N$28,$U19,M$6:M$28)+SUMIF($N$91:$N$118,$U19,M$91:M$118))*$I$83*Poor!$B$81/$B$81)</f>
        <v>0</v>
      </c>
      <c r="U19" s="223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85" t="str">
        <f>IF(Poor!A20=0,"",Poor!A20)</f>
        <v>Green Pepper/ Brinjal / Beetroot: kg produced</v>
      </c>
      <c r="B20" s="101">
        <v>0</v>
      </c>
      <c r="C20" s="102">
        <v>0</v>
      </c>
      <c r="D20" s="24">
        <f t="shared" si="18"/>
        <v>0</v>
      </c>
      <c r="E20" s="75">
        <f>Middle!E20</f>
        <v>0.2</v>
      </c>
      <c r="F20" s="22"/>
      <c r="H20" s="24">
        <f t="shared" si="19"/>
        <v>0.2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5">
        <f t="shared" si="23"/>
        <v>0</v>
      </c>
      <c r="N20" s="229">
        <v>1</v>
      </c>
      <c r="O20" s="2"/>
      <c r="P20" s="22"/>
      <c r="Q20" s="59" t="s">
        <v>81</v>
      </c>
      <c r="R20" s="222">
        <f>IF($B$81=0,0,(SUMIF($N$6:$N$28,$U20,K$6:K$28)+SUMIF($N$91:$N$118,$U20,K$91:K$118))*$B$83*$H$84*Poor!$B$81/$B$81)</f>
        <v>11264.238186571814</v>
      </c>
      <c r="S20" s="222">
        <f>IF($B$81=0,0,(SUMIF($N$6:$N$28,$U20,L$6:L$28)+SUMIF($N$91:$N$118,$U20,L$91:L$118))*$I$83*Poor!$B$81/$B$81)</f>
        <v>10802.057142857142</v>
      </c>
      <c r="T20" s="222">
        <f>IF($B$81=0,0,(SUMIF($N$6:$N$28,$U20,M$6:M$28)+SUMIF($N$91:$N$118,$U20,M$91:M$118))*$I$83*Poor!$B$81/$B$81)</f>
        <v>10802.057142857142</v>
      </c>
      <c r="U20" s="223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85" t="str">
        <f>IF(Poor!A21=0,"",Poor!A21)</f>
        <v>FISHING -- see worksheet Data 3</v>
      </c>
      <c r="B21" s="101">
        <v>0</v>
      </c>
      <c r="C21" s="102">
        <v>0</v>
      </c>
      <c r="D21" s="24">
        <f t="shared" si="18"/>
        <v>0</v>
      </c>
      <c r="E21" s="75">
        <f>Middle!E21</f>
        <v>1</v>
      </c>
      <c r="F21" s="22"/>
      <c r="H21" s="24">
        <f t="shared" si="19"/>
        <v>1</v>
      </c>
      <c r="I21" s="22">
        <f t="shared" si="20"/>
        <v>0</v>
      </c>
      <c r="J21" s="24">
        <f t="shared" si="17"/>
        <v>0</v>
      </c>
      <c r="K21" s="22">
        <f t="shared" si="21"/>
        <v>0</v>
      </c>
      <c r="L21" s="22">
        <f t="shared" si="22"/>
        <v>0</v>
      </c>
      <c r="M21" s="225">
        <f t="shared" si="23"/>
        <v>0</v>
      </c>
      <c r="N21" s="229">
        <v>6</v>
      </c>
      <c r="O21" s="2"/>
      <c r="P21" s="22"/>
      <c r="Q21" s="59" t="s">
        <v>82</v>
      </c>
      <c r="R21" s="222">
        <f>IF($B$81=0,0,(SUMIF($N$6:$N$28,$U21,K$6:K$28)+SUMIF($N$91:$N$118,$U21,K$91:K$118))*$B$83*$H$84*Poor!$B$81/$B$81)</f>
        <v>22950.357953165047</v>
      </c>
      <c r="S21" s="222">
        <f>IF($B$81=0,0,(SUMIF($N$6:$N$28,$U21,L$6:L$28)+SUMIF($N$91:$N$118,$U21,L$91:L$118))*$I$83*Poor!$B$81/$B$81)</f>
        <v>20703.085714285717</v>
      </c>
      <c r="T21" s="222">
        <f>IF($B$81=0,0,(SUMIF($N$6:$N$28,$U21,M$6:M$28)+SUMIF($N$91:$N$118,$U21,M$91:M$118))*$I$83*Poor!$B$81/$B$81)</f>
        <v>20703.085714285717</v>
      </c>
      <c r="U21" s="223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85" t="str">
        <f>IF(Poor!A22=0,"",Poor!A22)</f>
        <v>WILD FOODS -- see worksheet Data 3</v>
      </c>
      <c r="B22" s="101">
        <v>0</v>
      </c>
      <c r="C22" s="102">
        <v>0</v>
      </c>
      <c r="D22" s="24">
        <f t="shared" si="18"/>
        <v>0</v>
      </c>
      <c r="E22" s="75">
        <f>Middle!E22</f>
        <v>1</v>
      </c>
      <c r="F22" s="22"/>
      <c r="H22" s="24">
        <f t="shared" si="19"/>
        <v>1</v>
      </c>
      <c r="I22" s="22">
        <f t="shared" si="20"/>
        <v>0</v>
      </c>
      <c r="J22" s="24">
        <f t="shared" si="17"/>
        <v>0</v>
      </c>
      <c r="K22" s="22">
        <f t="shared" si="21"/>
        <v>0</v>
      </c>
      <c r="L22" s="22">
        <f t="shared" si="22"/>
        <v>0</v>
      </c>
      <c r="M22" s="225">
        <f t="shared" si="23"/>
        <v>0</v>
      </c>
      <c r="N22" s="229">
        <v>6</v>
      </c>
      <c r="O22" s="2"/>
      <c r="P22" s="22"/>
      <c r="Q22" s="59" t="s">
        <v>83</v>
      </c>
      <c r="R22" s="222">
        <f>IF($B$81=0,0,(SUMIF($N$6:$N$28,$U22,K$6:K$28)+SUMIF($N$91:$N$118,$U22,K$91:K$118))*$B$83*$H$84*Poor!$B$81/$B$81)</f>
        <v>0</v>
      </c>
      <c r="S22" s="222">
        <f>IF($B$81=0,0,(SUMIF($N$6:$N$28,$U22,L$6:L$28)+SUMIF($N$91:$N$118,$U22,L$91:L$118))*$I$83*Poor!$B$81/$B$81)</f>
        <v>0</v>
      </c>
      <c r="T22" s="222">
        <f>IF($B$81=0,0,(SUMIF($N$6:$N$28,$U22,M$6:M$28)+SUMIF($N$91:$N$118,$U22,M$91:M$118))*$I$83*Poor!$B$81/$B$81)</f>
        <v>0</v>
      </c>
      <c r="U22" s="223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85" t="str">
        <f>IF(Poor!A23=0,"",Poor!A23)</f>
        <v/>
      </c>
      <c r="B23" s="101">
        <v>0</v>
      </c>
      <c r="C23" s="102">
        <v>0</v>
      </c>
      <c r="D23" s="24">
        <f t="shared" si="18"/>
        <v>0</v>
      </c>
      <c r="E23" s="75">
        <f>Middle!E23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5">
        <f t="shared" si="23"/>
        <v>0</v>
      </c>
      <c r="N23" s="229"/>
      <c r="O23" s="2"/>
      <c r="P23" s="22"/>
      <c r="Q23" s="171" t="s">
        <v>100</v>
      </c>
      <c r="R23" s="179">
        <f>SUM(R7:R22)</f>
        <v>307447.94455908786</v>
      </c>
      <c r="S23" s="179">
        <f>SUM(S7:S22)</f>
        <v>158884.87395426328</v>
      </c>
      <c r="T23" s="179">
        <f>SUM(T7:T22)</f>
        <v>158896.97788347333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85" t="str">
        <f>IF(Poor!A24=0,"",Poor!A24)</f>
        <v/>
      </c>
      <c r="B24" s="101">
        <v>0</v>
      </c>
      <c r="C24" s="102">
        <v>0</v>
      </c>
      <c r="D24" s="24">
        <f t="shared" si="18"/>
        <v>0</v>
      </c>
      <c r="E24" s="75">
        <f>Middle!E24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5">
        <f t="shared" si="23"/>
        <v>0</v>
      </c>
      <c r="N24" s="229"/>
      <c r="O24" s="2"/>
      <c r="P24" s="22"/>
      <c r="Q24" s="59" t="s">
        <v>137</v>
      </c>
      <c r="R24" s="41">
        <f>IF($B$81=0,0,(SUM(($B$70*$H$70))+((1-$D$29)*$I$83))*Poor!$B$81/$B$81)</f>
        <v>31035.227765379786</v>
      </c>
      <c r="S24" s="41">
        <f>IF($B$81=0,0,(SUM(($B$70*$H$70))+((1-$D$29)*$I$83))*Poor!$B$81/$B$81)</f>
        <v>31035.227765379786</v>
      </c>
      <c r="T24" s="41">
        <f>IF($B$81=0,0,(SUM(($B$70*$H$70))+((1-$D$29)*$I$83))*Poor!$B$81/$B$81)</f>
        <v>31035.227765379786</v>
      </c>
      <c r="U24" s="56"/>
      <c r="V24" s="56"/>
      <c r="W24" s="110"/>
      <c r="X24" s="118"/>
      <c r="Y24" s="183"/>
      <c r="Z24" s="156"/>
      <c r="AA24" s="121"/>
      <c r="AB24" s="156"/>
      <c r="AC24" s="121"/>
      <c r="AD24" s="156"/>
      <c r="AE24" s="121"/>
      <c r="AF24" s="122"/>
      <c r="AG24" s="121"/>
      <c r="AH24" s="123"/>
      <c r="AI24" s="183"/>
      <c r="AJ24" s="120"/>
      <c r="AK24" s="119"/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85" t="str">
        <f>IF(Poor!A25=0,"",Poor!A25)</f>
        <v/>
      </c>
      <c r="B25" s="101">
        <v>0</v>
      </c>
      <c r="C25" s="102">
        <v>0</v>
      </c>
      <c r="D25" s="24">
        <f t="shared" si="18"/>
        <v>0</v>
      </c>
      <c r="E25" s="75">
        <f>Middle!E25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5">
        <f t="shared" si="23"/>
        <v>0</v>
      </c>
      <c r="N25" s="229"/>
      <c r="O25" s="2"/>
      <c r="P25" s="22"/>
      <c r="Q25" s="142" t="s">
        <v>138</v>
      </c>
      <c r="R25" s="41">
        <f>IF($B$81=0,0,(SUM(($B$70*$H$70),($B$71*$H$71))+((1-$D$29)*$I$83))*Poor!$B$81/$B$81)</f>
        <v>47999.169987601977</v>
      </c>
      <c r="S25" s="41">
        <f>IF($B$81=0,0,(SUM(($B$70*$H$70),($B$71*$H$71))+((1-$D$29)*$I$83))*Poor!$B$81/$B$81)</f>
        <v>47999.169987601977</v>
      </c>
      <c r="T25" s="41">
        <f>IF($B$81=0,0,(SUM(($B$70*$H$70),($B$71*$H$71))+((1-$D$29)*$I$83))*Poor!$B$81/$B$81)</f>
        <v>47999.169987601977</v>
      </c>
      <c r="U25" s="56"/>
      <c r="V25" s="56"/>
      <c r="W25" s="110"/>
      <c r="X25" s="118"/>
      <c r="Y25" s="183"/>
      <c r="Z25" s="156"/>
      <c r="AA25" s="121"/>
      <c r="AB25" s="156"/>
      <c r="AC25" s="121"/>
      <c r="AD25" s="156"/>
      <c r="AE25" s="121"/>
      <c r="AF25" s="122"/>
      <c r="AG25" s="121"/>
      <c r="AH25" s="123"/>
      <c r="AI25" s="183"/>
      <c r="AJ25" s="120"/>
      <c r="AK25" s="119"/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85" t="str">
        <f>IF(Poor!A26=0,"",Poor!A26)</f>
        <v>Food aid</v>
      </c>
      <c r="B26" s="101">
        <v>2.3809523809523808E-2</v>
      </c>
      <c r="C26" s="102">
        <v>0</v>
      </c>
      <c r="D26" s="24">
        <f t="shared" si="0"/>
        <v>2.3809523809523808E-2</v>
      </c>
      <c r="E26" s="75">
        <f>Middle!E26</f>
        <v>1</v>
      </c>
      <c r="F26" s="22"/>
      <c r="H26" s="24">
        <f t="shared" si="1"/>
        <v>1</v>
      </c>
      <c r="I26" s="22">
        <f t="shared" si="2"/>
        <v>2.3809523809523808E-2</v>
      </c>
      <c r="J26" s="24">
        <f>IF(I$32&lt;=1+I131,I26,B26*H26+J$33*(I26-B26*H26))</f>
        <v>2.3809523809523808E-2</v>
      </c>
      <c r="K26" s="22">
        <f t="shared" si="4"/>
        <v>2.3809523809523808E-2</v>
      </c>
      <c r="L26" s="22">
        <f t="shared" si="5"/>
        <v>2.3809523809523808E-2</v>
      </c>
      <c r="M26" s="224">
        <f t="shared" si="6"/>
        <v>2.3809523809523808E-2</v>
      </c>
      <c r="N26" s="229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79373.009987601981</v>
      </c>
      <c r="S26" s="41">
        <f>IF($B$81=0,0,(SUM(($B$70*$H$70),($B$71*$H$71),($B$72*$H$72))+((1-$D$29)*$I$83))*Poor!$B$81/$B$81)</f>
        <v>79373.009987601981</v>
      </c>
      <c r="T26" s="41">
        <f>IF($B$81=0,0,(SUM(($B$70*$H$70),($B$71*$H$71),($B$72*$H$72))+((1-$D$29)*$I$83))*Poor!$B$81/$B$81)</f>
        <v>79373.009987601981</v>
      </c>
      <c r="U26" s="56"/>
      <c r="V26" s="56"/>
      <c r="W26" s="110"/>
      <c r="X26" s="118"/>
      <c r="Y26" s="183">
        <f t="shared" si="9"/>
        <v>9.5238095238095233E-2</v>
      </c>
      <c r="Z26" s="156">
        <f>Poor!Z26</f>
        <v>0.25</v>
      </c>
      <c r="AA26" s="121">
        <f t="shared" si="16"/>
        <v>2.3809523809523808E-2</v>
      </c>
      <c r="AB26" s="156">
        <f>Poor!AB26</f>
        <v>0.25</v>
      </c>
      <c r="AC26" s="121">
        <f t="shared" si="7"/>
        <v>2.3809523809523808E-2</v>
      </c>
      <c r="AD26" s="156">
        <f>Poor!AD26</f>
        <v>0.25</v>
      </c>
      <c r="AE26" s="121">
        <f t="shared" si="8"/>
        <v>2.3809523809523808E-2</v>
      </c>
      <c r="AF26" s="122">
        <f t="shared" si="10"/>
        <v>0.25</v>
      </c>
      <c r="AG26" s="121">
        <f t="shared" si="11"/>
        <v>2.3809523809523808E-2</v>
      </c>
      <c r="AH26" s="123">
        <f t="shared" si="12"/>
        <v>1</v>
      </c>
      <c r="AI26" s="183">
        <f t="shared" si="13"/>
        <v>2.3809523809523808E-2</v>
      </c>
      <c r="AJ26" s="120">
        <f t="shared" si="14"/>
        <v>2.3809523809523808E-2</v>
      </c>
      <c r="AK26" s="119">
        <f t="shared" si="15"/>
        <v>2.3809523809523808E-2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85" t="str">
        <f>IF(Poor!A27=0,"",Poor!A27)</f>
        <v>Purchase - other</v>
      </c>
      <c r="B27" s="101">
        <v>4.6172765566625154E-2</v>
      </c>
      <c r="C27" s="102">
        <v>-4.6172765566625154E-2</v>
      </c>
      <c r="D27" s="24">
        <f t="shared" si="0"/>
        <v>0</v>
      </c>
      <c r="E27" s="75">
        <f>Middle!E27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4.5965043438004172E-2</v>
      </c>
      <c r="K27" s="22">
        <f t="shared" si="4"/>
        <v>4.6172765566625154E-2</v>
      </c>
      <c r="L27" s="22">
        <f t="shared" si="5"/>
        <v>4.6172765566625154E-2</v>
      </c>
      <c r="M27" s="226">
        <f t="shared" si="6"/>
        <v>4.5965043438004172E-2</v>
      </c>
      <c r="N27" s="229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0.18386017375201669</v>
      </c>
      <c r="Z27" s="156">
        <f>Poor!Z27</f>
        <v>0.25</v>
      </c>
      <c r="AA27" s="121">
        <f t="shared" si="16"/>
        <v>4.5965043438004172E-2</v>
      </c>
      <c r="AB27" s="156">
        <f>Poor!AB27</f>
        <v>0.25</v>
      </c>
      <c r="AC27" s="121">
        <f t="shared" si="7"/>
        <v>4.5965043438004172E-2</v>
      </c>
      <c r="AD27" s="156">
        <f>Poor!AD27</f>
        <v>0.25</v>
      </c>
      <c r="AE27" s="121">
        <f t="shared" si="8"/>
        <v>4.5965043438004172E-2</v>
      </c>
      <c r="AF27" s="122">
        <f t="shared" si="10"/>
        <v>0.25</v>
      </c>
      <c r="AG27" s="121">
        <f t="shared" si="11"/>
        <v>4.5965043438004172E-2</v>
      </c>
      <c r="AH27" s="123">
        <f t="shared" si="12"/>
        <v>1</v>
      </c>
      <c r="AI27" s="183">
        <f t="shared" si="13"/>
        <v>4.5965043438004172E-2</v>
      </c>
      <c r="AJ27" s="120">
        <f t="shared" si="14"/>
        <v>4.5965043438004172E-2</v>
      </c>
      <c r="AK27" s="119">
        <f t="shared" si="15"/>
        <v>4.5965043438004172E-2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85" t="str">
        <f>IF(Poor!A28=0,"",Poor!A28)</f>
        <v>Purchase - desirable</v>
      </c>
      <c r="B28" s="101">
        <v>0</v>
      </c>
      <c r="C28" s="102">
        <v>0</v>
      </c>
      <c r="D28" s="24">
        <f t="shared" si="0"/>
        <v>0</v>
      </c>
      <c r="E28" s="75">
        <f>Middle!E28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</v>
      </c>
      <c r="K28" s="22">
        <f t="shared" si="4"/>
        <v>0</v>
      </c>
      <c r="L28" s="22">
        <f t="shared" si="5"/>
        <v>0</v>
      </c>
      <c r="M28" s="224">
        <f t="shared" si="6"/>
        <v>0</v>
      </c>
      <c r="N28" s="229"/>
      <c r="O28" s="2"/>
      <c r="P28" s="22"/>
      <c r="V28" s="56"/>
      <c r="W28" s="110"/>
      <c r="X28" s="118"/>
      <c r="Y28" s="183">
        <f t="shared" si="9"/>
        <v>0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0</v>
      </c>
      <c r="AF28" s="122">
        <f t="shared" si="10"/>
        <v>0.5</v>
      </c>
      <c r="AG28" s="121">
        <f t="shared" si="11"/>
        <v>0</v>
      </c>
      <c r="AH28" s="123">
        <f t="shared" si="12"/>
        <v>1</v>
      </c>
      <c r="AI28" s="183">
        <f t="shared" si="13"/>
        <v>0</v>
      </c>
      <c r="AJ28" s="120">
        <f t="shared" si="14"/>
        <v>0</v>
      </c>
      <c r="AK28" s="119">
        <f t="shared" si="15"/>
        <v>0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85" t="str">
        <f>IF(Poor!A29=0,"",Poor!A29)</f>
        <v>Purchase - fpl non staple</v>
      </c>
      <c r="B29" s="101">
        <v>0.43836761883810704</v>
      </c>
      <c r="C29" s="102">
        <v>-0.21356445718233175</v>
      </c>
      <c r="D29" s="24">
        <f t="shared" si="0"/>
        <v>0.2248031616557753</v>
      </c>
      <c r="E29" s="75">
        <f>Middle!E29</f>
        <v>1</v>
      </c>
      <c r="F29" s="22"/>
      <c r="H29" s="24">
        <f t="shared" si="1"/>
        <v>1</v>
      </c>
      <c r="I29" s="22">
        <f t="shared" si="2"/>
        <v>0.2248031616557753</v>
      </c>
      <c r="J29" s="24">
        <f>IF(I$32&lt;=1+I131,I29,B29*H29+J$33*(I29-B29*H29))</f>
        <v>0.43740683463773927</v>
      </c>
      <c r="K29" s="22">
        <f t="shared" si="4"/>
        <v>0.43836761883810704</v>
      </c>
      <c r="L29" s="22">
        <f t="shared" si="5"/>
        <v>0.43836761883810704</v>
      </c>
      <c r="M29" s="175">
        <f t="shared" si="6"/>
        <v>0.43740683463773927</v>
      </c>
      <c r="N29" s="229"/>
      <c r="P29" s="22"/>
      <c r="V29" s="56"/>
      <c r="W29" s="110"/>
      <c r="X29" s="118"/>
      <c r="Y29" s="183">
        <f t="shared" si="9"/>
        <v>1.7496273385509571</v>
      </c>
      <c r="Z29" s="156">
        <f>Poor!Z29</f>
        <v>0.25</v>
      </c>
      <c r="AA29" s="121">
        <f t="shared" si="16"/>
        <v>0.43740683463773927</v>
      </c>
      <c r="AB29" s="156">
        <f>Poor!AB29</f>
        <v>0.25</v>
      </c>
      <c r="AC29" s="121">
        <f t="shared" si="7"/>
        <v>0.43740683463773927</v>
      </c>
      <c r="AD29" s="156">
        <f>Poor!AD29</f>
        <v>0.25</v>
      </c>
      <c r="AE29" s="121">
        <f t="shared" si="8"/>
        <v>0.43740683463773927</v>
      </c>
      <c r="AF29" s="122">
        <f t="shared" si="10"/>
        <v>0.25</v>
      </c>
      <c r="AG29" s="121">
        <f t="shared" si="11"/>
        <v>0.43740683463773927</v>
      </c>
      <c r="AH29" s="123">
        <f t="shared" si="12"/>
        <v>1</v>
      </c>
      <c r="AI29" s="183">
        <f t="shared" si="13"/>
        <v>0.43740683463773927</v>
      </c>
      <c r="AJ29" s="120">
        <f t="shared" si="14"/>
        <v>0.43740683463773927</v>
      </c>
      <c r="AK29" s="119">
        <f t="shared" si="15"/>
        <v>0.43740683463773927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101">
        <v>0.68160895442092151</v>
      </c>
      <c r="C30" s="65"/>
      <c r="D30" s="24">
        <f>(D119-B124)</f>
        <v>16.844130957834007</v>
      </c>
      <c r="E30" s="75">
        <f>Middle!E30</f>
        <v>1</v>
      </c>
      <c r="H30" s="96">
        <f>(E30*F$7/F$9)</f>
        <v>1</v>
      </c>
      <c r="I30" s="29">
        <f>IF(E30&gt;=1,I119-I124,MIN(I119-I124,B30*H30))</f>
        <v>10.027222442978347</v>
      </c>
      <c r="J30" s="231">
        <f>IF(I$32&lt;=1,I30,1-SUM(J6:J29))</f>
        <v>0.44045074053460054</v>
      </c>
      <c r="K30" s="22">
        <f t="shared" si="4"/>
        <v>0.68160895442092151</v>
      </c>
      <c r="L30" s="22">
        <f>IF(L124=L119,0,IF(K30="",0,(L119-L124)/(B119-B124)*K30))</f>
        <v>0.40442814487199541</v>
      </c>
      <c r="M30" s="175">
        <f t="shared" si="6"/>
        <v>0.44045074053460054</v>
      </c>
      <c r="N30" s="166" t="s">
        <v>86</v>
      </c>
      <c r="O30" s="2"/>
      <c r="P30" s="22"/>
      <c r="Q30" s="234" t="s">
        <v>141</v>
      </c>
      <c r="R30" s="234">
        <f t="shared" ref="R30:T32" si="24">IF(R24&gt;R$23,R24-R$23,0)</f>
        <v>0</v>
      </c>
      <c r="S30" s="234">
        <f t="shared" si="24"/>
        <v>0</v>
      </c>
      <c r="T30" s="234">
        <f t="shared" si="24"/>
        <v>0</v>
      </c>
      <c r="V30" s="56"/>
      <c r="W30" s="110"/>
      <c r="X30" s="118"/>
      <c r="Y30" s="183">
        <f>M30*4</f>
        <v>1.7618029621384022</v>
      </c>
      <c r="Z30" s="122">
        <f>IF($Y30=0,0,AA30/($Y$30))</f>
        <v>0.21785598605409948</v>
      </c>
      <c r="AA30" s="187">
        <f>IF(AA79*4/$I$83+SUM(AA6:AA29)&lt;1,AA79*4/$I$83,1-SUM(AA6:AA29))</f>
        <v>0.38381932154969489</v>
      </c>
      <c r="AB30" s="122">
        <f>IF($Y30=0,0,AC30/($Y$30))</f>
        <v>0.27646335231642277</v>
      </c>
      <c r="AC30" s="187">
        <f>IF(AC79*4/$I$83+SUM(AC6:AC29)&lt;1,AC79*4/$I$83,1-SUM(AC6:AC29))</f>
        <v>0.48707395303378631</v>
      </c>
      <c r="AD30" s="122">
        <f>IF($Y30=0,0,AE30/($Y$30))</f>
        <v>0.27296007933699867</v>
      </c>
      <c r="AE30" s="187">
        <f>IF(AE79*4/$I$83+SUM(AE6:AE29)&lt;1,AE79*4/$I$83,1-SUM(AE6:AE29))</f>
        <v>0.48090187632145753</v>
      </c>
      <c r="AF30" s="122">
        <f>IF($Y30=0,0,AG30/($Y$30))</f>
        <v>0.23323081717764904</v>
      </c>
      <c r="AG30" s="187">
        <f>IF(AG79*4/$I$83+SUM(AG6:AG29)&lt;1,AG79*4/$I$83,1-SUM(AG6:AG29))</f>
        <v>0.41090674456554221</v>
      </c>
      <c r="AH30" s="123">
        <f t="shared" si="12"/>
        <v>1.0005102348851698</v>
      </c>
      <c r="AI30" s="183">
        <f t="shared" si="13"/>
        <v>0.44067547386762029</v>
      </c>
      <c r="AJ30" s="120">
        <f t="shared" si="14"/>
        <v>0.4354466372917406</v>
      </c>
      <c r="AK30" s="119">
        <f t="shared" si="15"/>
        <v>0.44590431044349987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2" t="str">
        <f>IF(1-$B$32&gt;0,1-$B$32,"")</f>
        <v/>
      </c>
      <c r="C31" s="29"/>
      <c r="D31" s="24"/>
      <c r="E31" s="22"/>
      <c r="F31" s="22"/>
      <c r="H31" s="24"/>
      <c r="I31" s="22"/>
      <c r="J31" s="232">
        <f>(1-SUM(J6:J30))</f>
        <v>0</v>
      </c>
      <c r="K31" s="22" t="str">
        <f t="shared" si="4"/>
        <v/>
      </c>
      <c r="L31" s="22">
        <f>(1-SUM(L6:L30))</f>
        <v>3.5483839360822E-2</v>
      </c>
      <c r="M31" s="178">
        <f t="shared" si="6"/>
        <v>0</v>
      </c>
      <c r="N31" s="167">
        <f>M31*I83</f>
        <v>0</v>
      </c>
      <c r="P31" s="22"/>
      <c r="Q31" s="238" t="s">
        <v>142</v>
      </c>
      <c r="R31" s="234">
        <f t="shared" si="24"/>
        <v>0</v>
      </c>
      <c r="S31" s="234">
        <f t="shared" si="24"/>
        <v>0</v>
      </c>
      <c r="T31" s="234">
        <f>IF(T25&gt;T$23,T25-T$23,0)</f>
        <v>0</v>
      </c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29">
        <f>SUM(B6:B30)</f>
        <v>1.4267655235318153</v>
      </c>
      <c r="C32" s="29">
        <f>SUM(C6:C31)</f>
        <v>0.21837491890733202</v>
      </c>
      <c r="D32" s="24">
        <f>SUM(D6:D30)</f>
        <v>17.807662445852234</v>
      </c>
      <c r="E32" s="2"/>
      <c r="F32" s="2"/>
      <c r="H32" s="17"/>
      <c r="I32" s="22">
        <f>SUM(I6:I30)</f>
        <v>10.467554953711392</v>
      </c>
      <c r="J32" s="17"/>
      <c r="L32" s="22">
        <f>SUM(L6:L30)</f>
        <v>0.964516160639178</v>
      </c>
      <c r="M32" s="23"/>
      <c r="N32" s="56"/>
      <c r="O32" s="2"/>
      <c r="P32" s="22"/>
      <c r="Q32" s="234" t="s">
        <v>143</v>
      </c>
      <c r="R32" s="234">
        <f t="shared" si="24"/>
        <v>0</v>
      </c>
      <c r="S32" s="234">
        <f t="shared" si="24"/>
        <v>0</v>
      </c>
      <c r="T32" s="234">
        <f t="shared" si="24"/>
        <v>0</v>
      </c>
      <c r="V32" s="56"/>
      <c r="W32" s="110"/>
      <c r="X32" s="118"/>
      <c r="Y32" s="115">
        <f>SUM(Y6:Y31)</f>
        <v>3.9991010666679214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4.498801968473215E-3</v>
      </c>
      <c r="K33" s="14"/>
      <c r="L33" s="11"/>
      <c r="M33" s="30"/>
      <c r="N33" s="168" t="s">
        <v>87</v>
      </c>
      <c r="O33" s="2"/>
      <c r="P33" s="2"/>
      <c r="Q33" s="238"/>
      <c r="R33" s="234"/>
      <c r="S33" s="234"/>
      <c r="T33" s="234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50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R35" s="41"/>
      <c r="S35" s="41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2"/>
      <c r="S36" s="242"/>
      <c r="T36" s="252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5" t="str">
        <f>IF(Poor!A37=0,"",Poor!A37)</f>
        <v>Cattle sales - local: no. sold</v>
      </c>
      <c r="B37" s="104">
        <v>16175</v>
      </c>
      <c r="C37" s="104">
        <v>1000</v>
      </c>
      <c r="D37" s="38">
        <f t="shared" ref="D37:D64" si="25">B37+C37</f>
        <v>17175</v>
      </c>
      <c r="E37" s="75">
        <f>Middle!E37</f>
        <v>0.5</v>
      </c>
      <c r="F37" s="75">
        <f>Middle!F37</f>
        <v>1.18</v>
      </c>
      <c r="G37" s="75">
        <f>Middle!G37</f>
        <v>1</v>
      </c>
      <c r="H37" s="24">
        <f t="shared" ref="H37:H52" si="26">(E37*F37)</f>
        <v>0.59</v>
      </c>
      <c r="I37" s="39">
        <f t="shared" ref="I37:I52" si="27">D37*H37</f>
        <v>10133.25</v>
      </c>
      <c r="J37" s="38">
        <f>J91*I$83</f>
        <v>9545.9042931613985</v>
      </c>
      <c r="K37" s="40">
        <f t="shared" ref="K37:K52" si="28">(B37/B$65)</f>
        <v>7.5064274510167908E-2</v>
      </c>
      <c r="L37" s="22">
        <f t="shared" ref="L37:L52" si="29">(K37*H37)</f>
        <v>4.4287921960999066E-2</v>
      </c>
      <c r="M37" s="24">
        <f t="shared" ref="M37:M52" si="30">J37/B$65</f>
        <v>4.4300239895496599E-2</v>
      </c>
      <c r="N37" s="2"/>
      <c r="O37" s="2"/>
      <c r="P37" s="2"/>
      <c r="Q37" s="59"/>
      <c r="R37" s="252"/>
      <c r="S37" s="252"/>
      <c r="T37" s="29"/>
      <c r="U37" s="56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5.3889087758331004E-2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514.42007418680328</v>
      </c>
      <c r="AD37" s="122">
        <f>IF($J37=0,0,AE37/($J37))</f>
        <v>1.154400421879841E-2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110.19795943250104</v>
      </c>
      <c r="AF37" s="122">
        <f t="shared" ref="AF37:AF64" si="31">1-SUM(Z37,AB37,AD37)</f>
        <v>0.93456690802287057</v>
      </c>
      <c r="AG37" s="147">
        <f>$J37*AF37</f>
        <v>8921.2862595420938</v>
      </c>
      <c r="AH37" s="123">
        <f>SUM(Z37,AB37,AD37,AF37)</f>
        <v>1</v>
      </c>
      <c r="AI37" s="112">
        <f>SUM(AA37,AC37,AE37,AG37)</f>
        <v>9545.9042931613985</v>
      </c>
      <c r="AJ37" s="148">
        <f>(AA37+AC37)</f>
        <v>514.42007418680328</v>
      </c>
      <c r="AK37" s="147">
        <f>(AE37+AG37)</f>
        <v>9031.4842189745941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5" t="str">
        <f>IF(Poor!A38=0,"",Poor!A38)</f>
        <v>Goat sales - local: no. sold</v>
      </c>
      <c r="B38" s="104">
        <v>4900</v>
      </c>
      <c r="C38" s="104">
        <v>1550</v>
      </c>
      <c r="D38" s="38">
        <f t="shared" si="25"/>
        <v>6450</v>
      </c>
      <c r="E38" s="75">
        <f>Middle!E38</f>
        <v>0.5</v>
      </c>
      <c r="F38" s="75">
        <f>Middle!F38</f>
        <v>1.18</v>
      </c>
      <c r="G38" s="22">
        <f t="shared" ref="G38:G64" si="32">(G$37)</f>
        <v>1</v>
      </c>
      <c r="H38" s="24">
        <f t="shared" si="26"/>
        <v>0.59</v>
      </c>
      <c r="I38" s="39">
        <f t="shared" si="27"/>
        <v>3805.5</v>
      </c>
      <c r="J38" s="38">
        <f t="shared" ref="J38:J64" si="33">J92*I$83</f>
        <v>2895.1141544001684</v>
      </c>
      <c r="K38" s="40">
        <f t="shared" si="28"/>
        <v>2.2739718398752565E-2</v>
      </c>
      <c r="L38" s="22">
        <f t="shared" si="29"/>
        <v>1.3416433855264013E-2</v>
      </c>
      <c r="M38" s="24">
        <f t="shared" si="30"/>
        <v>1.3435526653735201E-2</v>
      </c>
      <c r="N38" s="2"/>
      <c r="O38" s="2"/>
      <c r="P38" s="2"/>
      <c r="Q38" s="59"/>
      <c r="R38" s="252"/>
      <c r="S38" s="252"/>
      <c r="T38" s="29"/>
      <c r="U38" s="56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5.388908775833099E-2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156.0150607368569</v>
      </c>
      <c r="AD38" s="122">
        <f>IF($J38=0,0,AE38/($J38))</f>
        <v>1.1544004218798408E-2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33.421210012298531</v>
      </c>
      <c r="AF38" s="122">
        <f t="shared" si="31"/>
        <v>0.93456690802287057</v>
      </c>
      <c r="AG38" s="147">
        <f t="shared" ref="AG38:AG64" si="34">$J38*AF38</f>
        <v>2705.677883651013</v>
      </c>
      <c r="AH38" s="123">
        <f t="shared" ref="AH38:AI58" si="35">SUM(Z38,AB38,AD38,AF38)</f>
        <v>1</v>
      </c>
      <c r="AI38" s="112">
        <f t="shared" si="35"/>
        <v>2895.1141544001684</v>
      </c>
      <c r="AJ38" s="148">
        <f t="shared" ref="AJ38:AJ64" si="36">(AA38+AC38)</f>
        <v>156.0150607368569</v>
      </c>
      <c r="AK38" s="147">
        <f t="shared" ref="AK38:AK64" si="37">(AE38+AG38)</f>
        <v>2739.0990936633116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5" t="str">
        <f>IF(Poor!A39=0,"",Poor!A39)</f>
        <v>Sheep sales - local: no. sold</v>
      </c>
      <c r="B39" s="104">
        <v>1200</v>
      </c>
      <c r="C39" s="104">
        <v>0</v>
      </c>
      <c r="D39" s="38">
        <f t="shared" si="25"/>
        <v>1200</v>
      </c>
      <c r="E39" s="75">
        <f>Middle!E39</f>
        <v>0.5</v>
      </c>
      <c r="F39" s="75">
        <f>Middle!F39</f>
        <v>1.18</v>
      </c>
      <c r="G39" s="22">
        <f t="shared" si="32"/>
        <v>1</v>
      </c>
      <c r="H39" s="24">
        <f t="shared" si="26"/>
        <v>0.59</v>
      </c>
      <c r="I39" s="39">
        <f t="shared" si="27"/>
        <v>708</v>
      </c>
      <c r="J39" s="38">
        <f t="shared" si="33"/>
        <v>708</v>
      </c>
      <c r="K39" s="40">
        <f t="shared" si="28"/>
        <v>5.5689106282659339E-3</v>
      </c>
      <c r="L39" s="22">
        <f t="shared" si="29"/>
        <v>3.285657270676901E-3</v>
      </c>
      <c r="M39" s="24">
        <f t="shared" si="30"/>
        <v>3.285657270676901E-3</v>
      </c>
      <c r="N39" s="2"/>
      <c r="O39" s="2"/>
      <c r="P39" s="2"/>
      <c r="Q39" s="59"/>
      <c r="R39" s="252"/>
      <c r="S39" s="252"/>
      <c r="T39" s="29"/>
      <c r="U39" s="56"/>
      <c r="V39" s="56"/>
      <c r="W39" s="115"/>
      <c r="X39" s="118">
        <f>X8</f>
        <v>1</v>
      </c>
      <c r="Y39" s="110"/>
      <c r="Z39" s="122">
        <f>Z8</f>
        <v>1</v>
      </c>
      <c r="AA39" s="147">
        <f>$J39*Z39</f>
        <v>708</v>
      </c>
      <c r="AB39" s="122">
        <f>AB8</f>
        <v>0</v>
      </c>
      <c r="AC39" s="147">
        <f>$J39*AB39</f>
        <v>0</v>
      </c>
      <c r="AD39" s="122">
        <f>AD8</f>
        <v>0</v>
      </c>
      <c r="AE39" s="147">
        <f>$J39*AD39</f>
        <v>0</v>
      </c>
      <c r="AF39" s="122">
        <f t="shared" si="31"/>
        <v>0</v>
      </c>
      <c r="AG39" s="147">
        <f t="shared" si="34"/>
        <v>0</v>
      </c>
      <c r="AH39" s="123">
        <f t="shared" si="35"/>
        <v>1</v>
      </c>
      <c r="AI39" s="112">
        <f t="shared" si="35"/>
        <v>708</v>
      </c>
      <c r="AJ39" s="148">
        <f t="shared" si="36"/>
        <v>708</v>
      </c>
      <c r="AK39" s="147">
        <f t="shared" si="37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5" t="str">
        <f>IF(Poor!A40=0,"",Poor!A40)</f>
        <v>Chicken sales: no. sold</v>
      </c>
      <c r="B40" s="104">
        <v>0</v>
      </c>
      <c r="C40" s="104">
        <v>0</v>
      </c>
      <c r="D40" s="38">
        <f t="shared" si="25"/>
        <v>0</v>
      </c>
      <c r="E40" s="75">
        <f>Middle!E40</f>
        <v>1</v>
      </c>
      <c r="F40" s="75">
        <f>Middle!F40</f>
        <v>1.18</v>
      </c>
      <c r="G40" s="22">
        <f t="shared" si="32"/>
        <v>1</v>
      </c>
      <c r="H40" s="24">
        <f t="shared" si="26"/>
        <v>1.18</v>
      </c>
      <c r="I40" s="39">
        <f t="shared" si="27"/>
        <v>0</v>
      </c>
      <c r="J40" s="38">
        <f t="shared" si="33"/>
        <v>0</v>
      </c>
      <c r="K40" s="40">
        <f t="shared" si="28"/>
        <v>0</v>
      </c>
      <c r="L40" s="22">
        <f t="shared" si="29"/>
        <v>0</v>
      </c>
      <c r="M40" s="24">
        <f t="shared" si="30"/>
        <v>0</v>
      </c>
      <c r="N40" s="2"/>
      <c r="O40" s="2"/>
      <c r="P40" s="2"/>
      <c r="Q40" s="59"/>
      <c r="R40" s="252"/>
      <c r="S40" s="252"/>
      <c r="T40" s="29"/>
      <c r="U40" s="56"/>
      <c r="V40" s="56"/>
      <c r="W40" s="115"/>
      <c r="X40" s="118">
        <f>X9</f>
        <v>1</v>
      </c>
      <c r="Y40" s="110"/>
      <c r="Z40" s="122">
        <f>Z9</f>
        <v>1</v>
      </c>
      <c r="AA40" s="147">
        <f>$J40*Z40</f>
        <v>0</v>
      </c>
      <c r="AB40" s="122">
        <f>AB9</f>
        <v>0</v>
      </c>
      <c r="AC40" s="147">
        <f>$J40*AB40</f>
        <v>0</v>
      </c>
      <c r="AD40" s="122">
        <f>AD9</f>
        <v>0</v>
      </c>
      <c r="AE40" s="147">
        <f>$J40*AD40</f>
        <v>0</v>
      </c>
      <c r="AF40" s="122">
        <f t="shared" si="31"/>
        <v>0</v>
      </c>
      <c r="AG40" s="147">
        <f t="shared" si="34"/>
        <v>0</v>
      </c>
      <c r="AH40" s="123">
        <f t="shared" si="35"/>
        <v>1</v>
      </c>
      <c r="AI40" s="112">
        <f t="shared" si="35"/>
        <v>0</v>
      </c>
      <c r="AJ40" s="148">
        <f t="shared" si="36"/>
        <v>0</v>
      </c>
      <c r="AK40" s="147">
        <f t="shared" si="37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5" t="str">
        <f>IF(Poor!A41=0,"",Poor!A41)</f>
        <v>Maize: kg produced</v>
      </c>
      <c r="B41" s="104">
        <v>1800</v>
      </c>
      <c r="C41" s="104">
        <v>-1800</v>
      </c>
      <c r="D41" s="38">
        <f t="shared" si="25"/>
        <v>0</v>
      </c>
      <c r="E41" s="75">
        <f>Middle!E41</f>
        <v>0.3</v>
      </c>
      <c r="F41" s="75">
        <f>Middle!F41</f>
        <v>1.4</v>
      </c>
      <c r="G41" s="22">
        <f t="shared" si="32"/>
        <v>1</v>
      </c>
      <c r="H41" s="24">
        <f t="shared" si="26"/>
        <v>0.42</v>
      </c>
      <c r="I41" s="39">
        <f t="shared" si="27"/>
        <v>0</v>
      </c>
      <c r="J41" s="38">
        <f t="shared" si="33"/>
        <v>752.59890571183416</v>
      </c>
      <c r="K41" s="40">
        <f t="shared" si="28"/>
        <v>8.3533659423989017E-3</v>
      </c>
      <c r="L41" s="22">
        <f t="shared" si="29"/>
        <v>3.5084136958075385E-3</v>
      </c>
      <c r="M41" s="24">
        <f t="shared" si="30"/>
        <v>3.4926300373666207E-3</v>
      </c>
      <c r="N41" s="2"/>
      <c r="O41" s="2"/>
      <c r="P41" s="2"/>
      <c r="Q41" s="59"/>
      <c r="R41" s="252"/>
      <c r="S41" s="252"/>
      <c r="T41" s="253"/>
      <c r="U41" s="56"/>
      <c r="V41" s="56"/>
      <c r="W41" s="115"/>
      <c r="X41" s="118">
        <f>X11</f>
        <v>1</v>
      </c>
      <c r="Y41" s="110"/>
      <c r="Z41" s="122">
        <f>Z11</f>
        <v>1</v>
      </c>
      <c r="AA41" s="147">
        <f>$J41*Z41</f>
        <v>752.59890571183416</v>
      </c>
      <c r="AB41" s="122">
        <f>AB11</f>
        <v>0</v>
      </c>
      <c r="AC41" s="147">
        <f>$J41*AB41</f>
        <v>0</v>
      </c>
      <c r="AD41" s="122">
        <f>AD11</f>
        <v>0</v>
      </c>
      <c r="AE41" s="147">
        <f>$J41*AD41</f>
        <v>0</v>
      </c>
      <c r="AF41" s="122">
        <f t="shared" si="31"/>
        <v>0</v>
      </c>
      <c r="AG41" s="147">
        <f t="shared" si="34"/>
        <v>0</v>
      </c>
      <c r="AH41" s="123">
        <f t="shared" si="35"/>
        <v>1</v>
      </c>
      <c r="AI41" s="112">
        <f t="shared" si="35"/>
        <v>752.59890571183416</v>
      </c>
      <c r="AJ41" s="148">
        <f t="shared" si="36"/>
        <v>752.59890571183416</v>
      </c>
      <c r="AK41" s="147">
        <f t="shared" si="37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5" t="str">
        <f>IF(Poor!A42=0,"",Poor!A42)</f>
        <v>Beans: kg produced</v>
      </c>
      <c r="B42" s="104">
        <v>3630</v>
      </c>
      <c r="C42" s="104">
        <v>0</v>
      </c>
      <c r="D42" s="38">
        <f t="shared" si="25"/>
        <v>3630</v>
      </c>
      <c r="E42" s="75">
        <f>Middle!E42</f>
        <v>0.2</v>
      </c>
      <c r="F42" s="75">
        <f>Middle!F42</f>
        <v>1.4</v>
      </c>
      <c r="G42" s="22">
        <f t="shared" si="32"/>
        <v>1</v>
      </c>
      <c r="H42" s="24">
        <f t="shared" si="26"/>
        <v>0.27999999999999997</v>
      </c>
      <c r="I42" s="39">
        <f t="shared" si="27"/>
        <v>1016.3999999999999</v>
      </c>
      <c r="J42" s="38">
        <f t="shared" si="33"/>
        <v>1016.3999999999999</v>
      </c>
      <c r="K42" s="40">
        <f t="shared" si="28"/>
        <v>1.6845954650504452E-2</v>
      </c>
      <c r="L42" s="22">
        <f t="shared" si="29"/>
        <v>4.7168673021412465E-3</v>
      </c>
      <c r="M42" s="24">
        <f t="shared" si="30"/>
        <v>4.7168673021412456E-3</v>
      </c>
      <c r="N42" s="2"/>
      <c r="O42" s="2"/>
      <c r="P42" s="2"/>
      <c r="Q42" s="41"/>
      <c r="R42" s="41"/>
      <c r="S42" s="254"/>
      <c r="T42" s="254"/>
      <c r="U42" s="56"/>
      <c r="V42" s="56"/>
      <c r="W42" s="115"/>
      <c r="X42" s="118"/>
      <c r="Y42" s="110"/>
      <c r="Z42" s="156">
        <f>Poor!Z42</f>
        <v>0.25</v>
      </c>
      <c r="AA42" s="147">
        <f t="shared" ref="AA42:AA64" si="38">$J42*Z42</f>
        <v>254.09999999999997</v>
      </c>
      <c r="AB42" s="156">
        <f>Poor!AB42</f>
        <v>0</v>
      </c>
      <c r="AC42" s="147">
        <f t="shared" ref="AC42:AC64" si="39">$J42*AB42</f>
        <v>0</v>
      </c>
      <c r="AD42" s="156">
        <f>Poor!AD42</f>
        <v>0.5</v>
      </c>
      <c r="AE42" s="147">
        <f t="shared" ref="AE42:AE64" si="40">$J42*AD42</f>
        <v>508.19999999999993</v>
      </c>
      <c r="AF42" s="122">
        <f t="shared" si="31"/>
        <v>0.25</v>
      </c>
      <c r="AG42" s="147">
        <f t="shared" si="34"/>
        <v>254.09999999999997</v>
      </c>
      <c r="AH42" s="123">
        <f t="shared" si="35"/>
        <v>1</v>
      </c>
      <c r="AI42" s="112">
        <f t="shared" si="35"/>
        <v>1016.3999999999999</v>
      </c>
      <c r="AJ42" s="148">
        <f t="shared" si="36"/>
        <v>254.09999999999997</v>
      </c>
      <c r="AK42" s="147">
        <f t="shared" si="37"/>
        <v>762.3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5" t="str">
        <f>IF(Poor!A43=0,"",Poor!A43)</f>
        <v>potatoes: kg produced</v>
      </c>
      <c r="B43" s="104">
        <v>216</v>
      </c>
      <c r="C43" s="104">
        <v>-216</v>
      </c>
      <c r="D43" s="38">
        <f t="shared" si="25"/>
        <v>0</v>
      </c>
      <c r="E43" s="75">
        <f>Middle!E43</f>
        <v>0.2</v>
      </c>
      <c r="F43" s="75">
        <f>Middle!F43</f>
        <v>1.4</v>
      </c>
      <c r="G43" s="22">
        <f t="shared" si="32"/>
        <v>1</v>
      </c>
      <c r="H43" s="24">
        <f t="shared" si="26"/>
        <v>0.27999999999999997</v>
      </c>
      <c r="I43" s="39">
        <f t="shared" si="27"/>
        <v>0</v>
      </c>
      <c r="J43" s="38">
        <f t="shared" si="33"/>
        <v>60.207912456946737</v>
      </c>
      <c r="K43" s="40">
        <f t="shared" si="28"/>
        <v>1.0024039130878681E-3</v>
      </c>
      <c r="L43" s="22">
        <f t="shared" si="29"/>
        <v>2.8067309566460303E-4</v>
      </c>
      <c r="M43" s="24">
        <f t="shared" si="30"/>
        <v>2.7941040298932969E-4</v>
      </c>
      <c r="N43" s="2"/>
      <c r="O43" s="2"/>
      <c r="P43" s="2"/>
      <c r="Q43" s="41"/>
      <c r="R43" s="41"/>
      <c r="S43" s="221"/>
      <c r="T43" s="221"/>
      <c r="U43" s="56"/>
      <c r="V43" s="56"/>
      <c r="W43" s="115"/>
      <c r="X43" s="118"/>
      <c r="Y43" s="110"/>
      <c r="Z43" s="156">
        <f>Poor!Z43</f>
        <v>0.25</v>
      </c>
      <c r="AA43" s="147">
        <f t="shared" si="38"/>
        <v>15.051978114236684</v>
      </c>
      <c r="AB43" s="156">
        <f>Poor!AB43</f>
        <v>0.25</v>
      </c>
      <c r="AC43" s="147">
        <f t="shared" si="39"/>
        <v>15.051978114236684</v>
      </c>
      <c r="AD43" s="156">
        <f>Poor!AD43</f>
        <v>0.25</v>
      </c>
      <c r="AE43" s="147">
        <f t="shared" si="40"/>
        <v>15.051978114236684</v>
      </c>
      <c r="AF43" s="122">
        <f t="shared" si="31"/>
        <v>0.25</v>
      </c>
      <c r="AG43" s="147">
        <f t="shared" si="34"/>
        <v>15.051978114236684</v>
      </c>
      <c r="AH43" s="123">
        <f t="shared" si="35"/>
        <v>1</v>
      </c>
      <c r="AI43" s="112">
        <f t="shared" si="35"/>
        <v>60.207912456946737</v>
      </c>
      <c r="AJ43" s="148">
        <f t="shared" si="36"/>
        <v>30.103956228473368</v>
      </c>
      <c r="AK43" s="147">
        <f t="shared" si="37"/>
        <v>30.103956228473368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5" t="str">
        <f>IF(Poor!A44=0,"",Poor!A44)</f>
        <v>Amadumbe: kg produced</v>
      </c>
      <c r="B44" s="104">
        <v>81</v>
      </c>
      <c r="C44" s="104">
        <v>-81</v>
      </c>
      <c r="D44" s="38">
        <f t="shared" si="25"/>
        <v>0</v>
      </c>
      <c r="E44" s="75">
        <f>Middle!E44</f>
        <v>0.2</v>
      </c>
      <c r="F44" s="75">
        <f>Middle!F44</f>
        <v>1.4</v>
      </c>
      <c r="G44" s="22">
        <f t="shared" si="32"/>
        <v>1</v>
      </c>
      <c r="H44" s="24">
        <f t="shared" si="26"/>
        <v>0.27999999999999997</v>
      </c>
      <c r="I44" s="39">
        <f t="shared" si="27"/>
        <v>0</v>
      </c>
      <c r="J44" s="38">
        <f t="shared" si="33"/>
        <v>22.577967171355024</v>
      </c>
      <c r="K44" s="40">
        <f t="shared" si="28"/>
        <v>3.7590146740795055E-4</v>
      </c>
      <c r="L44" s="22">
        <f t="shared" si="29"/>
        <v>1.0525241087422615E-4</v>
      </c>
      <c r="M44" s="24">
        <f t="shared" si="30"/>
        <v>1.0477890112099861E-4</v>
      </c>
      <c r="N44" s="2"/>
      <c r="O44" s="2"/>
      <c r="P44" s="2"/>
      <c r="Q44" s="255"/>
      <c r="R44" s="41"/>
      <c r="S44" s="41"/>
      <c r="T44" s="253"/>
      <c r="U44" s="56"/>
      <c r="V44" s="56"/>
      <c r="W44" s="117"/>
      <c r="X44" s="118"/>
      <c r="Y44" s="110"/>
      <c r="Z44" s="156">
        <f>Poor!Z44</f>
        <v>0.25</v>
      </c>
      <c r="AA44" s="147">
        <f t="shared" si="38"/>
        <v>5.6444917928387559</v>
      </c>
      <c r="AB44" s="156">
        <f>Poor!AB44</f>
        <v>0.25</v>
      </c>
      <c r="AC44" s="147">
        <f t="shared" si="39"/>
        <v>5.6444917928387559</v>
      </c>
      <c r="AD44" s="156">
        <f>Poor!AD44</f>
        <v>0.25</v>
      </c>
      <c r="AE44" s="147">
        <f t="shared" si="40"/>
        <v>5.6444917928387559</v>
      </c>
      <c r="AF44" s="122">
        <f t="shared" si="31"/>
        <v>0.25</v>
      </c>
      <c r="AG44" s="147">
        <f t="shared" si="34"/>
        <v>5.6444917928387559</v>
      </c>
      <c r="AH44" s="123">
        <f t="shared" si="35"/>
        <v>1</v>
      </c>
      <c r="AI44" s="112">
        <f t="shared" si="35"/>
        <v>22.577967171355024</v>
      </c>
      <c r="AJ44" s="148">
        <f t="shared" si="36"/>
        <v>11.288983585677512</v>
      </c>
      <c r="AK44" s="147">
        <f t="shared" si="37"/>
        <v>11.288983585677512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5" t="str">
        <f>IF(Poor!A45=0,"",Poor!A45)</f>
        <v>Sweet Potatoes: kg produced</v>
      </c>
      <c r="B45" s="104">
        <v>0</v>
      </c>
      <c r="C45" s="104">
        <v>0</v>
      </c>
      <c r="D45" s="38">
        <f t="shared" si="25"/>
        <v>0</v>
      </c>
      <c r="E45" s="75">
        <f>Middle!E45</f>
        <v>0.2</v>
      </c>
      <c r="F45" s="75">
        <f>Middle!F45</f>
        <v>1.4</v>
      </c>
      <c r="G45" s="22">
        <f t="shared" si="32"/>
        <v>1</v>
      </c>
      <c r="H45" s="24">
        <f t="shared" si="26"/>
        <v>0.27999999999999997</v>
      </c>
      <c r="I45" s="39">
        <f t="shared" si="27"/>
        <v>0</v>
      </c>
      <c r="J45" s="38">
        <f t="shared" si="33"/>
        <v>0</v>
      </c>
      <c r="K45" s="40">
        <f t="shared" si="28"/>
        <v>0</v>
      </c>
      <c r="L45" s="22">
        <f t="shared" si="29"/>
        <v>0</v>
      </c>
      <c r="M45" s="24">
        <f t="shared" si="30"/>
        <v>0</v>
      </c>
      <c r="N45" s="2"/>
      <c r="O45" s="2"/>
      <c r="P45" s="2"/>
      <c r="Q45" s="255"/>
      <c r="S45" s="41"/>
      <c r="U45" s="56"/>
      <c r="V45" s="56"/>
      <c r="W45" s="110"/>
      <c r="X45" s="118"/>
      <c r="Y45" s="110"/>
      <c r="Z45" s="156">
        <f>Poor!Z45</f>
        <v>0.25</v>
      </c>
      <c r="AA45" s="147">
        <f t="shared" si="38"/>
        <v>0</v>
      </c>
      <c r="AB45" s="156">
        <f>Poor!AB45</f>
        <v>0.25</v>
      </c>
      <c r="AC45" s="147">
        <f t="shared" si="39"/>
        <v>0</v>
      </c>
      <c r="AD45" s="156">
        <f>Poor!AD45</f>
        <v>0.25</v>
      </c>
      <c r="AE45" s="147">
        <f t="shared" si="40"/>
        <v>0</v>
      </c>
      <c r="AF45" s="122">
        <f t="shared" si="31"/>
        <v>0.25</v>
      </c>
      <c r="AG45" s="147">
        <f t="shared" si="34"/>
        <v>0</v>
      </c>
      <c r="AH45" s="123">
        <f t="shared" si="35"/>
        <v>1</v>
      </c>
      <c r="AI45" s="112">
        <f t="shared" si="35"/>
        <v>0</v>
      </c>
      <c r="AJ45" s="148">
        <f t="shared" si="36"/>
        <v>0</v>
      </c>
      <c r="AK45" s="147">
        <f t="shared" si="37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5" t="str">
        <f>IF(Poor!A46=0,"",Poor!A46)</f>
        <v>Other crop: Cabbage</v>
      </c>
      <c r="B46" s="104">
        <v>0</v>
      </c>
      <c r="C46" s="104">
        <v>0</v>
      </c>
      <c r="D46" s="38">
        <f t="shared" si="25"/>
        <v>0</v>
      </c>
      <c r="E46" s="75">
        <f>Middle!E46</f>
        <v>0.2</v>
      </c>
      <c r="F46" s="75">
        <f>Middle!F46</f>
        <v>1.4</v>
      </c>
      <c r="G46" s="22">
        <f t="shared" si="32"/>
        <v>1</v>
      </c>
      <c r="H46" s="24">
        <f t="shared" si="26"/>
        <v>0.27999999999999997</v>
      </c>
      <c r="I46" s="39">
        <f t="shared" si="27"/>
        <v>0</v>
      </c>
      <c r="J46" s="38">
        <f t="shared" si="33"/>
        <v>0</v>
      </c>
      <c r="K46" s="40">
        <f t="shared" si="28"/>
        <v>0</v>
      </c>
      <c r="L46" s="22">
        <f t="shared" si="29"/>
        <v>0</v>
      </c>
      <c r="M46" s="24">
        <f t="shared" si="30"/>
        <v>0</v>
      </c>
      <c r="N46" s="2"/>
      <c r="O46" s="2"/>
      <c r="P46" s="2"/>
      <c r="Q46" s="255"/>
      <c r="S46" s="41"/>
      <c r="U46" s="56"/>
      <c r="V46" s="56"/>
      <c r="W46" s="110"/>
      <c r="X46" s="118"/>
      <c r="Y46" s="110"/>
      <c r="Z46" s="156">
        <f>Poor!Z46</f>
        <v>0.25</v>
      </c>
      <c r="AA46" s="147">
        <f t="shared" si="38"/>
        <v>0</v>
      </c>
      <c r="AB46" s="156">
        <f>Poor!AB46</f>
        <v>0.25</v>
      </c>
      <c r="AC46" s="147">
        <f t="shared" si="39"/>
        <v>0</v>
      </c>
      <c r="AD46" s="156">
        <f>Poor!AD46</f>
        <v>0.25</v>
      </c>
      <c r="AE46" s="147">
        <f t="shared" si="40"/>
        <v>0</v>
      </c>
      <c r="AF46" s="122">
        <f t="shared" si="31"/>
        <v>0.25</v>
      </c>
      <c r="AG46" s="147">
        <f t="shared" si="34"/>
        <v>0</v>
      </c>
      <c r="AH46" s="123">
        <f t="shared" si="35"/>
        <v>1</v>
      </c>
      <c r="AI46" s="112">
        <f t="shared" si="35"/>
        <v>0</v>
      </c>
      <c r="AJ46" s="148">
        <f t="shared" si="36"/>
        <v>0</v>
      </c>
      <c r="AK46" s="147">
        <f t="shared" si="37"/>
        <v>0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5" t="str">
        <f>IF(Poor!A47=0,"",Poor!A47)</f>
        <v>beetroot: no. local meas</v>
      </c>
      <c r="B47" s="104">
        <v>0</v>
      </c>
      <c r="C47" s="104">
        <v>0</v>
      </c>
      <c r="D47" s="38">
        <f t="shared" si="25"/>
        <v>0</v>
      </c>
      <c r="E47" s="75">
        <f>Middle!E47</f>
        <v>0.2</v>
      </c>
      <c r="F47" s="75">
        <f>Middle!F47</f>
        <v>1.4</v>
      </c>
      <c r="G47" s="22">
        <f t="shared" si="32"/>
        <v>1</v>
      </c>
      <c r="H47" s="24">
        <f t="shared" si="26"/>
        <v>0.27999999999999997</v>
      </c>
      <c r="I47" s="39">
        <f t="shared" si="27"/>
        <v>0</v>
      </c>
      <c r="J47" s="38">
        <f t="shared" si="33"/>
        <v>0</v>
      </c>
      <c r="K47" s="40">
        <f t="shared" si="28"/>
        <v>0</v>
      </c>
      <c r="L47" s="22">
        <f t="shared" si="29"/>
        <v>0</v>
      </c>
      <c r="M47" s="24">
        <f t="shared" si="30"/>
        <v>0</v>
      </c>
      <c r="N47" s="2"/>
      <c r="O47" s="2"/>
      <c r="P47" s="2"/>
      <c r="R47" s="243"/>
      <c r="U47" s="56"/>
      <c r="V47" s="56"/>
      <c r="W47" s="110"/>
      <c r="X47" s="118"/>
      <c r="Y47" s="110"/>
      <c r="Z47" s="156">
        <f>Poor!Z47</f>
        <v>0.25</v>
      </c>
      <c r="AA47" s="147">
        <f t="shared" si="38"/>
        <v>0</v>
      </c>
      <c r="AB47" s="156">
        <f>Poor!AB47</f>
        <v>0.25</v>
      </c>
      <c r="AC47" s="147">
        <f t="shared" si="39"/>
        <v>0</v>
      </c>
      <c r="AD47" s="156">
        <f>Poor!AD47</f>
        <v>0.25</v>
      </c>
      <c r="AE47" s="147">
        <f t="shared" si="40"/>
        <v>0</v>
      </c>
      <c r="AF47" s="122">
        <f t="shared" si="31"/>
        <v>0.25</v>
      </c>
      <c r="AG47" s="147">
        <f t="shared" si="34"/>
        <v>0</v>
      </c>
      <c r="AH47" s="123">
        <f t="shared" si="35"/>
        <v>1</v>
      </c>
      <c r="AI47" s="112">
        <f t="shared" si="35"/>
        <v>0</v>
      </c>
      <c r="AJ47" s="148">
        <f t="shared" si="36"/>
        <v>0</v>
      </c>
      <c r="AK47" s="147">
        <f t="shared" si="37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5" t="str">
        <f>IF(Poor!A48=0,"",Poor!A48)</f>
        <v>Spinach: no produced</v>
      </c>
      <c r="B48" s="104">
        <v>0</v>
      </c>
      <c r="C48" s="104">
        <v>0</v>
      </c>
      <c r="D48" s="38">
        <f t="shared" si="25"/>
        <v>0</v>
      </c>
      <c r="E48" s="75">
        <f>Middle!E48</f>
        <v>0.2</v>
      </c>
      <c r="F48" s="75">
        <f>Middle!F48</f>
        <v>1.4</v>
      </c>
      <c r="G48" s="22">
        <f t="shared" si="32"/>
        <v>1</v>
      </c>
      <c r="H48" s="24">
        <f t="shared" si="26"/>
        <v>0.27999999999999997</v>
      </c>
      <c r="I48" s="39">
        <f t="shared" si="27"/>
        <v>0</v>
      </c>
      <c r="J48" s="38">
        <f t="shared" si="33"/>
        <v>0</v>
      </c>
      <c r="K48" s="40">
        <f t="shared" si="28"/>
        <v>0</v>
      </c>
      <c r="L48" s="22">
        <f t="shared" si="29"/>
        <v>0</v>
      </c>
      <c r="M48" s="24">
        <f t="shared" si="30"/>
        <v>0</v>
      </c>
      <c r="N48" s="2"/>
      <c r="O48" s="2"/>
      <c r="P48" s="2"/>
      <c r="Q48" s="255"/>
      <c r="R48" s="252"/>
      <c r="S48" s="41"/>
      <c r="T48" s="29"/>
      <c r="U48" s="56"/>
      <c r="V48" s="56"/>
      <c r="W48" s="110"/>
      <c r="X48" s="118"/>
      <c r="Y48" s="110"/>
      <c r="Z48" s="156">
        <f>Poor!Z48</f>
        <v>0.25</v>
      </c>
      <c r="AA48" s="147">
        <f t="shared" si="38"/>
        <v>0</v>
      </c>
      <c r="AB48" s="156">
        <f>Poor!AB48</f>
        <v>0.25</v>
      </c>
      <c r="AC48" s="147">
        <f t="shared" si="39"/>
        <v>0</v>
      </c>
      <c r="AD48" s="156">
        <f>Poor!AD48</f>
        <v>0.25</v>
      </c>
      <c r="AE48" s="147">
        <f t="shared" si="40"/>
        <v>0</v>
      </c>
      <c r="AF48" s="122">
        <f t="shared" si="31"/>
        <v>0.25</v>
      </c>
      <c r="AG48" s="147">
        <f t="shared" si="34"/>
        <v>0</v>
      </c>
      <c r="AH48" s="123">
        <f t="shared" si="35"/>
        <v>1</v>
      </c>
      <c r="AI48" s="112">
        <f t="shared" si="35"/>
        <v>0</v>
      </c>
      <c r="AJ48" s="148">
        <f t="shared" si="36"/>
        <v>0</v>
      </c>
      <c r="AK48" s="147">
        <f t="shared" si="37"/>
        <v>0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5" t="str">
        <f>IF(Poor!A49=0,"",Poor!A49)</f>
        <v>Other crop: pumpkin</v>
      </c>
      <c r="B49" s="104">
        <v>0</v>
      </c>
      <c r="C49" s="104">
        <v>0</v>
      </c>
      <c r="D49" s="38">
        <f t="shared" si="25"/>
        <v>0</v>
      </c>
      <c r="E49" s="75">
        <f>Middle!E49</f>
        <v>0.2</v>
      </c>
      <c r="F49" s="75">
        <f>Middle!F49</f>
        <v>1.4</v>
      </c>
      <c r="G49" s="22">
        <f t="shared" si="32"/>
        <v>1</v>
      </c>
      <c r="H49" s="24">
        <f t="shared" si="26"/>
        <v>0.27999999999999997</v>
      </c>
      <c r="I49" s="39">
        <f t="shared" si="27"/>
        <v>0</v>
      </c>
      <c r="J49" s="38">
        <f t="shared" si="33"/>
        <v>0</v>
      </c>
      <c r="K49" s="40">
        <f t="shared" si="28"/>
        <v>0</v>
      </c>
      <c r="L49" s="22">
        <f t="shared" si="29"/>
        <v>0</v>
      </c>
      <c r="M49" s="24">
        <f t="shared" si="30"/>
        <v>0</v>
      </c>
      <c r="N49" s="2"/>
      <c r="O49" s="2"/>
      <c r="P49" s="2"/>
      <c r="V49" s="56"/>
      <c r="W49" s="110"/>
      <c r="X49" s="118"/>
      <c r="Y49" s="110"/>
      <c r="Z49" s="156">
        <f>Poor!Z49</f>
        <v>0.25</v>
      </c>
      <c r="AA49" s="147">
        <f t="shared" si="38"/>
        <v>0</v>
      </c>
      <c r="AB49" s="156">
        <f>Poor!AB49</f>
        <v>0.25</v>
      </c>
      <c r="AC49" s="147">
        <f t="shared" si="39"/>
        <v>0</v>
      </c>
      <c r="AD49" s="156">
        <f>Poor!AD49</f>
        <v>0.25</v>
      </c>
      <c r="AE49" s="147">
        <f t="shared" si="40"/>
        <v>0</v>
      </c>
      <c r="AF49" s="122">
        <f t="shared" si="31"/>
        <v>0.25</v>
      </c>
      <c r="AG49" s="147">
        <f t="shared" si="34"/>
        <v>0</v>
      </c>
      <c r="AH49" s="123">
        <f t="shared" si="35"/>
        <v>1</v>
      </c>
      <c r="AI49" s="112">
        <f t="shared" si="35"/>
        <v>0</v>
      </c>
      <c r="AJ49" s="148">
        <f t="shared" si="36"/>
        <v>0</v>
      </c>
      <c r="AK49" s="147">
        <f t="shared" si="37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5" t="str">
        <f>IF(Poor!A50=0,"",Poor!A50)</f>
        <v>Other cashcrop: sugar cane (tons)</v>
      </c>
      <c r="B50" s="104">
        <v>10000</v>
      </c>
      <c r="C50" s="104">
        <v>0</v>
      </c>
      <c r="D50" s="38">
        <f t="shared" si="25"/>
        <v>10000</v>
      </c>
      <c r="E50" s="75">
        <f>Middle!E50</f>
        <v>0.2</v>
      </c>
      <c r="F50" s="75">
        <f>Middle!F50</f>
        <v>1.4</v>
      </c>
      <c r="G50" s="22">
        <f t="shared" si="32"/>
        <v>1</v>
      </c>
      <c r="H50" s="24">
        <f t="shared" si="26"/>
        <v>0.27999999999999997</v>
      </c>
      <c r="I50" s="39">
        <f t="shared" si="27"/>
        <v>2799.9999999999995</v>
      </c>
      <c r="J50" s="38">
        <f t="shared" si="33"/>
        <v>2799.9999999999995</v>
      </c>
      <c r="K50" s="40">
        <f t="shared" si="28"/>
        <v>4.6407588568882781E-2</v>
      </c>
      <c r="L50" s="22">
        <f t="shared" si="29"/>
        <v>1.2994124799287177E-2</v>
      </c>
      <c r="M50" s="24">
        <f t="shared" si="30"/>
        <v>1.2994124799287177E-2</v>
      </c>
      <c r="N50" s="2"/>
      <c r="O50" s="2"/>
      <c r="P50" s="2"/>
      <c r="V50" s="56"/>
      <c r="W50" s="110"/>
      <c r="X50" s="118"/>
      <c r="Y50" s="110"/>
      <c r="Z50" s="156">
        <f>Poor!Z55</f>
        <v>0.25</v>
      </c>
      <c r="AA50" s="147">
        <f t="shared" si="38"/>
        <v>699.99999999999989</v>
      </c>
      <c r="AB50" s="156">
        <f>Poor!AB55</f>
        <v>0.25</v>
      </c>
      <c r="AC50" s="147">
        <f t="shared" si="39"/>
        <v>699.99999999999989</v>
      </c>
      <c r="AD50" s="156">
        <f>Poor!AD55</f>
        <v>0.25</v>
      </c>
      <c r="AE50" s="147">
        <f t="shared" si="40"/>
        <v>699.99999999999989</v>
      </c>
      <c r="AF50" s="122">
        <f t="shared" si="31"/>
        <v>0.25</v>
      </c>
      <c r="AG50" s="147">
        <f t="shared" si="34"/>
        <v>699.99999999999989</v>
      </c>
      <c r="AH50" s="123">
        <f t="shared" si="35"/>
        <v>1</v>
      </c>
      <c r="AI50" s="112">
        <f t="shared" si="35"/>
        <v>2799.9999999999995</v>
      </c>
      <c r="AJ50" s="148">
        <f t="shared" si="36"/>
        <v>1399.9999999999998</v>
      </c>
      <c r="AK50" s="147">
        <f t="shared" si="37"/>
        <v>1399.9999999999998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5" t="str">
        <f>IF(Poor!A51=0,"",Poor!A51)</f>
        <v>Agricultural cash income -- see Data2</v>
      </c>
      <c r="B51" s="104">
        <v>0</v>
      </c>
      <c r="C51" s="104">
        <v>0</v>
      </c>
      <c r="D51" s="38">
        <f t="shared" si="25"/>
        <v>0</v>
      </c>
      <c r="E51" s="75">
        <f>Middle!E51</f>
        <v>0.5</v>
      </c>
      <c r="F51" s="75">
        <f>Middle!F51</f>
        <v>1.1100000000000001</v>
      </c>
      <c r="G51" s="22">
        <f t="shared" si="32"/>
        <v>1</v>
      </c>
      <c r="H51" s="24">
        <f t="shared" si="26"/>
        <v>0.55500000000000005</v>
      </c>
      <c r="I51" s="39">
        <f t="shared" si="27"/>
        <v>0</v>
      </c>
      <c r="J51" s="38">
        <f t="shared" si="33"/>
        <v>0</v>
      </c>
      <c r="K51" s="40">
        <f t="shared" si="28"/>
        <v>0</v>
      </c>
      <c r="L51" s="22">
        <f t="shared" si="29"/>
        <v>0</v>
      </c>
      <c r="M51" s="24">
        <f t="shared" si="30"/>
        <v>0</v>
      </c>
      <c r="N51" s="2"/>
      <c r="O51" s="2"/>
      <c r="P51" s="2"/>
      <c r="V51" s="56"/>
      <c r="W51" s="110"/>
      <c r="X51" s="118"/>
      <c r="Y51" s="110"/>
      <c r="Z51" s="156">
        <f>Poor!Z56</f>
        <v>0.25</v>
      </c>
      <c r="AA51" s="147">
        <f t="shared" si="38"/>
        <v>0</v>
      </c>
      <c r="AB51" s="156">
        <f>Poor!AB56</f>
        <v>0.25</v>
      </c>
      <c r="AC51" s="147">
        <f t="shared" si="39"/>
        <v>0</v>
      </c>
      <c r="AD51" s="156">
        <f>Poor!AD56</f>
        <v>0.25</v>
      </c>
      <c r="AE51" s="147">
        <f t="shared" si="40"/>
        <v>0</v>
      </c>
      <c r="AF51" s="122">
        <f t="shared" si="31"/>
        <v>0.25</v>
      </c>
      <c r="AG51" s="147">
        <f t="shared" si="34"/>
        <v>0</v>
      </c>
      <c r="AH51" s="123">
        <f t="shared" si="35"/>
        <v>1</v>
      </c>
      <c r="AI51" s="112">
        <f t="shared" si="35"/>
        <v>0</v>
      </c>
      <c r="AJ51" s="148">
        <f t="shared" si="36"/>
        <v>0</v>
      </c>
      <c r="AK51" s="147">
        <f t="shared" si="37"/>
        <v>0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5" t="str">
        <f>IF(Poor!A52=0,"",Poor!A52)</f>
        <v>Construction cash income -- see Data2</v>
      </c>
      <c r="B52" s="104">
        <v>0</v>
      </c>
      <c r="C52" s="104">
        <v>0</v>
      </c>
      <c r="D52" s="38">
        <f t="shared" si="25"/>
        <v>0</v>
      </c>
      <c r="E52" s="75">
        <f>Middle!E52</f>
        <v>0.5</v>
      </c>
      <c r="F52" s="75">
        <f>Middle!F52</f>
        <v>1.1100000000000001</v>
      </c>
      <c r="G52" s="22">
        <f t="shared" si="32"/>
        <v>1</v>
      </c>
      <c r="H52" s="24">
        <f t="shared" si="26"/>
        <v>0.55500000000000005</v>
      </c>
      <c r="I52" s="39">
        <f t="shared" si="27"/>
        <v>0</v>
      </c>
      <c r="J52" s="38">
        <f t="shared" si="33"/>
        <v>0</v>
      </c>
      <c r="K52" s="40">
        <f t="shared" si="28"/>
        <v>0</v>
      </c>
      <c r="L52" s="22">
        <f t="shared" si="29"/>
        <v>0</v>
      </c>
      <c r="M52" s="24">
        <f t="shared" si="30"/>
        <v>0</v>
      </c>
      <c r="N52" s="2"/>
      <c r="O52" s="2"/>
      <c r="P52" s="2"/>
      <c r="Q52" s="2"/>
      <c r="R52" s="218"/>
      <c r="S52" s="68"/>
      <c r="T52" s="2"/>
      <c r="U52" s="56"/>
      <c r="V52" s="56"/>
      <c r="W52" s="110"/>
      <c r="X52" s="118"/>
      <c r="Y52" s="110"/>
      <c r="Z52" s="156">
        <f>Poor!Z57</f>
        <v>0.25</v>
      </c>
      <c r="AA52" s="147">
        <f t="shared" si="38"/>
        <v>0</v>
      </c>
      <c r="AB52" s="156">
        <f>Poor!AB57</f>
        <v>0.25</v>
      </c>
      <c r="AC52" s="147">
        <f t="shared" si="39"/>
        <v>0</v>
      </c>
      <c r="AD52" s="156">
        <f>Poor!AD57</f>
        <v>0.25</v>
      </c>
      <c r="AE52" s="147">
        <f t="shared" si="40"/>
        <v>0</v>
      </c>
      <c r="AF52" s="122">
        <f t="shared" si="31"/>
        <v>0.25</v>
      </c>
      <c r="AG52" s="147">
        <f t="shared" si="34"/>
        <v>0</v>
      </c>
      <c r="AH52" s="123">
        <f t="shared" si="35"/>
        <v>1</v>
      </c>
      <c r="AI52" s="112">
        <f t="shared" si="35"/>
        <v>0</v>
      </c>
      <c r="AJ52" s="148">
        <f t="shared" si="36"/>
        <v>0</v>
      </c>
      <c r="AK52" s="147">
        <f t="shared" si="37"/>
        <v>0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5" t="str">
        <f>IF(Poor!A53=0,"",Poor!A53)</f>
        <v>Domestic work cash income -- see Data2</v>
      </c>
      <c r="B53" s="104">
        <v>0</v>
      </c>
      <c r="C53" s="104">
        <v>0</v>
      </c>
      <c r="D53" s="38">
        <f t="shared" si="25"/>
        <v>0</v>
      </c>
      <c r="E53" s="75">
        <f>Middle!E53</f>
        <v>0.5</v>
      </c>
      <c r="F53" s="75">
        <f>Middle!F53</f>
        <v>1.1100000000000001</v>
      </c>
      <c r="G53" s="22">
        <f t="shared" si="32"/>
        <v>1</v>
      </c>
      <c r="H53" s="24">
        <f t="shared" ref="H53:H64" si="41">(E53*F53)</f>
        <v>0.55500000000000005</v>
      </c>
      <c r="I53" s="39">
        <f t="shared" ref="I53:I64" si="42">D53*H53</f>
        <v>0</v>
      </c>
      <c r="J53" s="38">
        <f t="shared" si="33"/>
        <v>0</v>
      </c>
      <c r="K53" s="40">
        <f t="shared" ref="K53:K64" si="43">(B53/B$65)</f>
        <v>0</v>
      </c>
      <c r="L53" s="22">
        <f t="shared" ref="L53:L64" si="44">(K53*H53)</f>
        <v>0</v>
      </c>
      <c r="M53" s="24">
        <f t="shared" ref="M53:M64" si="45">J53/B$65</f>
        <v>0</v>
      </c>
      <c r="N53" s="2"/>
      <c r="O53" s="2"/>
      <c r="P53" s="2"/>
      <c r="Q53" s="2"/>
      <c r="R53" s="218"/>
      <c r="S53" s="68"/>
      <c r="T53" s="2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5" t="str">
        <f>IF(Poor!A54=0,"",Poor!A54)</f>
        <v>Formal Employment (conservancies, etc.)</v>
      </c>
      <c r="B54" s="104">
        <v>72000</v>
      </c>
      <c r="C54" s="104">
        <v>0</v>
      </c>
      <c r="D54" s="38">
        <f t="shared" si="25"/>
        <v>72000</v>
      </c>
      <c r="E54" s="75">
        <f>Middle!E54</f>
        <v>0.4</v>
      </c>
      <c r="F54" s="75">
        <f>Middle!F54</f>
        <v>1.18</v>
      </c>
      <c r="G54" s="22">
        <f t="shared" si="32"/>
        <v>1</v>
      </c>
      <c r="H54" s="24">
        <f t="shared" si="41"/>
        <v>0.47199999999999998</v>
      </c>
      <c r="I54" s="39">
        <f t="shared" si="42"/>
        <v>33984</v>
      </c>
      <c r="J54" s="38">
        <f t="shared" si="33"/>
        <v>33983.999999999993</v>
      </c>
      <c r="K54" s="40">
        <f t="shared" si="43"/>
        <v>0.33413463769595603</v>
      </c>
      <c r="L54" s="22">
        <f t="shared" si="44"/>
        <v>0.15771154899249124</v>
      </c>
      <c r="M54" s="24">
        <f t="shared" si="45"/>
        <v>0.15771154899249121</v>
      </c>
      <c r="N54" s="2"/>
      <c r="O54" s="2"/>
      <c r="P54" s="2"/>
      <c r="Q54" s="2"/>
      <c r="R54" s="218"/>
      <c r="S54" s="68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5" t="str">
        <f>IF(Poor!A55=0,"",Poor!A55)</f>
        <v>Labour migration(formal employment): no. people per HH</v>
      </c>
      <c r="B55" s="104">
        <v>37800</v>
      </c>
      <c r="C55" s="104">
        <v>0</v>
      </c>
      <c r="D55" s="38">
        <f t="shared" si="25"/>
        <v>37800</v>
      </c>
      <c r="E55" s="75">
        <f>Middle!E55</f>
        <v>0.4</v>
      </c>
      <c r="F55" s="75">
        <f>Middle!F55</f>
        <v>1.18</v>
      </c>
      <c r="G55" s="22">
        <f t="shared" si="32"/>
        <v>1</v>
      </c>
      <c r="H55" s="24">
        <f t="shared" si="41"/>
        <v>0.47199999999999998</v>
      </c>
      <c r="I55" s="39">
        <f t="shared" si="42"/>
        <v>17841.599999999999</v>
      </c>
      <c r="J55" s="38">
        <f t="shared" si="33"/>
        <v>17841.599999999999</v>
      </c>
      <c r="K55" s="40">
        <f t="shared" si="43"/>
        <v>0.17542068479037692</v>
      </c>
      <c r="L55" s="22">
        <f t="shared" si="44"/>
        <v>8.27985632210579E-2</v>
      </c>
      <c r="M55" s="24">
        <f t="shared" si="45"/>
        <v>8.27985632210579E-2</v>
      </c>
      <c r="N55" s="2"/>
      <c r="O55" s="2"/>
      <c r="P55" s="2"/>
      <c r="Q55" s="2"/>
      <c r="R55" s="218"/>
      <c r="S55" s="68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5" t="str">
        <f>IF(Poor!A56=0,"",Poor!A56)</f>
        <v>Small business -- see Data2</v>
      </c>
      <c r="B56" s="104">
        <v>43350</v>
      </c>
      <c r="C56" s="104">
        <v>0</v>
      </c>
      <c r="D56" s="38">
        <f t="shared" si="25"/>
        <v>43350</v>
      </c>
      <c r="E56" s="75">
        <f>Middle!E56</f>
        <v>0.8</v>
      </c>
      <c r="F56" s="75">
        <f>Middle!F56</f>
        <v>1.18</v>
      </c>
      <c r="G56" s="22">
        <f t="shared" si="32"/>
        <v>1</v>
      </c>
      <c r="H56" s="24">
        <f t="shared" si="41"/>
        <v>0.94399999999999995</v>
      </c>
      <c r="I56" s="39">
        <f t="shared" si="42"/>
        <v>40922.400000000001</v>
      </c>
      <c r="J56" s="38">
        <f t="shared" si="33"/>
        <v>40922.399999999994</v>
      </c>
      <c r="K56" s="40">
        <f t="shared" si="43"/>
        <v>0.20117689644610687</v>
      </c>
      <c r="L56" s="22">
        <f t="shared" si="44"/>
        <v>0.18991099024512487</v>
      </c>
      <c r="M56" s="24">
        <f t="shared" si="45"/>
        <v>0.18991099024512487</v>
      </c>
      <c r="N56" s="2"/>
      <c r="O56" s="2"/>
      <c r="P56" s="2"/>
      <c r="Q56" s="2"/>
      <c r="R56" s="218"/>
      <c r="S56" s="68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5" t="str">
        <f>IF(Poor!A57=0,"",Poor!A57)</f>
        <v>Social development -- see Data2</v>
      </c>
      <c r="B57" s="104">
        <v>8010</v>
      </c>
      <c r="C57" s="104">
        <v>0</v>
      </c>
      <c r="D57" s="38">
        <f t="shared" si="25"/>
        <v>8010</v>
      </c>
      <c r="E57" s="75">
        <f>Middle!E57</f>
        <v>1</v>
      </c>
      <c r="F57" s="75">
        <f>Middle!F57</f>
        <v>1.18</v>
      </c>
      <c r="G57" s="22">
        <f t="shared" si="32"/>
        <v>1</v>
      </c>
      <c r="H57" s="24">
        <f t="shared" si="41"/>
        <v>1.18</v>
      </c>
      <c r="I57" s="39">
        <f t="shared" si="42"/>
        <v>9451.7999999999993</v>
      </c>
      <c r="J57" s="38">
        <f t="shared" si="33"/>
        <v>9451.7999999999993</v>
      </c>
      <c r="K57" s="40">
        <f t="shared" si="43"/>
        <v>3.7172478443675112E-2</v>
      </c>
      <c r="L57" s="22">
        <f t="shared" si="44"/>
        <v>4.3863524563536628E-2</v>
      </c>
      <c r="M57" s="24">
        <f t="shared" si="45"/>
        <v>4.3863524563536628E-2</v>
      </c>
      <c r="N57" s="2"/>
      <c r="O57" s="2"/>
      <c r="P57" s="2"/>
      <c r="Q57" s="2"/>
      <c r="R57" s="218"/>
      <c r="S57" s="68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5" t="str">
        <f>IF(Poor!A58=0,"",Poor!A58)</f>
        <v>Public works -- see Data2</v>
      </c>
      <c r="B58" s="104">
        <v>0</v>
      </c>
      <c r="C58" s="104">
        <v>0</v>
      </c>
      <c r="D58" s="38">
        <f t="shared" si="25"/>
        <v>0</v>
      </c>
      <c r="E58" s="75">
        <f>Middle!E58</f>
        <v>1</v>
      </c>
      <c r="F58" s="75">
        <f>Middle!F58</f>
        <v>1.18</v>
      </c>
      <c r="G58" s="22">
        <f t="shared" si="32"/>
        <v>1</v>
      </c>
      <c r="H58" s="24">
        <f t="shared" si="41"/>
        <v>1.18</v>
      </c>
      <c r="I58" s="39">
        <f t="shared" si="42"/>
        <v>0</v>
      </c>
      <c r="J58" s="38">
        <f t="shared" si="33"/>
        <v>0</v>
      </c>
      <c r="K58" s="40">
        <f t="shared" si="43"/>
        <v>0</v>
      </c>
      <c r="L58" s="22">
        <f t="shared" si="44"/>
        <v>0</v>
      </c>
      <c r="M58" s="24">
        <f t="shared" si="45"/>
        <v>0</v>
      </c>
      <c r="N58" s="2"/>
      <c r="O58" s="2"/>
      <c r="P58" s="2"/>
      <c r="Q58" s="2"/>
      <c r="R58" s="218"/>
      <c r="S58" s="68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38"/>
        <v>0</v>
      </c>
      <c r="AB58" s="156">
        <f>Poor!AB58</f>
        <v>0.25</v>
      </c>
      <c r="AC58" s="147">
        <f t="shared" si="39"/>
        <v>0</v>
      </c>
      <c r="AD58" s="156">
        <f>Poor!AD58</f>
        <v>0.25</v>
      </c>
      <c r="AE58" s="147">
        <f t="shared" si="40"/>
        <v>0</v>
      </c>
      <c r="AF58" s="122">
        <f t="shared" si="31"/>
        <v>0.25</v>
      </c>
      <c r="AG58" s="147">
        <f t="shared" si="34"/>
        <v>0</v>
      </c>
      <c r="AH58" s="123">
        <f t="shared" si="35"/>
        <v>1</v>
      </c>
      <c r="AI58" s="112">
        <f t="shared" si="35"/>
        <v>0</v>
      </c>
      <c r="AJ58" s="148">
        <f t="shared" si="36"/>
        <v>0</v>
      </c>
      <c r="AK58" s="147">
        <f t="shared" si="37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5" t="str">
        <f>IF(Poor!A59=0,"",Poor!A59)</f>
        <v>Gifts/social support: type (Child support, Pension and Foster Care)</v>
      </c>
      <c r="B59" s="104">
        <v>11820</v>
      </c>
      <c r="C59" s="104">
        <v>0</v>
      </c>
      <c r="D59" s="38">
        <f t="shared" si="25"/>
        <v>11820</v>
      </c>
      <c r="E59" s="75">
        <f>Middle!E59</f>
        <v>1</v>
      </c>
      <c r="F59" s="75">
        <f>Middle!F59</f>
        <v>1.1100000000000001</v>
      </c>
      <c r="G59" s="22">
        <f t="shared" si="32"/>
        <v>1</v>
      </c>
      <c r="H59" s="24">
        <f t="shared" si="41"/>
        <v>1.1100000000000001</v>
      </c>
      <c r="I59" s="39">
        <f t="shared" si="42"/>
        <v>13120.2</v>
      </c>
      <c r="J59" s="38">
        <f t="shared" si="33"/>
        <v>13120.2</v>
      </c>
      <c r="K59" s="40">
        <f t="shared" si="43"/>
        <v>5.485376968841945E-2</v>
      </c>
      <c r="L59" s="22">
        <f t="shared" si="44"/>
        <v>6.0887684354145592E-2</v>
      </c>
      <c r="M59" s="24">
        <f t="shared" si="45"/>
        <v>6.0887684354145592E-2</v>
      </c>
      <c r="N59" s="2"/>
      <c r="O59" s="2"/>
      <c r="P59" s="2"/>
      <c r="Q59" s="2"/>
      <c r="R59" s="218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38"/>
        <v>3280.05</v>
      </c>
      <c r="AB59" s="156">
        <f>Poor!AB59</f>
        <v>0.25</v>
      </c>
      <c r="AC59" s="147">
        <f t="shared" si="39"/>
        <v>3280.05</v>
      </c>
      <c r="AD59" s="156">
        <f>Poor!AD59</f>
        <v>0.25</v>
      </c>
      <c r="AE59" s="147">
        <f t="shared" si="40"/>
        <v>3280.05</v>
      </c>
      <c r="AF59" s="122">
        <f t="shared" si="31"/>
        <v>0.25</v>
      </c>
      <c r="AG59" s="147">
        <f t="shared" si="34"/>
        <v>3280.05</v>
      </c>
      <c r="AH59" s="123">
        <f t="shared" ref="AH59:AI64" si="46">SUM(Z59,AB59,AD59,AF59)</f>
        <v>1</v>
      </c>
      <c r="AI59" s="112">
        <f t="shared" si="46"/>
        <v>13120.2</v>
      </c>
      <c r="AJ59" s="148">
        <f t="shared" si="36"/>
        <v>6560.1</v>
      </c>
      <c r="AK59" s="147">
        <f t="shared" si="37"/>
        <v>6560.1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5" t="str">
        <f>IF(Poor!A60=0,"",Poor!A60)</f>
        <v>Other income: e.g. Credit (cotton loans)</v>
      </c>
      <c r="B60" s="104">
        <v>0</v>
      </c>
      <c r="C60" s="104">
        <v>0</v>
      </c>
      <c r="D60" s="38">
        <f t="shared" si="25"/>
        <v>0</v>
      </c>
      <c r="E60" s="75">
        <f>Middle!E60</f>
        <v>1</v>
      </c>
      <c r="F60" s="75">
        <f>Middle!F60</f>
        <v>1</v>
      </c>
      <c r="G60" s="22">
        <f t="shared" si="32"/>
        <v>1</v>
      </c>
      <c r="H60" s="24">
        <f t="shared" si="41"/>
        <v>1</v>
      </c>
      <c r="I60" s="39">
        <f t="shared" si="42"/>
        <v>0</v>
      </c>
      <c r="J60" s="38">
        <f t="shared" si="33"/>
        <v>0</v>
      </c>
      <c r="K60" s="40">
        <f t="shared" si="43"/>
        <v>0</v>
      </c>
      <c r="L60" s="22">
        <f t="shared" si="44"/>
        <v>0</v>
      </c>
      <c r="M60" s="24">
        <f t="shared" si="45"/>
        <v>0</v>
      </c>
      <c r="N60" s="2"/>
      <c r="O60" s="2"/>
      <c r="P60" s="2"/>
      <c r="Q60" s="2"/>
      <c r="R60" s="2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38"/>
        <v>0</v>
      </c>
      <c r="AB60" s="156">
        <f>Poor!AB60</f>
        <v>0.25</v>
      </c>
      <c r="AC60" s="147">
        <f t="shared" si="39"/>
        <v>0</v>
      </c>
      <c r="AD60" s="156">
        <f>Poor!AD60</f>
        <v>0.25</v>
      </c>
      <c r="AE60" s="147">
        <f t="shared" si="40"/>
        <v>0</v>
      </c>
      <c r="AF60" s="122">
        <f t="shared" si="31"/>
        <v>0.25</v>
      </c>
      <c r="AG60" s="147">
        <f t="shared" si="34"/>
        <v>0</v>
      </c>
      <c r="AH60" s="123">
        <f t="shared" si="46"/>
        <v>1</v>
      </c>
      <c r="AI60" s="112">
        <f t="shared" si="46"/>
        <v>0</v>
      </c>
      <c r="AJ60" s="148">
        <f t="shared" si="36"/>
        <v>0</v>
      </c>
      <c r="AK60" s="147">
        <f t="shared" si="37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5" t="str">
        <f>IF(Poor!A61=0,"",Poor!A61)</f>
        <v>Remittances: no. times per year</v>
      </c>
      <c r="B61" s="104">
        <v>4500</v>
      </c>
      <c r="C61" s="104">
        <v>0</v>
      </c>
      <c r="D61" s="38">
        <f t="shared" si="25"/>
        <v>4500</v>
      </c>
      <c r="E61" s="75">
        <f>Middle!E61</f>
        <v>1</v>
      </c>
      <c r="F61" s="75">
        <f>Middle!F61</f>
        <v>1.1100000000000001</v>
      </c>
      <c r="G61" s="22">
        <f t="shared" si="32"/>
        <v>1</v>
      </c>
      <c r="H61" s="24">
        <f t="shared" si="41"/>
        <v>1.1100000000000001</v>
      </c>
      <c r="I61" s="39">
        <f t="shared" si="42"/>
        <v>4995</v>
      </c>
      <c r="J61" s="38">
        <f t="shared" si="33"/>
        <v>4995.0000000000009</v>
      </c>
      <c r="K61" s="40">
        <f t="shared" si="43"/>
        <v>2.0883414855997252E-2</v>
      </c>
      <c r="L61" s="22">
        <f t="shared" si="44"/>
        <v>2.3180590490156951E-2</v>
      </c>
      <c r="M61" s="24">
        <f t="shared" si="45"/>
        <v>2.3180590490156954E-2</v>
      </c>
      <c r="N61" s="2"/>
      <c r="O61" s="2"/>
      <c r="P61" s="2"/>
      <c r="Q61" s="2"/>
      <c r="R61" s="2"/>
      <c r="S61" s="2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38"/>
        <v>1248.7500000000002</v>
      </c>
      <c r="AB61" s="156">
        <f>Poor!AB61</f>
        <v>0.25</v>
      </c>
      <c r="AC61" s="147">
        <f t="shared" si="39"/>
        <v>1248.7500000000002</v>
      </c>
      <c r="AD61" s="156">
        <f>Poor!AD61</f>
        <v>0.25</v>
      </c>
      <c r="AE61" s="147">
        <f t="shared" si="40"/>
        <v>1248.7500000000002</v>
      </c>
      <c r="AF61" s="122">
        <f t="shared" si="31"/>
        <v>0.25</v>
      </c>
      <c r="AG61" s="147">
        <f t="shared" si="34"/>
        <v>1248.7500000000002</v>
      </c>
      <c r="AH61" s="123">
        <f t="shared" si="46"/>
        <v>1</v>
      </c>
      <c r="AI61" s="112">
        <f t="shared" si="46"/>
        <v>4995.0000000000009</v>
      </c>
      <c r="AJ61" s="148">
        <f t="shared" si="36"/>
        <v>2497.5000000000005</v>
      </c>
      <c r="AK61" s="147">
        <f t="shared" si="37"/>
        <v>2497.5000000000005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5" t="str">
        <f>IF(Poor!A62=0,"",Poor!A62)</f>
        <v/>
      </c>
      <c r="B62" s="104">
        <v>0</v>
      </c>
      <c r="C62" s="104">
        <v>0</v>
      </c>
      <c r="D62" s="38">
        <f t="shared" si="25"/>
        <v>0</v>
      </c>
      <c r="E62" s="75">
        <f>Middle!E62</f>
        <v>1</v>
      </c>
      <c r="F62" s="75">
        <f>Middle!F62</f>
        <v>1</v>
      </c>
      <c r="G62" s="22">
        <f t="shared" si="32"/>
        <v>1</v>
      </c>
      <c r="H62" s="24">
        <f t="shared" si="41"/>
        <v>1</v>
      </c>
      <c r="I62" s="39">
        <f t="shared" si="42"/>
        <v>0</v>
      </c>
      <c r="J62" s="38">
        <f t="shared" si="33"/>
        <v>0</v>
      </c>
      <c r="K62" s="40">
        <f t="shared" si="43"/>
        <v>0</v>
      </c>
      <c r="L62" s="22">
        <f t="shared" si="44"/>
        <v>0</v>
      </c>
      <c r="M62" s="24">
        <f t="shared" si="45"/>
        <v>0</v>
      </c>
      <c r="N62" s="2"/>
      <c r="O62" s="2"/>
      <c r="P62" s="2"/>
      <c r="Q62" s="2"/>
      <c r="R62" s="2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38"/>
        <v>0</v>
      </c>
      <c r="AB62" s="156">
        <f>Poor!AB62</f>
        <v>0.25</v>
      </c>
      <c r="AC62" s="147">
        <f t="shared" si="39"/>
        <v>0</v>
      </c>
      <c r="AD62" s="156">
        <f>Poor!AD62</f>
        <v>0.25</v>
      </c>
      <c r="AE62" s="147">
        <f t="shared" si="40"/>
        <v>0</v>
      </c>
      <c r="AF62" s="122">
        <f t="shared" si="31"/>
        <v>0.25</v>
      </c>
      <c r="AG62" s="147">
        <f t="shared" si="34"/>
        <v>0</v>
      </c>
      <c r="AH62" s="123">
        <f t="shared" si="46"/>
        <v>1</v>
      </c>
      <c r="AI62" s="112">
        <f t="shared" si="46"/>
        <v>0</v>
      </c>
      <c r="AJ62" s="148">
        <f t="shared" si="36"/>
        <v>0</v>
      </c>
      <c r="AK62" s="147">
        <f t="shared" si="37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5" t="str">
        <f>IF(Poor!A63=0,"",Poor!A63)</f>
        <v/>
      </c>
      <c r="B63" s="104">
        <v>0</v>
      </c>
      <c r="C63" s="104">
        <v>0</v>
      </c>
      <c r="D63" s="38">
        <f t="shared" si="25"/>
        <v>0</v>
      </c>
      <c r="E63" s="75">
        <f>Middle!E63</f>
        <v>1</v>
      </c>
      <c r="F63" s="75">
        <f>Middle!F63</f>
        <v>1</v>
      </c>
      <c r="G63" s="22">
        <f t="shared" si="32"/>
        <v>1</v>
      </c>
      <c r="H63" s="24">
        <f t="shared" si="41"/>
        <v>1</v>
      </c>
      <c r="I63" s="39">
        <f t="shared" si="42"/>
        <v>0</v>
      </c>
      <c r="J63" s="38">
        <f t="shared" si="33"/>
        <v>0</v>
      </c>
      <c r="K63" s="40">
        <f t="shared" si="43"/>
        <v>0</v>
      </c>
      <c r="L63" s="22">
        <f t="shared" si="44"/>
        <v>0</v>
      </c>
      <c r="M63" s="24">
        <f t="shared" si="4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38"/>
        <v>0</v>
      </c>
      <c r="AB63" s="156">
        <f>Poor!AB63</f>
        <v>0.25</v>
      </c>
      <c r="AC63" s="147">
        <f t="shared" si="39"/>
        <v>0</v>
      </c>
      <c r="AD63" s="156">
        <f>Poor!AD63</f>
        <v>0.25</v>
      </c>
      <c r="AE63" s="147">
        <f t="shared" si="40"/>
        <v>0</v>
      </c>
      <c r="AF63" s="122">
        <f t="shared" si="31"/>
        <v>0.25</v>
      </c>
      <c r="AG63" s="147">
        <f t="shared" si="34"/>
        <v>0</v>
      </c>
      <c r="AH63" s="123">
        <f t="shared" si="46"/>
        <v>1</v>
      </c>
      <c r="AI63" s="112">
        <f t="shared" si="46"/>
        <v>0</v>
      </c>
      <c r="AJ63" s="148">
        <f t="shared" si="36"/>
        <v>0</v>
      </c>
      <c r="AK63" s="147">
        <f t="shared" si="37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5" t="str">
        <f>IF(Poor!A64=0,"",Poor!A64)</f>
        <v/>
      </c>
      <c r="B64" s="104">
        <v>0</v>
      </c>
      <c r="C64" s="104">
        <v>0</v>
      </c>
      <c r="D64" s="38">
        <f t="shared" si="25"/>
        <v>0</v>
      </c>
      <c r="E64" s="75">
        <f>Middle!E64</f>
        <v>1</v>
      </c>
      <c r="F64" s="75">
        <f>Middle!F64</f>
        <v>1</v>
      </c>
      <c r="G64" s="22">
        <f t="shared" si="32"/>
        <v>1</v>
      </c>
      <c r="H64" s="24">
        <f t="shared" si="41"/>
        <v>1</v>
      </c>
      <c r="I64" s="39">
        <f t="shared" si="42"/>
        <v>0</v>
      </c>
      <c r="J64" s="38">
        <f t="shared" si="33"/>
        <v>0</v>
      </c>
      <c r="K64" s="40">
        <f t="shared" si="43"/>
        <v>0</v>
      </c>
      <c r="L64" s="22">
        <f t="shared" si="44"/>
        <v>0</v>
      </c>
      <c r="M64" s="24">
        <f t="shared" si="4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38"/>
        <v>0</v>
      </c>
      <c r="AB64" s="156">
        <f>Poor!AB64</f>
        <v>0.25</v>
      </c>
      <c r="AC64" s="149">
        <f t="shared" si="39"/>
        <v>0</v>
      </c>
      <c r="AD64" s="156">
        <f>Poor!AD64</f>
        <v>0.25</v>
      </c>
      <c r="AE64" s="149">
        <f t="shared" si="40"/>
        <v>0</v>
      </c>
      <c r="AF64" s="150">
        <f t="shared" si="31"/>
        <v>0.25</v>
      </c>
      <c r="AG64" s="149">
        <f t="shared" si="34"/>
        <v>0</v>
      </c>
      <c r="AH64" s="123">
        <f t="shared" si="46"/>
        <v>1</v>
      </c>
      <c r="AI64" s="112">
        <f t="shared" si="46"/>
        <v>0</v>
      </c>
      <c r="AJ64" s="151">
        <f t="shared" si="36"/>
        <v>0</v>
      </c>
      <c r="AK64" s="149">
        <f t="shared" si="37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215482</v>
      </c>
      <c r="C65" s="39">
        <f>SUM(C37:C64)</f>
        <v>453</v>
      </c>
      <c r="D65" s="42">
        <f>SUM(D37:D64)</f>
        <v>215935</v>
      </c>
      <c r="E65" s="32"/>
      <c r="F65" s="32"/>
      <c r="G65" s="32"/>
      <c r="H65" s="31"/>
      <c r="I65" s="39">
        <f>SUM(I37:I64)</f>
        <v>138778.15</v>
      </c>
      <c r="J65" s="39">
        <f>SUM(J37:J64)</f>
        <v>138115.8032329017</v>
      </c>
      <c r="K65" s="40">
        <f>SUM(K37:K64)</f>
        <v>1.0000000000000002</v>
      </c>
      <c r="L65" s="22">
        <f>SUM(L37:L64)</f>
        <v>0.6409482462572279</v>
      </c>
      <c r="M65" s="24">
        <f>SUM(M37:M64)</f>
        <v>0.64096213712932715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6964.1953756189096</v>
      </c>
      <c r="AB65" s="137"/>
      <c r="AC65" s="153">
        <f>SUM(AC37:AC64)</f>
        <v>5919.9316048307355</v>
      </c>
      <c r="AD65" s="137"/>
      <c r="AE65" s="153">
        <f>SUM(AE37:AE64)</f>
        <v>5901.3156393518748</v>
      </c>
      <c r="AF65" s="137"/>
      <c r="AG65" s="153">
        <f>SUM(AG37:AG64)</f>
        <v>17130.560613100184</v>
      </c>
      <c r="AH65" s="137"/>
      <c r="AI65" s="153">
        <f>SUM(AI37:AI64)</f>
        <v>35916.003232901705</v>
      </c>
      <c r="AJ65" s="153">
        <f>SUM(AJ37:AJ64)</f>
        <v>12884.126980449644</v>
      </c>
      <c r="AK65" s="153">
        <f>SUM(AK37:AK64)</f>
        <v>23031.876252452057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51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256">
        <f>14533.3520267682*7/8</f>
        <v>12716.683023422174</v>
      </c>
      <c r="C70" s="39"/>
      <c r="D70" s="38"/>
      <c r="E70" s="75">
        <f>Middle!E70</f>
        <v>1</v>
      </c>
      <c r="F70" s="75">
        <f>Middle!F70</f>
        <v>1.4</v>
      </c>
      <c r="G70" s="22"/>
      <c r="H70" s="24">
        <f>(E70*F70)</f>
        <v>1.4</v>
      </c>
      <c r="I70" s="39">
        <f>I124*I$83</f>
        <v>17803.356232791044</v>
      </c>
      <c r="J70" s="51">
        <f>J124*I$83</f>
        <v>17803.356232791044</v>
      </c>
      <c r="K70" s="40">
        <f>B70/B$76</f>
        <v>5.9015059371187263E-2</v>
      </c>
      <c r="L70" s="22">
        <f>(L124*G$37*F$9/F$7)/B$130</f>
        <v>8.2621083119662153E-2</v>
      </c>
      <c r="M70" s="24">
        <f>J70/B$76</f>
        <v>8.2621083119662167E-2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4450.839058197761</v>
      </c>
      <c r="AB70" s="156">
        <f>Poor!AB70</f>
        <v>0.25</v>
      </c>
      <c r="AC70" s="147">
        <f>$J70*AB70</f>
        <v>4450.839058197761</v>
      </c>
      <c r="AD70" s="156">
        <f>Poor!AD70</f>
        <v>0.25</v>
      </c>
      <c r="AE70" s="147">
        <f>$J70*AD70</f>
        <v>4450.839058197761</v>
      </c>
      <c r="AF70" s="156">
        <f>Poor!AF70</f>
        <v>0.25</v>
      </c>
      <c r="AG70" s="147">
        <f>$J70*AF70</f>
        <v>4450.839058197761</v>
      </c>
      <c r="AH70" s="155">
        <f>SUM(Z70,AB70,AD70,AF70)</f>
        <v>1</v>
      </c>
      <c r="AI70" s="147">
        <f>SUM(AA70,AC70,AE70,AG70)</f>
        <v>17803.356232791044</v>
      </c>
      <c r="AJ70" s="148">
        <f>(AA70+AC70)</f>
        <v>8901.678116395522</v>
      </c>
      <c r="AK70" s="147">
        <f>(AE70+AG70)</f>
        <v>8901.678116395522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14376.2222222222*7/8</f>
        <v>12579.194444444425</v>
      </c>
      <c r="C71" s="39"/>
      <c r="D71" s="38"/>
      <c r="E71" s="75">
        <f>Middle!E71</f>
        <v>1</v>
      </c>
      <c r="F71" s="75">
        <f>Middle!F71</f>
        <v>1.18</v>
      </c>
      <c r="G71" s="22"/>
      <c r="H71" s="24">
        <f t="shared" ref="H71:H72" si="47">(E71*F71)</f>
        <v>1.18</v>
      </c>
      <c r="I71" s="39">
        <f t="shared" ref="I71:I72" si="48">I125*I$83</f>
        <v>14843.449444444421</v>
      </c>
      <c r="J71" s="51">
        <f t="shared" ref="J71:J72" si="49">J125*I$83</f>
        <v>14843.449444444421</v>
      </c>
      <c r="K71" s="40"/>
      <c r="L71" s="22"/>
      <c r="M71" s="24"/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26588*7/8</f>
        <v>23264.5</v>
      </c>
      <c r="C72" s="39"/>
      <c r="D72" s="38"/>
      <c r="E72" s="75">
        <f>Middle!E72</f>
        <v>1</v>
      </c>
      <c r="F72" s="75">
        <f>Middle!F72</f>
        <v>1.18</v>
      </c>
      <c r="G72" s="22"/>
      <c r="H72" s="24">
        <f t="shared" si="47"/>
        <v>1.18</v>
      </c>
      <c r="I72" s="39">
        <f t="shared" si="48"/>
        <v>0</v>
      </c>
      <c r="J72" s="51">
        <f t="shared" si="49"/>
        <v>27452.109999999997</v>
      </c>
      <c r="K72" s="40"/>
      <c r="L72" s="22"/>
      <c r="M72" s="24"/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v>16518.75</v>
      </c>
      <c r="C73" s="39"/>
      <c r="D73" s="38"/>
      <c r="E73" s="75">
        <f>Middle!E73</f>
        <v>1</v>
      </c>
      <c r="F73" s="75">
        <f>Middle!F73</f>
        <v>1.18</v>
      </c>
      <c r="G73" s="22"/>
      <c r="H73" s="24">
        <f>(E73*F73)</f>
        <v>1.18</v>
      </c>
      <c r="I73" s="39">
        <f>I127*I$83</f>
        <v>0</v>
      </c>
      <c r="J73" s="51">
        <f>J127*I$83</f>
        <v>19492.125</v>
      </c>
      <c r="K73" s="40">
        <f>B73/B$76</f>
        <v>7.6659535367223253E-2</v>
      </c>
      <c r="L73" s="22">
        <f>(L127*G$37*F$9/F$7)/B$130</f>
        <v>9.0458251733323419E-2</v>
      </c>
      <c r="M73" s="24">
        <f>J73/B$76</f>
        <v>9.0458251733323433E-2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1754.29125</v>
      </c>
      <c r="AB73" s="156">
        <f>Poor!AB73</f>
        <v>0.09</v>
      </c>
      <c r="AC73" s="147">
        <f>$H$73*$B$73*AB73</f>
        <v>1754.29125</v>
      </c>
      <c r="AD73" s="156">
        <f>Poor!AD73</f>
        <v>0.23</v>
      </c>
      <c r="AE73" s="147">
        <f>$H$73*$B$73*AD73</f>
        <v>4483.1887500000003</v>
      </c>
      <c r="AF73" s="156">
        <f>Poor!AF73</f>
        <v>0.59</v>
      </c>
      <c r="AG73" s="147">
        <f>$H$73*$B$73*AF73</f>
        <v>11500.35375</v>
      </c>
      <c r="AH73" s="155">
        <f>SUM(Z73,AB73,AD73,AF73)</f>
        <v>1</v>
      </c>
      <c r="AI73" s="147">
        <f>SUM(AA73,AC73,AE73,AG73)</f>
        <v>19492.125</v>
      </c>
      <c r="AJ73" s="148">
        <f>(AA73+AC73)</f>
        <v>3508.5825</v>
      </c>
      <c r="AK73" s="147">
        <f>(AE73+AG73)</f>
        <v>15983.5425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8223.36426262245</v>
      </c>
      <c r="C74" s="39"/>
      <c r="D74" s="38"/>
      <c r="E74" s="32"/>
      <c r="F74" s="32"/>
      <c r="G74" s="32"/>
      <c r="H74" s="31"/>
      <c r="I74" s="39">
        <f>I128*I$83</f>
        <v>120974.79376720898</v>
      </c>
      <c r="J74" s="51">
        <f>J128*I$83</f>
        <v>5313.8780757875757</v>
      </c>
      <c r="K74" s="40">
        <f>B74/B$76</f>
        <v>3.8162650535183681E-2</v>
      </c>
      <c r="L74" s="22">
        <f>(L128*G$37*F$9/F$7)/B$130</f>
        <v>2.2643555163466115E-2</v>
      </c>
      <c r="M74" s="24">
        <f>J74/B$76</f>
        <v>2.4660426744635634E-2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AA30*$I$83/4</f>
        <v>1157.6601479719629</v>
      </c>
      <c r="AB74" s="156"/>
      <c r="AC74" s="147">
        <f>AC30*$I$83/4</f>
        <v>1469.0925466329752</v>
      </c>
      <c r="AD74" s="156"/>
      <c r="AE74" s="147">
        <f>AE30*$I$83/4</f>
        <v>1450.4765811541145</v>
      </c>
      <c r="AF74" s="156"/>
      <c r="AG74" s="147">
        <f>AG30*$I$83/4</f>
        <v>1239.3601259983295</v>
      </c>
      <c r="AH74" s="155"/>
      <c r="AI74" s="147">
        <f>SUM(AA74,AC74,AE74,AG74)</f>
        <v>5316.5894017573828</v>
      </c>
      <c r="AJ74" s="148">
        <f>(AA74+AC74)</f>
        <v>2626.7526946049384</v>
      </c>
      <c r="AK74" s="147">
        <f>(AE74+AG74)</f>
        <v>2689.836707152444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142179.50826951099</v>
      </c>
      <c r="C75" s="39"/>
      <c r="D75" s="38"/>
      <c r="E75" s="32"/>
      <c r="F75" s="32"/>
      <c r="G75" s="32"/>
      <c r="H75" s="31"/>
      <c r="I75" s="47"/>
      <c r="J75" s="51">
        <f>J129*I$83</f>
        <v>53210.884479878689</v>
      </c>
      <c r="K75" s="40">
        <f>B75/B$76</f>
        <v>0.65982081226975331</v>
      </c>
      <c r="L75" s="22">
        <f>(L129*G$37*F$9/F$7)/B$130</f>
        <v>0.24894186414192612</v>
      </c>
      <c r="M75" s="24">
        <f>J75/B$76</f>
        <v>0.24693888343285605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1355.6961694491856</v>
      </c>
      <c r="AB75" s="158"/>
      <c r="AC75" s="149">
        <f>AA75+AC65-SUM(AC70,AC74)</f>
        <v>1355.6961694491847</v>
      </c>
      <c r="AD75" s="158"/>
      <c r="AE75" s="149">
        <f>AC75+AE65-SUM(AE70,AE74)</f>
        <v>1355.6961694491838</v>
      </c>
      <c r="AF75" s="158"/>
      <c r="AG75" s="149">
        <f>IF(SUM(AG6:AG29)+((AG65-AG70-$J$75)*4/I$83)&lt;1,0,AG65-AG70-$J$75-(1-SUM(AG6:AG29))*I$83/4)</f>
        <v>0</v>
      </c>
      <c r="AH75" s="134"/>
      <c r="AI75" s="149">
        <f>AI76-SUM(AI70,AI74)</f>
        <v>12796.057598353276</v>
      </c>
      <c r="AJ75" s="151">
        <f>AJ76-SUM(AJ70,AJ74)</f>
        <v>1355.6961694491838</v>
      </c>
      <c r="AK75" s="149">
        <f>AJ75+AK76-SUM(AK70,AK74)</f>
        <v>12796.057598353274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215482</v>
      </c>
      <c r="C76" s="39"/>
      <c r="D76" s="38"/>
      <c r="E76" s="32"/>
      <c r="F76" s="32"/>
      <c r="G76" s="32"/>
      <c r="H76" s="31"/>
      <c r="I76" s="39">
        <f>I130*I$83</f>
        <v>138778.15000000002</v>
      </c>
      <c r="J76" s="51">
        <f>J130*I$83</f>
        <v>138115.80323290173</v>
      </c>
      <c r="K76" s="40">
        <f>SUM(K70:K75)</f>
        <v>0.83365805754334743</v>
      </c>
      <c r="L76" s="22">
        <f>SUM(L70:L75)</f>
        <v>0.44466475415837781</v>
      </c>
      <c r="M76" s="24">
        <f>SUM(M70:M75)</f>
        <v>0.44467864503047727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6964.1953756189096</v>
      </c>
      <c r="AB76" s="137"/>
      <c r="AC76" s="153">
        <f>AC65</f>
        <v>5919.9316048307355</v>
      </c>
      <c r="AD76" s="137"/>
      <c r="AE76" s="153">
        <f>AE65</f>
        <v>5901.3156393518748</v>
      </c>
      <c r="AF76" s="137"/>
      <c r="AG76" s="153">
        <f>AG65</f>
        <v>17130.560613100184</v>
      </c>
      <c r="AH76" s="137"/>
      <c r="AI76" s="153">
        <f>SUM(AA76,AC76,AE76,AG76)</f>
        <v>35916.003232901705</v>
      </c>
      <c r="AJ76" s="154">
        <f>SUM(AA76,AC76)</f>
        <v>12884.126980449644</v>
      </c>
      <c r="AK76" s="154">
        <f>SUM(AE76,AG76)</f>
        <v>23031.876252452057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14843.449444444426</v>
      </c>
      <c r="J77" s="100">
        <f>J131*I$83</f>
        <v>0</v>
      </c>
      <c r="K77" s="40"/>
      <c r="L77" s="22">
        <f>-(L131*G$37*F$9/F$7)/B$130</f>
        <v>0</v>
      </c>
      <c r="M77" s="24">
        <f>-J77/B$76</f>
        <v>0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AA31*$I$83/4</f>
        <v>0</v>
      </c>
      <c r="AB77" s="112"/>
      <c r="AC77" s="111">
        <f>AC31*$I$83/4</f>
        <v>0</v>
      </c>
      <c r="AD77" s="112"/>
      <c r="AE77" s="111">
        <f>AE31*$I$83/4</f>
        <v>0</v>
      </c>
      <c r="AF77" s="112"/>
      <c r="AG77" s="111">
        <f>AG31*$I$83/4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>
        <f>IF(AA75&lt;0,0,AA75)</f>
        <v>1355.6961694491856</v>
      </c>
      <c r="AD78" s="112"/>
      <c r="AE78" s="112">
        <f>AC75</f>
        <v>1355.6961694491847</v>
      </c>
      <c r="AF78" s="112"/>
      <c r="AG78" s="112">
        <f>AE75</f>
        <v>1355.6961694491838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230" t="s">
        <v>186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2513.3563174211486</v>
      </c>
      <c r="AB79" s="112"/>
      <c r="AC79" s="112">
        <f>AA79-AA74+AC65-AC70</f>
        <v>2824.7887160821601</v>
      </c>
      <c r="AD79" s="112"/>
      <c r="AE79" s="112">
        <f>AC79-AC74+AE65-AE70</f>
        <v>2806.1727506032985</v>
      </c>
      <c r="AF79" s="112"/>
      <c r="AG79" s="112">
        <f>AE79-AE74+AG65-AG70</f>
        <v>14035.417724351606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v>0.66091214045306179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30">
        <v>7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v>7.1446277643945102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12064.636488833721</v>
      </c>
      <c r="C83" s="39"/>
      <c r="D83" s="38"/>
      <c r="E83" s="32"/>
      <c r="F83" s="32"/>
      <c r="G83" s="32"/>
      <c r="H83" s="24">
        <f>G$37*F$9/F$7</f>
        <v>1</v>
      </c>
      <c r="I83" s="39">
        <f xml:space="preserve"> B83*H83</f>
        <v>12064.636488833721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$I$83*Z82/4</f>
        <v>3016.1591222084303</v>
      </c>
      <c r="AB83" s="112"/>
      <c r="AC83" s="165">
        <f>$I$83*AB82/4</f>
        <v>3016.1591222084303</v>
      </c>
      <c r="AD83" s="112"/>
      <c r="AE83" s="165">
        <f>$I$83*AD82/4</f>
        <v>3016.1591222084303</v>
      </c>
      <c r="AF83" s="112"/>
      <c r="AG83" s="165">
        <f>$I$83*AF82/4</f>
        <v>3016.1591222084303</v>
      </c>
      <c r="AH83" s="165">
        <f>SUM(AA83,AC83,AE83,AG83)</f>
        <v>12064.636488833721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4">
        <f>B70+((1-D29)*B83)</f>
        <v>22069.151085338442</v>
      </c>
      <c r="C84" s="46"/>
      <c r="D84" s="235"/>
      <c r="E84" s="64"/>
      <c r="F84" s="64"/>
      <c r="G84" s="64"/>
      <c r="H84" s="236">
        <f>IF(B84=0,0,I84/B84)</f>
        <v>1.2304879417291308</v>
      </c>
      <c r="I84" s="234">
        <f>(B70*H70)+((1-(D29*H29))*I83)</f>
        <v>27155.824294707312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/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Better-off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50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50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>IF(A37="","",A37)</f>
        <v>Cattle sales - local: no. sold</v>
      </c>
      <c r="B91" s="75">
        <f>(B37/$B$83)</f>
        <v>1.3406951809091452</v>
      </c>
      <c r="C91" s="75">
        <f>(C37/$B$83)</f>
        <v>8.2886873626531382E-2</v>
      </c>
      <c r="D91" s="24">
        <f t="shared" ref="D91" si="51">(B91+C91)</f>
        <v>1.4235820545356765</v>
      </c>
      <c r="H91" s="24">
        <f>(E37*F37/G37*F$7/F$9)</f>
        <v>0.59</v>
      </c>
      <c r="I91" s="22">
        <f t="shared" ref="I91" si="52">(D91*H91)</f>
        <v>0.83991341217604909</v>
      </c>
      <c r="J91" s="24">
        <f>IF(I$32&lt;=1+I$131,I91,L91+J$33*(I91-L91))</f>
        <v>0.79123016279823233</v>
      </c>
      <c r="K91" s="22">
        <f t="shared" ref="K91" si="53">(B91)</f>
        <v>1.3406951809091452</v>
      </c>
      <c r="L91" s="22">
        <f t="shared" ref="L91" si="54">(K91*H91)</f>
        <v>0.79101015673639563</v>
      </c>
      <c r="M91" s="227">
        <f t="shared" si="50"/>
        <v>0.79123016279823233</v>
      </c>
      <c r="N91" s="229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ref="A92:A118" si="55">IF(A38="","",A38)</f>
        <v>Goat sales - local: no. sold</v>
      </c>
      <c r="B92" s="75">
        <f t="shared" ref="B92:C92" si="56">(B38/$B$83)</f>
        <v>0.40614568077000379</v>
      </c>
      <c r="C92" s="75">
        <f t="shared" si="56"/>
        <v>0.12847465412112366</v>
      </c>
      <c r="D92" s="24">
        <f t="shared" ref="D92:D118" si="57">(B92+C92)</f>
        <v>0.53462033489112748</v>
      </c>
      <c r="H92" s="24">
        <f t="shared" ref="H92:H118" si="58">(E38*F38/G38*F$7/F$9)</f>
        <v>0.59</v>
      </c>
      <c r="I92" s="22">
        <f t="shared" ref="I92:I118" si="59">(D92*H92)</f>
        <v>0.31542599758576517</v>
      </c>
      <c r="J92" s="24">
        <f t="shared" ref="J92:J118" si="60">IF(I$32&lt;=1+I$131,I92,L92+J$33*(I92-L92))</f>
        <v>0.23996696105014906</v>
      </c>
      <c r="K92" s="22">
        <f t="shared" ref="K92:K118" si="61">(B92)</f>
        <v>0.40614568077000379</v>
      </c>
      <c r="L92" s="22">
        <f t="shared" ref="L92:L118" si="62">(K92*H92)</f>
        <v>0.23962595165430223</v>
      </c>
      <c r="M92" s="227">
        <f t="shared" ref="M92:M118" si="63">(J92)</f>
        <v>0.23996696105014906</v>
      </c>
      <c r="N92" s="229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5"/>
        <v>Sheep sales - local: no. sold</v>
      </c>
      <c r="B93" s="75">
        <f t="shared" ref="B93:C93" si="64">(B39/$B$83)</f>
        <v>9.9464248351837661E-2</v>
      </c>
      <c r="C93" s="75">
        <f t="shared" si="64"/>
        <v>0</v>
      </c>
      <c r="D93" s="24">
        <f t="shared" si="57"/>
        <v>9.9464248351837661E-2</v>
      </c>
      <c r="H93" s="24">
        <f t="shared" si="58"/>
        <v>0.59</v>
      </c>
      <c r="I93" s="22">
        <f t="shared" si="59"/>
        <v>5.868390652758422E-2</v>
      </c>
      <c r="J93" s="24">
        <f t="shared" si="60"/>
        <v>5.868390652758422E-2</v>
      </c>
      <c r="K93" s="22">
        <f t="shared" si="61"/>
        <v>9.9464248351837661E-2</v>
      </c>
      <c r="L93" s="22">
        <f t="shared" si="62"/>
        <v>5.868390652758422E-2</v>
      </c>
      <c r="M93" s="227">
        <f t="shared" si="63"/>
        <v>5.868390652758422E-2</v>
      </c>
      <c r="N93" s="229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5"/>
        <v>Chicken sales: no. sold</v>
      </c>
      <c r="B94" s="75">
        <f t="shared" ref="B94:C94" si="65">(B40/$B$83)</f>
        <v>0</v>
      </c>
      <c r="C94" s="75">
        <f t="shared" si="65"/>
        <v>0</v>
      </c>
      <c r="D94" s="24">
        <f t="shared" si="57"/>
        <v>0</v>
      </c>
      <c r="H94" s="24">
        <f t="shared" si="58"/>
        <v>1.18</v>
      </c>
      <c r="I94" s="22">
        <f t="shared" si="59"/>
        <v>0</v>
      </c>
      <c r="J94" s="24">
        <f t="shared" si="60"/>
        <v>0</v>
      </c>
      <c r="K94" s="22">
        <f t="shared" si="61"/>
        <v>0</v>
      </c>
      <c r="L94" s="22">
        <f t="shared" si="62"/>
        <v>0</v>
      </c>
      <c r="M94" s="227">
        <f t="shared" si="63"/>
        <v>0</v>
      </c>
      <c r="N94" s="229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5"/>
        <v>Maize: kg produced</v>
      </c>
      <c r="B95" s="75">
        <f t="shared" ref="B95:C95" si="66">(B41/$B$83)</f>
        <v>0.1491963725277565</v>
      </c>
      <c r="C95" s="75">
        <f t="shared" si="66"/>
        <v>-0.1491963725277565</v>
      </c>
      <c r="D95" s="24">
        <f t="shared" si="57"/>
        <v>0</v>
      </c>
      <c r="H95" s="24">
        <f t="shared" si="58"/>
        <v>0.42</v>
      </c>
      <c r="I95" s="22">
        <f t="shared" si="59"/>
        <v>0</v>
      </c>
      <c r="J95" s="24">
        <f t="shared" si="60"/>
        <v>6.2380570389202611E-2</v>
      </c>
      <c r="K95" s="22">
        <f t="shared" si="61"/>
        <v>0.1491963725277565</v>
      </c>
      <c r="L95" s="22">
        <f t="shared" si="62"/>
        <v>6.2662476461657721E-2</v>
      </c>
      <c r="M95" s="227">
        <f t="shared" si="63"/>
        <v>6.2380570389202611E-2</v>
      </c>
      <c r="N95" s="229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5"/>
        <v>Beans: kg produced</v>
      </c>
      <c r="B96" s="75">
        <f t="shared" ref="B96:C96" si="67">(B42/$B$83)</f>
        <v>0.30087935126430893</v>
      </c>
      <c r="C96" s="75">
        <f t="shared" si="67"/>
        <v>0</v>
      </c>
      <c r="D96" s="24">
        <f t="shared" si="57"/>
        <v>0.30087935126430893</v>
      </c>
      <c r="H96" s="24">
        <f t="shared" si="58"/>
        <v>0.27999999999999997</v>
      </c>
      <c r="I96" s="22">
        <f t="shared" si="59"/>
        <v>8.4246218354006489E-2</v>
      </c>
      <c r="J96" s="24">
        <f t="shared" si="60"/>
        <v>8.4246218354006489E-2</v>
      </c>
      <c r="K96" s="22">
        <f t="shared" si="61"/>
        <v>0.30087935126430893</v>
      </c>
      <c r="L96" s="22">
        <f t="shared" si="62"/>
        <v>8.4246218354006489E-2</v>
      </c>
      <c r="M96" s="227">
        <f t="shared" si="63"/>
        <v>8.4246218354006489E-2</v>
      </c>
      <c r="N96" s="229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5"/>
        <v>potatoes: kg produced</v>
      </c>
      <c r="B97" s="75">
        <f t="shared" ref="B97:C97" si="68">(B43/$B$83)</f>
        <v>1.7903564703330779E-2</v>
      </c>
      <c r="C97" s="75">
        <f t="shared" si="68"/>
        <v>-1.7903564703330779E-2</v>
      </c>
      <c r="D97" s="24">
        <f t="shared" si="57"/>
        <v>0</v>
      </c>
      <c r="H97" s="24">
        <f t="shared" si="58"/>
        <v>0.27999999999999997</v>
      </c>
      <c r="I97" s="22">
        <f t="shared" si="59"/>
        <v>0</v>
      </c>
      <c r="J97" s="24">
        <f t="shared" si="60"/>
        <v>4.9904456311362089E-3</v>
      </c>
      <c r="K97" s="22">
        <f t="shared" si="61"/>
        <v>1.7903564703330779E-2</v>
      </c>
      <c r="L97" s="22">
        <f t="shared" si="62"/>
        <v>5.0129981169326175E-3</v>
      </c>
      <c r="M97" s="227">
        <f t="shared" si="63"/>
        <v>4.9904456311362089E-3</v>
      </c>
      <c r="N97" s="229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5"/>
        <v>Amadumbe: kg produced</v>
      </c>
      <c r="B98" s="75">
        <f t="shared" ref="B98:C98" si="69">(B44/$B$83)</f>
        <v>6.7138367637490422E-3</v>
      </c>
      <c r="C98" s="75">
        <f t="shared" si="69"/>
        <v>-6.7138367637490422E-3</v>
      </c>
      <c r="D98" s="24">
        <f t="shared" si="57"/>
        <v>0</v>
      </c>
      <c r="H98" s="24">
        <f t="shared" si="58"/>
        <v>0.27999999999999997</v>
      </c>
      <c r="I98" s="22">
        <f t="shared" si="59"/>
        <v>0</v>
      </c>
      <c r="J98" s="24">
        <f t="shared" si="60"/>
        <v>1.8714171116760781E-3</v>
      </c>
      <c r="K98" s="22">
        <f t="shared" si="61"/>
        <v>6.7138367637490422E-3</v>
      </c>
      <c r="L98" s="22">
        <f t="shared" si="62"/>
        <v>1.8798742938497316E-3</v>
      </c>
      <c r="M98" s="227">
        <f t="shared" si="63"/>
        <v>1.8714171116760781E-3</v>
      </c>
      <c r="N98" s="229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5"/>
        <v>Sweet Potatoes: kg produced</v>
      </c>
      <c r="B99" s="75">
        <f t="shared" ref="B99:C99" si="70">(B45/$B$83)</f>
        <v>0</v>
      </c>
      <c r="C99" s="75">
        <f t="shared" si="70"/>
        <v>0</v>
      </c>
      <c r="D99" s="24">
        <f t="shared" si="57"/>
        <v>0</v>
      </c>
      <c r="H99" s="24">
        <f t="shared" si="58"/>
        <v>0.27999999999999997</v>
      </c>
      <c r="I99" s="22">
        <f t="shared" si="59"/>
        <v>0</v>
      </c>
      <c r="J99" s="24">
        <f t="shared" si="60"/>
        <v>0</v>
      </c>
      <c r="K99" s="22">
        <f t="shared" si="61"/>
        <v>0</v>
      </c>
      <c r="L99" s="22">
        <f t="shared" si="62"/>
        <v>0</v>
      </c>
      <c r="M99" s="227">
        <f t="shared" si="63"/>
        <v>0</v>
      </c>
      <c r="N99" s="229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5"/>
        <v>Other crop: Cabbage</v>
      </c>
      <c r="B100" s="75">
        <f t="shared" ref="B100:C100" si="71">(B46/$B$83)</f>
        <v>0</v>
      </c>
      <c r="C100" s="75">
        <f t="shared" si="71"/>
        <v>0</v>
      </c>
      <c r="D100" s="24">
        <f t="shared" si="57"/>
        <v>0</v>
      </c>
      <c r="H100" s="24">
        <f t="shared" si="58"/>
        <v>0.27999999999999997</v>
      </c>
      <c r="I100" s="22">
        <f t="shared" si="59"/>
        <v>0</v>
      </c>
      <c r="J100" s="24">
        <f t="shared" si="60"/>
        <v>0</v>
      </c>
      <c r="K100" s="22">
        <f t="shared" si="61"/>
        <v>0</v>
      </c>
      <c r="L100" s="22">
        <f t="shared" si="62"/>
        <v>0</v>
      </c>
      <c r="M100" s="227">
        <f t="shared" si="63"/>
        <v>0</v>
      </c>
      <c r="N100" s="229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5"/>
        <v>beetroot: no. local meas</v>
      </c>
      <c r="B101" s="75">
        <f t="shared" ref="B101:C101" si="72">(B47/$B$83)</f>
        <v>0</v>
      </c>
      <c r="C101" s="75">
        <f t="shared" si="72"/>
        <v>0</v>
      </c>
      <c r="D101" s="24">
        <f t="shared" si="57"/>
        <v>0</v>
      </c>
      <c r="H101" s="24">
        <f t="shared" si="58"/>
        <v>0.27999999999999997</v>
      </c>
      <c r="I101" s="22">
        <f t="shared" si="59"/>
        <v>0</v>
      </c>
      <c r="J101" s="24">
        <f t="shared" si="60"/>
        <v>0</v>
      </c>
      <c r="K101" s="22">
        <f t="shared" si="61"/>
        <v>0</v>
      </c>
      <c r="L101" s="22">
        <f t="shared" si="62"/>
        <v>0</v>
      </c>
      <c r="M101" s="227">
        <f t="shared" si="63"/>
        <v>0</v>
      </c>
      <c r="N101" s="229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5"/>
        <v>Spinach: no produced</v>
      </c>
      <c r="B102" s="75">
        <f t="shared" ref="B102:C102" si="73">(B48/$B$83)</f>
        <v>0</v>
      </c>
      <c r="C102" s="75">
        <f t="shared" si="73"/>
        <v>0</v>
      </c>
      <c r="D102" s="24">
        <f t="shared" si="57"/>
        <v>0</v>
      </c>
      <c r="H102" s="24">
        <f t="shared" si="58"/>
        <v>0.27999999999999997</v>
      </c>
      <c r="I102" s="22">
        <f t="shared" si="59"/>
        <v>0</v>
      </c>
      <c r="J102" s="24">
        <f t="shared" si="60"/>
        <v>0</v>
      </c>
      <c r="K102" s="22">
        <f t="shared" si="61"/>
        <v>0</v>
      </c>
      <c r="L102" s="22">
        <f t="shared" si="62"/>
        <v>0</v>
      </c>
      <c r="M102" s="227">
        <f t="shared" si="63"/>
        <v>0</v>
      </c>
      <c r="N102" s="229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5"/>
        <v>Other crop: pumpkin</v>
      </c>
      <c r="B103" s="75">
        <f t="shared" ref="B103:C103" si="74">(B49/$B$83)</f>
        <v>0</v>
      </c>
      <c r="C103" s="75">
        <f t="shared" si="74"/>
        <v>0</v>
      </c>
      <c r="D103" s="24">
        <f t="shared" si="57"/>
        <v>0</v>
      </c>
      <c r="H103" s="24">
        <f t="shared" si="58"/>
        <v>0.27999999999999997</v>
      </c>
      <c r="I103" s="22">
        <f t="shared" si="59"/>
        <v>0</v>
      </c>
      <c r="J103" s="24">
        <f t="shared" si="60"/>
        <v>0</v>
      </c>
      <c r="K103" s="22">
        <f t="shared" si="61"/>
        <v>0</v>
      </c>
      <c r="L103" s="22">
        <f t="shared" si="62"/>
        <v>0</v>
      </c>
      <c r="M103" s="227">
        <f t="shared" si="63"/>
        <v>0</v>
      </c>
      <c r="N103" s="229">
        <v>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5"/>
        <v>Other cashcrop: sugar cane (tons)</v>
      </c>
      <c r="B104" s="75">
        <f t="shared" ref="B104:C104" si="75">(B50/$B$83)</f>
        <v>0.82886873626531388</v>
      </c>
      <c r="C104" s="75">
        <f t="shared" si="75"/>
        <v>0</v>
      </c>
      <c r="D104" s="24">
        <f t="shared" si="57"/>
        <v>0.82886873626531388</v>
      </c>
      <c r="H104" s="24">
        <f t="shared" si="58"/>
        <v>0.27999999999999997</v>
      </c>
      <c r="I104" s="22">
        <f t="shared" si="59"/>
        <v>0.23208324615428785</v>
      </c>
      <c r="J104" s="24">
        <f t="shared" si="60"/>
        <v>0.23208324615428785</v>
      </c>
      <c r="K104" s="22">
        <f t="shared" si="61"/>
        <v>0.82886873626531388</v>
      </c>
      <c r="L104" s="22">
        <f t="shared" si="62"/>
        <v>0.23208324615428785</v>
      </c>
      <c r="M104" s="227">
        <f t="shared" si="63"/>
        <v>0.23208324615428785</v>
      </c>
      <c r="N104" s="229">
        <v>2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5"/>
        <v>Agricultural cash income -- see Data2</v>
      </c>
      <c r="B105" s="75">
        <f t="shared" ref="B105:C105" si="76">(B51/$B$83)</f>
        <v>0</v>
      </c>
      <c r="C105" s="75">
        <f t="shared" si="76"/>
        <v>0</v>
      </c>
      <c r="D105" s="24">
        <f t="shared" si="57"/>
        <v>0</v>
      </c>
      <c r="H105" s="24">
        <f t="shared" si="58"/>
        <v>0.55500000000000005</v>
      </c>
      <c r="I105" s="22">
        <f t="shared" si="59"/>
        <v>0</v>
      </c>
      <c r="J105" s="24">
        <f t="shared" si="60"/>
        <v>0</v>
      </c>
      <c r="K105" s="22">
        <f t="shared" si="61"/>
        <v>0</v>
      </c>
      <c r="L105" s="22">
        <f t="shared" si="62"/>
        <v>0</v>
      </c>
      <c r="M105" s="227">
        <f t="shared" si="63"/>
        <v>0</v>
      </c>
      <c r="N105" s="229">
        <v>7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5"/>
        <v>Construction cash income -- see Data2</v>
      </c>
      <c r="B106" s="75">
        <f t="shared" ref="B106:C106" si="77">(B52/$B$83)</f>
        <v>0</v>
      </c>
      <c r="C106" s="75">
        <f t="shared" si="77"/>
        <v>0</v>
      </c>
      <c r="D106" s="24">
        <f t="shared" si="57"/>
        <v>0</v>
      </c>
      <c r="H106" s="24">
        <f t="shared" si="58"/>
        <v>0.55500000000000005</v>
      </c>
      <c r="I106" s="22">
        <f t="shared" si="59"/>
        <v>0</v>
      </c>
      <c r="J106" s="24">
        <f t="shared" si="60"/>
        <v>0</v>
      </c>
      <c r="K106" s="22">
        <f t="shared" si="61"/>
        <v>0</v>
      </c>
      <c r="L106" s="22">
        <f t="shared" si="62"/>
        <v>0</v>
      </c>
      <c r="M106" s="227">
        <f t="shared" si="63"/>
        <v>0</v>
      </c>
      <c r="N106" s="229">
        <v>7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si="55"/>
        <v>Domestic work cash income -- see Data2</v>
      </c>
      <c r="B107" s="75">
        <f t="shared" ref="B107:C107" si="78">(B53/$B$83)</f>
        <v>0</v>
      </c>
      <c r="C107" s="75">
        <f t="shared" si="78"/>
        <v>0</v>
      </c>
      <c r="D107" s="24">
        <f t="shared" si="57"/>
        <v>0</v>
      </c>
      <c r="H107" s="24">
        <f t="shared" si="58"/>
        <v>0.55500000000000005</v>
      </c>
      <c r="I107" s="22">
        <f t="shared" si="59"/>
        <v>0</v>
      </c>
      <c r="J107" s="24">
        <f t="shared" si="60"/>
        <v>0</v>
      </c>
      <c r="K107" s="22">
        <f t="shared" si="61"/>
        <v>0</v>
      </c>
      <c r="L107" s="22">
        <f t="shared" si="62"/>
        <v>0</v>
      </c>
      <c r="M107" s="227">
        <f t="shared" si="63"/>
        <v>0</v>
      </c>
      <c r="N107" s="229">
        <v>7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5"/>
        <v>Formal Employment (conservancies, etc.)</v>
      </c>
      <c r="B108" s="75">
        <f t="shared" ref="B108:C108" si="79">(B54/$B$83)</f>
        <v>5.9678549011102602</v>
      </c>
      <c r="C108" s="75">
        <f t="shared" si="79"/>
        <v>0</v>
      </c>
      <c r="D108" s="24">
        <f t="shared" si="57"/>
        <v>5.9678549011102602</v>
      </c>
      <c r="H108" s="24">
        <f t="shared" si="58"/>
        <v>0.47199999999999992</v>
      </c>
      <c r="I108" s="22">
        <f t="shared" si="59"/>
        <v>2.8168275133240424</v>
      </c>
      <c r="J108" s="24">
        <f t="shared" si="60"/>
        <v>2.8168275133240424</v>
      </c>
      <c r="K108" s="22">
        <f t="shared" si="61"/>
        <v>5.9678549011102602</v>
      </c>
      <c r="L108" s="22">
        <f t="shared" si="62"/>
        <v>2.8168275133240424</v>
      </c>
      <c r="M108" s="227">
        <f t="shared" si="63"/>
        <v>2.8168275133240424</v>
      </c>
      <c r="N108" s="229">
        <v>8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5"/>
        <v>Labour migration(formal employment): no. people per HH</v>
      </c>
      <c r="B109" s="75">
        <f t="shared" ref="B109:C109" si="80">(B55/$B$83)</f>
        <v>3.1331238230828866</v>
      </c>
      <c r="C109" s="75">
        <f t="shared" si="80"/>
        <v>0</v>
      </c>
      <c r="D109" s="24">
        <f t="shared" si="57"/>
        <v>3.1331238230828866</v>
      </c>
      <c r="H109" s="24">
        <f t="shared" si="58"/>
        <v>0.47199999999999992</v>
      </c>
      <c r="I109" s="22">
        <f t="shared" si="59"/>
        <v>1.4788344444951222</v>
      </c>
      <c r="J109" s="24">
        <f t="shared" si="60"/>
        <v>1.4788344444951222</v>
      </c>
      <c r="K109" s="22">
        <f t="shared" si="61"/>
        <v>3.1331238230828866</v>
      </c>
      <c r="L109" s="22">
        <f t="shared" si="62"/>
        <v>1.4788344444951222</v>
      </c>
      <c r="M109" s="227">
        <f t="shared" si="63"/>
        <v>1.4788344444951222</v>
      </c>
      <c r="N109" s="229">
        <v>8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5"/>
        <v>Small business -- see Data2</v>
      </c>
      <c r="B110" s="75">
        <f t="shared" ref="B110:C110" si="81">(B56/$B$83)</f>
        <v>3.5931459717101357</v>
      </c>
      <c r="C110" s="75">
        <f t="shared" si="81"/>
        <v>0</v>
      </c>
      <c r="D110" s="24">
        <f t="shared" si="57"/>
        <v>3.5931459717101357</v>
      </c>
      <c r="H110" s="24">
        <f t="shared" si="58"/>
        <v>0.94399999999999984</v>
      </c>
      <c r="I110" s="22">
        <f t="shared" si="59"/>
        <v>3.3919297972943676</v>
      </c>
      <c r="J110" s="24">
        <f t="shared" si="60"/>
        <v>3.3919297972943676</v>
      </c>
      <c r="K110" s="22">
        <f t="shared" si="61"/>
        <v>3.5931459717101357</v>
      </c>
      <c r="L110" s="22">
        <f t="shared" si="62"/>
        <v>3.3919297972943676</v>
      </c>
      <c r="M110" s="227">
        <f t="shared" si="63"/>
        <v>3.3919297972943676</v>
      </c>
      <c r="N110" s="229">
        <v>11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5"/>
        <v>Social development -- see Data2</v>
      </c>
      <c r="B111" s="75">
        <f t="shared" ref="B111:C111" si="82">(B57/$B$83)</f>
        <v>0.66392385774851637</v>
      </c>
      <c r="C111" s="75">
        <f t="shared" si="82"/>
        <v>0</v>
      </c>
      <c r="D111" s="24">
        <f t="shared" si="57"/>
        <v>0.66392385774851637</v>
      </c>
      <c r="H111" s="24">
        <f t="shared" si="58"/>
        <v>1.18</v>
      </c>
      <c r="I111" s="22">
        <f t="shared" si="59"/>
        <v>0.78343015214324929</v>
      </c>
      <c r="J111" s="24">
        <f t="shared" si="60"/>
        <v>0.78343015214324929</v>
      </c>
      <c r="K111" s="22">
        <f t="shared" si="61"/>
        <v>0.66392385774851637</v>
      </c>
      <c r="L111" s="22">
        <f t="shared" si="62"/>
        <v>0.78343015214324929</v>
      </c>
      <c r="M111" s="227">
        <f t="shared" si="63"/>
        <v>0.78343015214324929</v>
      </c>
      <c r="N111" s="229">
        <v>14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5"/>
        <v>Public works -- see Data2</v>
      </c>
      <c r="B112" s="75">
        <f t="shared" ref="B112:C112" si="83">(B58/$B$83)</f>
        <v>0</v>
      </c>
      <c r="C112" s="75">
        <f t="shared" si="83"/>
        <v>0</v>
      </c>
      <c r="D112" s="24">
        <f t="shared" si="57"/>
        <v>0</v>
      </c>
      <c r="H112" s="24">
        <f t="shared" si="58"/>
        <v>1.18</v>
      </c>
      <c r="I112" s="22">
        <f t="shared" si="59"/>
        <v>0</v>
      </c>
      <c r="J112" s="24">
        <f t="shared" si="60"/>
        <v>0</v>
      </c>
      <c r="K112" s="22">
        <f t="shared" si="61"/>
        <v>0</v>
      </c>
      <c r="L112" s="22">
        <f t="shared" si="62"/>
        <v>0</v>
      </c>
      <c r="M112" s="227">
        <f t="shared" si="63"/>
        <v>0</v>
      </c>
      <c r="N112" s="229">
        <v>9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5"/>
        <v>Gifts/social support: type (Child support, Pension and Foster Care)</v>
      </c>
      <c r="B113" s="75">
        <f t="shared" ref="B113:C113" si="84">(B59/$B$83)</f>
        <v>0.97972284626560102</v>
      </c>
      <c r="C113" s="75">
        <f t="shared" si="84"/>
        <v>0</v>
      </c>
      <c r="D113" s="24">
        <f t="shared" si="57"/>
        <v>0.97972284626560102</v>
      </c>
      <c r="H113" s="24">
        <f t="shared" si="58"/>
        <v>1.1100000000000001</v>
      </c>
      <c r="I113" s="22">
        <f t="shared" si="59"/>
        <v>1.0874923593548171</v>
      </c>
      <c r="J113" s="24">
        <f t="shared" si="60"/>
        <v>1.0874923593548171</v>
      </c>
      <c r="K113" s="22">
        <f t="shared" si="61"/>
        <v>0.97972284626560102</v>
      </c>
      <c r="L113" s="22">
        <f t="shared" si="62"/>
        <v>1.0874923593548171</v>
      </c>
      <c r="M113" s="227">
        <f t="shared" si="63"/>
        <v>1.0874923593548171</v>
      </c>
      <c r="N113" s="229">
        <v>15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5"/>
        <v>Other income: e.g. Credit (cotton loans)</v>
      </c>
      <c r="B114" s="75">
        <f t="shared" ref="B114:C114" si="85">(B60/$B$83)</f>
        <v>0</v>
      </c>
      <c r="C114" s="75">
        <f t="shared" si="85"/>
        <v>0</v>
      </c>
      <c r="D114" s="24">
        <f t="shared" si="57"/>
        <v>0</v>
      </c>
      <c r="H114" s="24">
        <f t="shared" si="58"/>
        <v>1</v>
      </c>
      <c r="I114" s="22">
        <f t="shared" si="59"/>
        <v>0</v>
      </c>
      <c r="J114" s="24">
        <f t="shared" si="60"/>
        <v>0</v>
      </c>
      <c r="K114" s="22">
        <f t="shared" si="61"/>
        <v>0</v>
      </c>
      <c r="L114" s="22">
        <f t="shared" si="62"/>
        <v>0</v>
      </c>
      <c r="M114" s="227">
        <f t="shared" si="63"/>
        <v>0</v>
      </c>
      <c r="N114" s="229">
        <v>16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5"/>
        <v>Remittances: no. times per year</v>
      </c>
      <c r="B115" s="75">
        <f t="shared" ref="B115:C115" si="86">(B61/$B$83)</f>
        <v>0.37299093131939126</v>
      </c>
      <c r="C115" s="75">
        <f t="shared" si="86"/>
        <v>0</v>
      </c>
      <c r="D115" s="24">
        <f t="shared" si="57"/>
        <v>0.37299093131939126</v>
      </c>
      <c r="H115" s="24">
        <f t="shared" si="58"/>
        <v>1.1100000000000001</v>
      </c>
      <c r="I115" s="22">
        <f t="shared" si="59"/>
        <v>0.41401993376452434</v>
      </c>
      <c r="J115" s="24">
        <f t="shared" si="60"/>
        <v>0.41401993376452434</v>
      </c>
      <c r="K115" s="22">
        <f t="shared" si="61"/>
        <v>0.37299093131939126</v>
      </c>
      <c r="L115" s="22">
        <f t="shared" si="62"/>
        <v>0.41401993376452434</v>
      </c>
      <c r="M115" s="227">
        <f t="shared" si="63"/>
        <v>0.41401993376452434</v>
      </c>
      <c r="N115" s="229">
        <v>15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5"/>
        <v/>
      </c>
      <c r="B116" s="75">
        <f t="shared" ref="B116:C116" si="87">(B62/$B$83)</f>
        <v>0</v>
      </c>
      <c r="C116" s="75">
        <f t="shared" si="87"/>
        <v>0</v>
      </c>
      <c r="D116" s="24">
        <f t="shared" si="57"/>
        <v>0</v>
      </c>
      <c r="H116" s="24">
        <f t="shared" si="58"/>
        <v>1</v>
      </c>
      <c r="I116" s="22">
        <f t="shared" si="59"/>
        <v>0</v>
      </c>
      <c r="J116" s="24">
        <f t="shared" si="60"/>
        <v>0</v>
      </c>
      <c r="K116" s="22">
        <f t="shared" si="61"/>
        <v>0</v>
      </c>
      <c r="L116" s="22">
        <f t="shared" si="62"/>
        <v>0</v>
      </c>
      <c r="M116" s="227">
        <f t="shared" si="63"/>
        <v>0</v>
      </c>
      <c r="N116" s="229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5"/>
        <v/>
      </c>
      <c r="B117" s="75">
        <f t="shared" ref="B117:C117" si="88">(B63/$B$83)</f>
        <v>0</v>
      </c>
      <c r="C117" s="75">
        <f t="shared" si="88"/>
        <v>0</v>
      </c>
      <c r="D117" s="24">
        <f t="shared" si="57"/>
        <v>0</v>
      </c>
      <c r="H117" s="24">
        <f t="shared" si="58"/>
        <v>1</v>
      </c>
      <c r="I117" s="22">
        <f t="shared" si="59"/>
        <v>0</v>
      </c>
      <c r="J117" s="24">
        <f t="shared" si="60"/>
        <v>0</v>
      </c>
      <c r="K117" s="22">
        <f t="shared" si="61"/>
        <v>0</v>
      </c>
      <c r="L117" s="22">
        <f t="shared" si="62"/>
        <v>0</v>
      </c>
      <c r="M117" s="227">
        <f t="shared" si="63"/>
        <v>0</v>
      </c>
      <c r="N117" s="229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5"/>
        <v/>
      </c>
      <c r="B118" s="75">
        <f t="shared" ref="B118:C118" si="89">(B64/$B$83)</f>
        <v>0</v>
      </c>
      <c r="C118" s="75">
        <f t="shared" si="89"/>
        <v>0</v>
      </c>
      <c r="D118" s="24">
        <f t="shared" si="57"/>
        <v>0</v>
      </c>
      <c r="H118" s="24">
        <f t="shared" si="58"/>
        <v>1</v>
      </c>
      <c r="I118" s="22">
        <f t="shared" si="59"/>
        <v>0</v>
      </c>
      <c r="J118" s="24">
        <f t="shared" si="60"/>
        <v>0</v>
      </c>
      <c r="K118" s="22">
        <f t="shared" si="61"/>
        <v>0</v>
      </c>
      <c r="L118" s="22">
        <f t="shared" si="62"/>
        <v>0</v>
      </c>
      <c r="M118" s="227">
        <f t="shared" si="63"/>
        <v>0</v>
      </c>
      <c r="N118" s="229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17.86062930279224</v>
      </c>
      <c r="C119" s="22">
        <f>SUM(C91:C118)</f>
        <v>3.754775375281872E-2</v>
      </c>
      <c r="D119" s="24">
        <f>SUM(D91:D118)</f>
        <v>17.898177056545059</v>
      </c>
      <c r="E119" s="22"/>
      <c r="F119" s="2"/>
      <c r="G119" s="2"/>
      <c r="H119" s="31"/>
      <c r="I119" s="22">
        <f>SUM(I91:I118)</f>
        <v>11.502886981173818</v>
      </c>
      <c r="J119" s="24">
        <f>SUM(J91:J118)</f>
        <v>11.4479871283924</v>
      </c>
      <c r="K119" s="22">
        <f>SUM(K91:K118)</f>
        <v>17.86062930279224</v>
      </c>
      <c r="L119" s="22">
        <f>SUM(L91:L118)</f>
        <v>11.447739028675141</v>
      </c>
      <c r="M119" s="57">
        <f t="shared" si="50"/>
        <v>11.4479871283924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Better-off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90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90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75">
        <f>B70/B$83</f>
        <v>1.0540460987110509</v>
      </c>
      <c r="C124" s="2"/>
      <c r="D124" s="24"/>
      <c r="H124" s="24">
        <f>(E70*F70/G$37*F$7/F$9)</f>
        <v>1.4</v>
      </c>
      <c r="I124" s="29">
        <f>IF(SUMPRODUCT($B$124:$B124,$H$124:$H124)&lt;I$119,($B124*$H124),I$119)</f>
        <v>1.4756645381954712</v>
      </c>
      <c r="J124" s="237">
        <f>IF(SUMPRODUCT($B$124:$B124,$H$124:$H124)&lt;J$119,($B124*$H124),J$119)</f>
        <v>1.4756645381954712</v>
      </c>
      <c r="K124" s="22">
        <f>(B124)</f>
        <v>1.0540460987110509</v>
      </c>
      <c r="L124" s="29">
        <f>IF(SUMPRODUCT($B$124:$B124,$H$124:$H124)&lt;L$119,($B124*$H124),L$119)</f>
        <v>1.4756645381954712</v>
      </c>
      <c r="M124" s="57">
        <f t="shared" si="90"/>
        <v>1.4756645381954712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75">
        <f>B71/B$83</f>
        <v>1.0426501002402309</v>
      </c>
      <c r="C125" s="2"/>
      <c r="D125" s="24"/>
      <c r="H125" s="24">
        <f>(E71*F71/G$37*F$7/F$9)</f>
        <v>1.18</v>
      </c>
      <c r="I125" s="29">
        <f>IF(SUMPRODUCT($B$124:$B125,$H$124:$H125)&lt;I$119,($B125*$H125),IF(SUMPRODUCT($B$124:$B124,$H$124:$H124)&lt;I$119,I$119-SUMPRODUCT($B$124:$B124,$H$124:$H124),0))</f>
        <v>1.2303271182834723</v>
      </c>
      <c r="J125" s="237">
        <f>IF(SUMPRODUCT($B$124:$B125,$H$124:$H125)&lt;J$119,($B125*$H125),IF(SUMPRODUCT($B$124:$B124,$H$124:$H124)&lt;J$119,J$119-SUMPRODUCT($B$124:$B124,$H$124:$H124),0))</f>
        <v>1.2303271182834723</v>
      </c>
      <c r="K125" s="22">
        <f t="shared" ref="K125:K126" si="91">(B125)</f>
        <v>1.0426501002402309</v>
      </c>
      <c r="L125" s="29">
        <f>IF(SUMPRODUCT($B$124:$B125,$H$124:$H125)&lt;L$119,($B125*$H125),IF(SUMPRODUCT($B$124:$B124,$H$124:$H124)&lt;L$119,L$119-SUMPRODUCT($B$124:$B124,$H$124:$H124),0))</f>
        <v>1.2303271182834723</v>
      </c>
      <c r="M125" s="57">
        <f t="shared" ref="M125:M126" si="92">(J125)</f>
        <v>1.2303271182834723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75">
        <f>B72/B$83</f>
        <v>1.9283216714844396</v>
      </c>
      <c r="C126" s="2"/>
      <c r="D126" s="24"/>
      <c r="H126" s="24">
        <f>(E72*F72/G$37*F$7/F$9)</f>
        <v>1.18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7">
        <f>IF(SUMPRODUCT($B$124:$B126,$H$124:$H126)&lt;(J$119-J$128),($B126*$H126),IF(SUMPRODUCT($B$124:$B125,$H$124:$H125)&lt;(J$119-J$128),J$119-J$128-SUMPRODUCT($B$124:$B125,$H$124:$H125),0))</f>
        <v>2.2754195723516384</v>
      </c>
      <c r="K126" s="22">
        <f t="shared" si="91"/>
        <v>1.9283216714844396</v>
      </c>
      <c r="L126" s="29">
        <f>IF(SUMPRODUCT($B$124:$B126,$H$124:$H126)&lt;(L$119-L$128),($B126*$H126),IF(SUMPRODUCT($B$124:$B125,$H$124:$H125)&lt;(L$119-L$128),L$119-L$128-SUMPRODUCT($B$124:$B125,$H$124:$H125),0))</f>
        <v>2.2754195723516384</v>
      </c>
      <c r="M126" s="57">
        <f t="shared" si="92"/>
        <v>2.2754195723516384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75">
        <f>B73/B83</f>
        <v>1.3691875437182655</v>
      </c>
      <c r="C127" s="2"/>
      <c r="D127" s="24"/>
      <c r="H127" s="24">
        <f>(E73*F73/G$37*F$7/F$9)</f>
        <v>1.18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7">
        <f>IF(SUMPRODUCT($B$124:$B127,$H$124:$H127)&lt;(J$119-J$128),($B127*$H127),IF(SUMPRODUCT($B$124:$B126,$H$124:$H126)&lt;(J$119-J128),J$119-J$128-SUMPRODUCT($B$124:$B126,$H$124:$H126),0))</f>
        <v>1.6156413015875533</v>
      </c>
      <c r="K127" s="22">
        <f>(B127)</f>
        <v>1.3691875437182655</v>
      </c>
      <c r="L127" s="29">
        <f>IF(SUMPRODUCT($B$124:$B127,$H$124:$H127)&lt;(L$119-L$128),($B127*$H127),IF(SUMPRODUCT($B$124:$B126,$H$124:$H126)&lt;(L$119-L128),L$119-L$128-SUMPRODUCT($B$124:$B126,$H$124:$H126),0))</f>
        <v>1.6156413015875533</v>
      </c>
      <c r="M127" s="57">
        <f t="shared" si="90"/>
        <v>1.6156413015875533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2">
        <f>(B30)</f>
        <v>0.68160895442092151</v>
      </c>
      <c r="C128" s="2"/>
      <c r="D128" s="31"/>
      <c r="E128" s="2"/>
      <c r="F128" s="2"/>
      <c r="G128" s="2"/>
      <c r="H128" s="24"/>
      <c r="I128" s="29">
        <f>(I30)</f>
        <v>10.027222442978347</v>
      </c>
      <c r="J128" s="228">
        <f>(J30)</f>
        <v>0.44045074053460054</v>
      </c>
      <c r="K128" s="22">
        <f>(B128)</f>
        <v>0.68160895442092151</v>
      </c>
      <c r="L128" s="22">
        <f>IF(L124=L119,0,(L119-L124)/(B119-B124)*K128)</f>
        <v>0.40442814487199541</v>
      </c>
      <c r="M128" s="57">
        <f t="shared" si="90"/>
        <v>0.44045074053460054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11.784814934217332</v>
      </c>
      <c r="C129" s="2"/>
      <c r="D129" s="31"/>
      <c r="E129" s="2"/>
      <c r="F129" s="2"/>
      <c r="G129" s="2"/>
      <c r="H129" s="24"/>
      <c r="I129" s="29"/>
      <c r="J129" s="228">
        <f>IF(SUM(J124:J128)&gt;J130,0,J130-SUM(J124:J128))</f>
        <v>4.4104838574396652</v>
      </c>
      <c r="K129" s="29">
        <f>(B129)</f>
        <v>11.784814934217332</v>
      </c>
      <c r="L129" s="60">
        <f>IF(SUM(L124:L128)&gt;L130,0,L130-SUM(L124:L128))</f>
        <v>4.4462583533850104</v>
      </c>
      <c r="M129" s="57">
        <f t="shared" si="90"/>
        <v>4.4104838574396652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2">
        <f>(B119)</f>
        <v>17.86062930279224</v>
      </c>
      <c r="C130" s="2"/>
      <c r="D130" s="31"/>
      <c r="E130" s="2"/>
      <c r="F130" s="2"/>
      <c r="G130" s="2"/>
      <c r="H130" s="24"/>
      <c r="I130" s="29">
        <f>(I119)</f>
        <v>11.502886981173818</v>
      </c>
      <c r="J130" s="228">
        <f>(J119)</f>
        <v>11.4479871283924</v>
      </c>
      <c r="K130" s="22">
        <f>(B130)</f>
        <v>17.86062930279224</v>
      </c>
      <c r="L130" s="22">
        <f>(L119)</f>
        <v>11.447739028675141</v>
      </c>
      <c r="M130" s="57">
        <f t="shared" si="90"/>
        <v>11.4479871283924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1.2303271182834727</v>
      </c>
      <c r="J131" s="237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</v>
      </c>
      <c r="M131" s="237">
        <f>IF(I131&lt;SUM(M126:M127),0,I131-(SUM(M126:M127)))</f>
        <v>0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4">
    <mergeCell ref="Z2:AA2"/>
    <mergeCell ref="AB2:AC2"/>
    <mergeCell ref="AD2:AE2"/>
    <mergeCell ref="AF2:AG2"/>
  </mergeCells>
  <phoneticPr fontId="1" type="noConversion"/>
  <conditionalFormatting sqref="U7:U22">
    <cfRule type="cellIs" dxfId="98" priority="116" operator="equal">
      <formula>16</formula>
    </cfRule>
    <cfRule type="cellIs" dxfId="97" priority="117" operator="equal">
      <formula>15</formula>
    </cfRule>
    <cfRule type="cellIs" dxfId="96" priority="118" operator="equal">
      <formula>14</formula>
    </cfRule>
    <cfRule type="cellIs" dxfId="95" priority="119" operator="equal">
      <formula>13</formula>
    </cfRule>
    <cfRule type="cellIs" dxfId="94" priority="120" operator="equal">
      <formula>12</formula>
    </cfRule>
    <cfRule type="cellIs" dxfId="93" priority="121" operator="equal">
      <formula>11</formula>
    </cfRule>
    <cfRule type="cellIs" dxfId="92" priority="122" operator="equal">
      <formula>10</formula>
    </cfRule>
    <cfRule type="cellIs" dxfId="91" priority="123" operator="equal">
      <formula>9</formula>
    </cfRule>
    <cfRule type="cellIs" dxfId="90" priority="124" operator="equal">
      <formula>8</formula>
    </cfRule>
    <cfRule type="cellIs" dxfId="89" priority="125" operator="equal">
      <formula>7</formula>
    </cfRule>
    <cfRule type="cellIs" dxfId="88" priority="126" operator="equal">
      <formula>6</formula>
    </cfRule>
    <cfRule type="cellIs" dxfId="87" priority="127" operator="equal">
      <formula>5</formula>
    </cfRule>
    <cfRule type="cellIs" dxfId="86" priority="128" operator="equal">
      <formula>4</formula>
    </cfRule>
    <cfRule type="cellIs" dxfId="85" priority="129" operator="equal">
      <formula>3</formula>
    </cfRule>
    <cfRule type="cellIs" dxfId="84" priority="130" operator="equal">
      <formula>2</formula>
    </cfRule>
    <cfRule type="cellIs" dxfId="83" priority="131" operator="equal">
      <formula>1</formula>
    </cfRule>
  </conditionalFormatting>
  <conditionalFormatting sqref="N29">
    <cfRule type="cellIs" dxfId="82" priority="100" operator="equal">
      <formula>16</formula>
    </cfRule>
    <cfRule type="cellIs" dxfId="81" priority="101" operator="equal">
      <formula>15</formula>
    </cfRule>
    <cfRule type="cellIs" dxfId="80" priority="102" operator="equal">
      <formula>14</formula>
    </cfRule>
    <cfRule type="cellIs" dxfId="79" priority="103" operator="equal">
      <formula>13</formula>
    </cfRule>
    <cfRule type="cellIs" dxfId="78" priority="104" operator="equal">
      <formula>12</formula>
    </cfRule>
    <cfRule type="cellIs" dxfId="77" priority="105" operator="equal">
      <formula>11</formula>
    </cfRule>
    <cfRule type="cellIs" dxfId="76" priority="106" operator="equal">
      <formula>10</formula>
    </cfRule>
    <cfRule type="cellIs" dxfId="75" priority="107" operator="equal">
      <formula>9</formula>
    </cfRule>
    <cfRule type="cellIs" dxfId="74" priority="108" operator="equal">
      <formula>8</formula>
    </cfRule>
    <cfRule type="cellIs" dxfId="73" priority="109" operator="equal">
      <formula>7</formula>
    </cfRule>
    <cfRule type="cellIs" dxfId="72" priority="110" operator="equal">
      <formula>6</formula>
    </cfRule>
    <cfRule type="cellIs" dxfId="71" priority="111" operator="equal">
      <formula>5</formula>
    </cfRule>
    <cfRule type="cellIs" dxfId="70" priority="112" operator="equal">
      <formula>4</formula>
    </cfRule>
    <cfRule type="cellIs" dxfId="69" priority="113" operator="equal">
      <formula>3</formula>
    </cfRule>
    <cfRule type="cellIs" dxfId="68" priority="114" operator="equal">
      <formula>2</formula>
    </cfRule>
    <cfRule type="cellIs" dxfId="67" priority="115" operator="equal">
      <formula>1</formula>
    </cfRule>
  </conditionalFormatting>
  <conditionalFormatting sqref="N113:N118">
    <cfRule type="cellIs" dxfId="66" priority="52" operator="equal">
      <formula>16</formula>
    </cfRule>
    <cfRule type="cellIs" dxfId="65" priority="53" operator="equal">
      <formula>15</formula>
    </cfRule>
    <cfRule type="cellIs" dxfId="64" priority="54" operator="equal">
      <formula>14</formula>
    </cfRule>
    <cfRule type="cellIs" dxfId="63" priority="55" operator="equal">
      <formula>13</formula>
    </cfRule>
    <cfRule type="cellIs" dxfId="62" priority="56" operator="equal">
      <formula>12</formula>
    </cfRule>
    <cfRule type="cellIs" dxfId="61" priority="57" operator="equal">
      <formula>11</formula>
    </cfRule>
    <cfRule type="cellIs" dxfId="60" priority="58" operator="equal">
      <formula>10</formula>
    </cfRule>
    <cfRule type="cellIs" dxfId="59" priority="59" operator="equal">
      <formula>9</formula>
    </cfRule>
    <cfRule type="cellIs" dxfId="58" priority="60" operator="equal">
      <formula>8</formula>
    </cfRule>
    <cfRule type="cellIs" dxfId="57" priority="61" operator="equal">
      <formula>7</formula>
    </cfRule>
    <cfRule type="cellIs" dxfId="56" priority="62" operator="equal">
      <formula>6</formula>
    </cfRule>
    <cfRule type="cellIs" dxfId="55" priority="63" operator="equal">
      <formula>5</formula>
    </cfRule>
    <cfRule type="cellIs" dxfId="54" priority="64" operator="equal">
      <formula>4</formula>
    </cfRule>
    <cfRule type="cellIs" dxfId="53" priority="65" operator="equal">
      <formula>3</formula>
    </cfRule>
    <cfRule type="cellIs" dxfId="52" priority="66" operator="equal">
      <formula>2</formula>
    </cfRule>
    <cfRule type="cellIs" dxfId="51" priority="67" operator="equal">
      <formula>1</formula>
    </cfRule>
  </conditionalFormatting>
  <conditionalFormatting sqref="N6:N28">
    <cfRule type="cellIs" dxfId="50" priority="36" operator="equal">
      <formula>16</formula>
    </cfRule>
    <cfRule type="cellIs" dxfId="49" priority="37" operator="equal">
      <formula>15</formula>
    </cfRule>
    <cfRule type="cellIs" dxfId="48" priority="38" operator="equal">
      <formula>14</formula>
    </cfRule>
    <cfRule type="cellIs" dxfId="47" priority="39" operator="equal">
      <formula>13</formula>
    </cfRule>
    <cfRule type="cellIs" dxfId="46" priority="40" operator="equal">
      <formula>12</formula>
    </cfRule>
    <cfRule type="cellIs" dxfId="45" priority="41" operator="equal">
      <formula>11</formula>
    </cfRule>
    <cfRule type="cellIs" dxfId="44" priority="42" operator="equal">
      <formula>10</formula>
    </cfRule>
    <cfRule type="cellIs" dxfId="43" priority="43" operator="equal">
      <formula>9</formula>
    </cfRule>
    <cfRule type="cellIs" dxfId="42" priority="44" operator="equal">
      <formula>8</formula>
    </cfRule>
    <cfRule type="cellIs" dxfId="41" priority="45" operator="equal">
      <formula>7</formula>
    </cfRule>
    <cfRule type="cellIs" dxfId="40" priority="46" operator="equal">
      <formula>6</formula>
    </cfRule>
    <cfRule type="cellIs" dxfId="39" priority="47" operator="equal">
      <formula>5</formula>
    </cfRule>
    <cfRule type="cellIs" dxfId="38" priority="48" operator="equal">
      <formula>4</formula>
    </cfRule>
    <cfRule type="cellIs" dxfId="37" priority="49" operator="equal">
      <formula>3</formula>
    </cfRule>
    <cfRule type="cellIs" dxfId="36" priority="50" operator="equal">
      <formula>2</formula>
    </cfRule>
    <cfRule type="cellIs" dxfId="35" priority="51" operator="equal">
      <formula>1</formula>
    </cfRule>
  </conditionalFormatting>
  <conditionalFormatting sqref="N91:N104">
    <cfRule type="cellIs" dxfId="34" priority="20" operator="equal">
      <formula>16</formula>
    </cfRule>
    <cfRule type="cellIs" dxfId="33" priority="21" operator="equal">
      <formula>15</formula>
    </cfRule>
    <cfRule type="cellIs" dxfId="32" priority="22" operator="equal">
      <formula>14</formula>
    </cfRule>
    <cfRule type="cellIs" dxfId="31" priority="23" operator="equal">
      <formula>13</formula>
    </cfRule>
    <cfRule type="cellIs" dxfId="30" priority="24" operator="equal">
      <formula>12</formula>
    </cfRule>
    <cfRule type="cellIs" dxfId="29" priority="25" operator="equal">
      <formula>11</formula>
    </cfRule>
    <cfRule type="cellIs" dxfId="28" priority="26" operator="equal">
      <formula>10</formula>
    </cfRule>
    <cfRule type="cellIs" dxfId="27" priority="27" operator="equal">
      <formula>9</formula>
    </cfRule>
    <cfRule type="cellIs" dxfId="26" priority="28" operator="equal">
      <formula>8</formula>
    </cfRule>
    <cfRule type="cellIs" dxfId="25" priority="29" operator="equal">
      <formula>7</formula>
    </cfRule>
    <cfRule type="cellIs" dxfId="24" priority="30" operator="equal">
      <formula>6</formula>
    </cfRule>
    <cfRule type="cellIs" dxfId="23" priority="31" operator="equal">
      <formula>5</formula>
    </cfRule>
    <cfRule type="cellIs" dxfId="22" priority="32" operator="equal">
      <formula>4</formula>
    </cfRule>
    <cfRule type="cellIs" dxfId="21" priority="33" operator="equal">
      <formula>3</formula>
    </cfRule>
    <cfRule type="cellIs" dxfId="20" priority="34" operator="equal">
      <formula>2</formula>
    </cfRule>
    <cfRule type="cellIs" dxfId="19" priority="35" operator="equal">
      <formula>1</formula>
    </cfRule>
  </conditionalFormatting>
  <conditionalFormatting sqref="N105:N112">
    <cfRule type="cellIs" dxfId="18" priority="4" operator="equal">
      <formula>16</formula>
    </cfRule>
    <cfRule type="cellIs" dxfId="17" priority="5" operator="equal">
      <formula>15</formula>
    </cfRule>
    <cfRule type="cellIs" dxfId="16" priority="6" operator="equal">
      <formula>14</formula>
    </cfRule>
    <cfRule type="cellIs" dxfId="15" priority="7" operator="equal">
      <formula>13</formula>
    </cfRule>
    <cfRule type="cellIs" dxfId="14" priority="8" operator="equal">
      <formula>12</formula>
    </cfRule>
    <cfRule type="cellIs" dxfId="13" priority="9" operator="equal">
      <formula>11</formula>
    </cfRule>
    <cfRule type="cellIs" dxfId="12" priority="10" operator="equal">
      <formula>10</formula>
    </cfRule>
    <cfRule type="cellIs" dxfId="11" priority="11" operator="equal">
      <formula>9</formula>
    </cfRule>
    <cfRule type="cellIs" dxfId="10" priority="12" operator="equal">
      <formula>8</formula>
    </cfRule>
    <cfRule type="cellIs" dxfId="9" priority="13" operator="equal">
      <formula>7</formula>
    </cfRule>
    <cfRule type="cellIs" dxfId="8" priority="14" operator="equal">
      <formula>6</formula>
    </cfRule>
    <cfRule type="cellIs" dxfId="7" priority="15" operator="equal">
      <formula>5</formula>
    </cfRule>
    <cfRule type="cellIs" dxfId="6" priority="16" operator="equal">
      <formula>4</formula>
    </cfRule>
    <cfRule type="cellIs" dxfId="5" priority="17" operator="equal">
      <formula>3</formula>
    </cfRule>
    <cfRule type="cellIs" dxfId="4" priority="18" operator="equal">
      <formula>2</formula>
    </cfRule>
    <cfRule type="cellIs" dxfId="3" priority="19" operator="equal">
      <formula>1</formula>
    </cfRule>
  </conditionalFormatting>
  <conditionalFormatting sqref="R31:T31">
    <cfRule type="cellIs" dxfId="2" priority="3" operator="greaterThan">
      <formula>0</formula>
    </cfRule>
  </conditionalFormatting>
  <conditionalFormatting sqref="R32:T32">
    <cfRule type="cellIs" dxfId="1" priority="2" operator="greaterThan">
      <formula>0</formula>
    </cfRule>
  </conditionalFormatting>
  <conditionalFormatting sqref="R30:T30">
    <cfRule type="cellIs" dxfId="0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zoomScale="90" zoomScaleNormal="90" zoomScalePageLayoutView="90" workbookViewId="0">
      <selection activeCell="W26" sqref="W26"/>
    </sheetView>
  </sheetViews>
  <sheetFormatPr baseColWidth="10" defaultColWidth="8.7109375" defaultRowHeight="15" x14ac:dyDescent="0"/>
  <cols>
    <col min="5" max="5" width="13.28515625" customWidth="1"/>
  </cols>
  <sheetData>
    <row r="1" spans="1:22">
      <c r="A1" s="87"/>
      <c r="B1" s="87"/>
      <c r="C1" s="87"/>
      <c r="D1" s="87"/>
      <c r="E1" s="87"/>
      <c r="F1" s="88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19">
      <c r="A2" s="248"/>
      <c r="B2" s="248"/>
      <c r="C2" s="248"/>
      <c r="D2" s="248"/>
      <c r="E2" s="248"/>
      <c r="F2" s="249"/>
      <c r="G2" s="246"/>
      <c r="H2" s="246"/>
      <c r="I2" s="246"/>
      <c r="J2" s="246"/>
      <c r="K2" s="265" t="str">
        <f>Poor!A1</f>
        <v>ZA1XX, 59100</v>
      </c>
      <c r="L2" s="265"/>
      <c r="M2" s="265"/>
      <c r="N2" s="265"/>
      <c r="O2" s="265"/>
      <c r="P2" s="265"/>
      <c r="Q2" s="265"/>
      <c r="R2" s="248"/>
      <c r="S2" s="248"/>
      <c r="T2" s="248"/>
      <c r="U2" s="248"/>
      <c r="V2" s="248"/>
    </row>
    <row r="3" spans="1:22" s="92" customFormat="1" ht="17">
      <c r="A3" s="90"/>
      <c r="B3" s="266" t="str">
        <f>V.Poor!A3</f>
        <v>Sources of Food : Very Poor HHs</v>
      </c>
      <c r="C3" s="267"/>
      <c r="D3" s="267"/>
      <c r="E3" s="267"/>
      <c r="F3" s="245"/>
      <c r="G3" s="264" t="str">
        <f>Poor!A3</f>
        <v>Sources of Food : Poor HHs</v>
      </c>
      <c r="H3" s="264"/>
      <c r="I3" s="264"/>
      <c r="J3" s="264"/>
      <c r="K3" s="246"/>
      <c r="L3" s="264" t="str">
        <f>Middle!A3</f>
        <v>Sources of Food : Middle HHs</v>
      </c>
      <c r="M3" s="264"/>
      <c r="N3" s="264"/>
      <c r="O3" s="264"/>
      <c r="P3" s="264"/>
      <c r="Q3" s="247"/>
      <c r="R3" s="264" t="str">
        <f>Rich!A3</f>
        <v>Sources of Food : Better-off HHs</v>
      </c>
      <c r="S3" s="264"/>
      <c r="T3" s="264"/>
      <c r="U3" s="264"/>
      <c r="V3" s="90"/>
    </row>
    <row r="4" spans="1:22">
      <c r="A4" s="87"/>
      <c r="B4" s="87"/>
      <c r="C4" s="87"/>
      <c r="D4" s="87"/>
      <c r="E4" s="87"/>
      <c r="F4" s="88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8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8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8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8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8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8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8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8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8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8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8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8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8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8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8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8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8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8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8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8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8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8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8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8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8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8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8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8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8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8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8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8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8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8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8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8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8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8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8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8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8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8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8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8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8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  <row r="59" spans="1:2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</row>
    <row r="60" spans="1:22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</row>
    <row r="61" spans="1:22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</row>
    <row r="62" spans="1:22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</row>
  </sheetData>
  <mergeCells count="5">
    <mergeCell ref="R3:U3"/>
    <mergeCell ref="K2:Q2"/>
    <mergeCell ref="B3:E3"/>
    <mergeCell ref="G3:J3"/>
    <mergeCell ref="L3:P3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opLeftCell="E57" workbookViewId="0">
      <selection activeCell="X78" sqref="X78"/>
    </sheetView>
  </sheetViews>
  <sheetFormatPr baseColWidth="10" defaultColWidth="8.7109375" defaultRowHeight="15" x14ac:dyDescent="0"/>
  <cols>
    <col min="1" max="1" width="24.42578125" bestFit="1" customWidth="1"/>
    <col min="5" max="5" width="13.28515625" customWidth="1"/>
  </cols>
  <sheetData>
    <row r="1" spans="1:22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21">
      <c r="A2" s="87"/>
      <c r="B2" s="87"/>
      <c r="C2" s="87"/>
      <c r="D2" s="87"/>
      <c r="E2" s="87"/>
      <c r="F2" s="87"/>
      <c r="G2" s="89"/>
      <c r="H2" s="89"/>
      <c r="I2" s="89"/>
      <c r="J2" s="89"/>
      <c r="K2" s="269" t="str">
        <f>Poor!A1</f>
        <v>ZA1XX, 59100</v>
      </c>
      <c r="L2" s="269"/>
      <c r="M2" s="269"/>
      <c r="N2" s="269"/>
      <c r="O2" s="269"/>
      <c r="P2" s="269"/>
      <c r="Q2" s="269"/>
      <c r="R2" s="87"/>
      <c r="S2" s="87"/>
      <c r="T2" s="87"/>
      <c r="U2" s="87"/>
      <c r="V2" s="87"/>
    </row>
    <row r="3" spans="1:22" s="92" customFormat="1" ht="17">
      <c r="A3" s="90"/>
      <c r="B3" s="89"/>
      <c r="C3" s="270" t="str">
        <f>V.Poor!A34</f>
        <v>Income : Very Poor HHs</v>
      </c>
      <c r="D3" s="270"/>
      <c r="E3" s="270"/>
      <c r="F3" s="90"/>
      <c r="G3" s="268" t="str">
        <f>Poor!A34</f>
        <v>Income : Poor HHs</v>
      </c>
      <c r="H3" s="268"/>
      <c r="I3" s="268"/>
      <c r="J3" s="268"/>
      <c r="K3" s="89"/>
      <c r="L3" s="268" t="str">
        <f>Middle!A34</f>
        <v>Income : Middle HHs</v>
      </c>
      <c r="M3" s="268"/>
      <c r="N3" s="268"/>
      <c r="O3" s="268"/>
      <c r="P3" s="268"/>
      <c r="Q3" s="91"/>
      <c r="R3" s="268" t="str">
        <f>Rich!A34</f>
        <v>Income : Better-off HHs</v>
      </c>
      <c r="S3" s="268"/>
      <c r="T3" s="268"/>
      <c r="U3" s="268"/>
      <c r="V3" s="90"/>
    </row>
    <row r="4" spans="1:2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  <row r="59" spans="1:2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</row>
    <row r="71" spans="1:9">
      <c r="B71" s="170" t="s">
        <v>88</v>
      </c>
      <c r="C71" s="170" t="s">
        <v>89</v>
      </c>
      <c r="D71" s="170" t="s">
        <v>90</v>
      </c>
      <c r="E71" s="170" t="s">
        <v>91</v>
      </c>
      <c r="F71" s="170" t="s">
        <v>92</v>
      </c>
      <c r="G71" s="170" t="s">
        <v>93</v>
      </c>
      <c r="H71" s="170" t="s">
        <v>94</v>
      </c>
      <c r="I71" s="170" t="s">
        <v>95</v>
      </c>
    </row>
    <row r="72" spans="1:9">
      <c r="A72" t="str">
        <f>V.Poor!Q7</f>
        <v>Own crops Consumed</v>
      </c>
      <c r="B72" s="109">
        <f>V.Poor!R7</f>
        <v>1637.8612483790453</v>
      </c>
      <c r="C72" s="109">
        <f>Poor!R7</f>
        <v>3310.8818669346656</v>
      </c>
      <c r="D72" s="109">
        <f>Middle!R7</f>
        <v>2890.7355865918666</v>
      </c>
      <c r="E72" s="109">
        <f>Rich!R7</f>
        <v>1825.413865737894</v>
      </c>
      <c r="F72" s="109">
        <f>V.Poor!T7</f>
        <v>350.05663850639343</v>
      </c>
      <c r="G72" s="109">
        <f>Poor!T7</f>
        <v>719.16936201777662</v>
      </c>
      <c r="H72" s="109">
        <f>Middle!T7</f>
        <v>1056.9227703929851</v>
      </c>
      <c r="I72" s="109">
        <f>Rich!T7</f>
        <v>365.72831580300436</v>
      </c>
    </row>
    <row r="73" spans="1:9">
      <c r="A73" t="str">
        <f>V.Poor!Q8</f>
        <v>Own crops sold</v>
      </c>
      <c r="B73" s="109">
        <f>V.Poor!R8</f>
        <v>25.840100024676357</v>
      </c>
      <c r="C73" s="109">
        <f>Poor!R8</f>
        <v>1526.206542727313</v>
      </c>
      <c r="D73" s="109">
        <f>Middle!R8</f>
        <v>10861.045216721113</v>
      </c>
      <c r="E73" s="109">
        <f>Rich!R8</f>
        <v>22116.438696656045</v>
      </c>
      <c r="F73" s="109">
        <f>V.Poor!T8</f>
        <v>4.4799999999999995</v>
      </c>
      <c r="G73" s="109">
        <f>Poor!T8</f>
        <v>316.30266981633775</v>
      </c>
      <c r="H73" s="109">
        <f>Middle!T8</f>
        <v>2331.6709328477314</v>
      </c>
      <c r="I73" s="109">
        <f>Rich!T8</f>
        <v>5316.3254689601545</v>
      </c>
    </row>
    <row r="74" spans="1:9">
      <c r="A74" t="str">
        <f>V.Poor!Q9</f>
        <v>Animal products consumed</v>
      </c>
      <c r="B74" s="109">
        <f>V.Poor!R9</f>
        <v>600.96174511333197</v>
      </c>
      <c r="C74" s="109">
        <f>Poor!R9</f>
        <v>1095.5690994329716</v>
      </c>
      <c r="D74" s="109">
        <f>Middle!R9</f>
        <v>1916.6340270102087</v>
      </c>
      <c r="E74" s="109">
        <f>Rich!R9</f>
        <v>2192.2857565535119</v>
      </c>
      <c r="F74" s="109">
        <f>V.Poor!T9</f>
        <v>97.67916250578088</v>
      </c>
      <c r="G74" s="109">
        <f>Poor!T9</f>
        <v>178.07168754085009</v>
      </c>
      <c r="H74" s="109">
        <f>Middle!T9</f>
        <v>311.52599663915959</v>
      </c>
      <c r="I74" s="109">
        <f>Rich!T9</f>
        <v>356.32787322935076</v>
      </c>
    </row>
    <row r="75" spans="1:9">
      <c r="A75" t="str">
        <f>V.Poor!Q10</f>
        <v>Animal products sold</v>
      </c>
      <c r="B75" s="109">
        <f>V.Poor!R10</f>
        <v>0</v>
      </c>
      <c r="C75" s="109">
        <f>Poor!R10</f>
        <v>0</v>
      </c>
      <c r="D75" s="109">
        <f>Middle!R10</f>
        <v>0</v>
      </c>
      <c r="E75" s="109">
        <f>Rich!R10</f>
        <v>0</v>
      </c>
      <c r="F75" s="109">
        <f>V.Poor!T10</f>
        <v>0</v>
      </c>
      <c r="G75" s="109">
        <f>Poor!T10</f>
        <v>0</v>
      </c>
      <c r="H75" s="109">
        <f>Middle!T10</f>
        <v>0</v>
      </c>
      <c r="I75" s="109">
        <f>Rich!T10</f>
        <v>0</v>
      </c>
    </row>
    <row r="76" spans="1:9">
      <c r="A76" t="str">
        <f>V.Poor!Q11</f>
        <v>Animals sold</v>
      </c>
      <c r="B76" s="109">
        <f>V.Poor!R11</f>
        <v>3045.4403600511423</v>
      </c>
      <c r="C76" s="109">
        <f>Poor!R11</f>
        <v>10048.517627056288</v>
      </c>
      <c r="D76" s="109">
        <f>Middle!R11</f>
        <v>21797.091177278024</v>
      </c>
      <c r="E76" s="109">
        <f>Rich!R11</f>
        <v>31324.70731659016</v>
      </c>
      <c r="F76" s="109">
        <f>V.Poor!T11</f>
        <v>870.24999999999989</v>
      </c>
      <c r="G76" s="109">
        <f>Poor!T11</f>
        <v>4754.7498957307489</v>
      </c>
      <c r="H76" s="109">
        <f>Middle!T11</f>
        <v>10872.07045992814</v>
      </c>
      <c r="I76" s="109">
        <f>Rich!T11</f>
        <v>15027.449654356078</v>
      </c>
    </row>
    <row r="77" spans="1:9">
      <c r="A77" t="str">
        <f>V.Poor!Q12</f>
        <v>Wild foods consumed and sold</v>
      </c>
      <c r="B77" s="109">
        <f>V.Poor!R12</f>
        <v>0</v>
      </c>
      <c r="C77" s="109">
        <f>Poor!R12</f>
        <v>121.2080495528232</v>
      </c>
      <c r="D77" s="109">
        <f>Middle!R12</f>
        <v>85.117058498518091</v>
      </c>
      <c r="E77" s="109">
        <f>Rich!R12</f>
        <v>0</v>
      </c>
      <c r="F77" s="109">
        <f>V.Poor!T12</f>
        <v>0</v>
      </c>
      <c r="G77" s="109">
        <f>Poor!T12</f>
        <v>104.13223635110471</v>
      </c>
      <c r="H77" s="109">
        <f>Middle!T12</f>
        <v>75.968697175501106</v>
      </c>
      <c r="I77" s="109">
        <f>Rich!T12</f>
        <v>0</v>
      </c>
    </row>
    <row r="78" spans="1:9">
      <c r="A78" t="str">
        <f>V.Poor!Q13</f>
        <v>Labour - casual</v>
      </c>
      <c r="B78" s="109">
        <f>V.Poor!R13</f>
        <v>5317.1555759881148</v>
      </c>
      <c r="C78" s="109">
        <f>Poor!R13</f>
        <v>2477.3683198261147</v>
      </c>
      <c r="D78" s="109">
        <f>Middle!R13</f>
        <v>59625.591349457311</v>
      </c>
      <c r="E78" s="109">
        <f>Rich!R13</f>
        <v>0</v>
      </c>
      <c r="F78" s="109">
        <f>V.Poor!T13</f>
        <v>2439.2501496340528</v>
      </c>
      <c r="G78" s="109">
        <f>Poor!T13</f>
        <v>1117.4000000000001</v>
      </c>
      <c r="H78" s="109">
        <f>Middle!T13</f>
        <v>26893.71428571429</v>
      </c>
      <c r="I78" s="109">
        <f>Rich!T13</f>
        <v>0</v>
      </c>
    </row>
    <row r="79" spans="1:9">
      <c r="A79" t="str">
        <f>V.Poor!Q14</f>
        <v>Labour - formal emp</v>
      </c>
      <c r="B79" s="109">
        <f>V.Poor!R14</f>
        <v>0</v>
      </c>
      <c r="C79" s="109">
        <f>Poor!R14</f>
        <v>0</v>
      </c>
      <c r="D79" s="109">
        <f>Middle!R14</f>
        <v>28209.654775238527</v>
      </c>
      <c r="E79" s="109">
        <f>Rich!R14</f>
        <v>154408.65828783836</v>
      </c>
      <c r="F79" s="109">
        <f>V.Poor!T14</f>
        <v>0</v>
      </c>
      <c r="G79" s="109">
        <f>Poor!T14</f>
        <v>0</v>
      </c>
      <c r="H79" s="109">
        <f>Middle!T14</f>
        <v>10820.937142857143</v>
      </c>
      <c r="I79" s="109">
        <f>Rich!T14</f>
        <v>59229.257142857132</v>
      </c>
    </row>
    <row r="80" spans="1:9">
      <c r="A80" t="str">
        <f>V.Poor!Q15</f>
        <v>Labour - public works</v>
      </c>
      <c r="B80" s="109">
        <f>V.Poor!R15</f>
        <v>5020.3622905085504</v>
      </c>
      <c r="C80" s="109">
        <f>Poor!R15</f>
        <v>9071.1055896149574</v>
      </c>
      <c r="D80" s="109">
        <f>Middle!R15</f>
        <v>1171.8866224343024</v>
      </c>
      <c r="E80" s="109">
        <f>Rich!R15</f>
        <v>0</v>
      </c>
      <c r="F80" s="109">
        <f>V.Poor!T15</f>
        <v>4814.3999999999996</v>
      </c>
      <c r="G80" s="109">
        <f>Poor!T15</f>
        <v>8698.9599999999991</v>
      </c>
      <c r="H80" s="109">
        <f>Middle!T15</f>
        <v>1123.8095238095236</v>
      </c>
      <c r="I80" s="109">
        <f>Rich!T15</f>
        <v>0</v>
      </c>
    </row>
    <row r="81" spans="1:9">
      <c r="A81" t="str">
        <f>V.Poor!Q16</f>
        <v>Self - employment</v>
      </c>
      <c r="B81" s="109">
        <f>V.Poor!R16</f>
        <v>0</v>
      </c>
      <c r="C81" s="109">
        <f>Poor!R16</f>
        <v>0</v>
      </c>
      <c r="D81" s="109">
        <f>Middle!R16</f>
        <v>0</v>
      </c>
      <c r="E81" s="109">
        <f>Rich!R16</f>
        <v>0</v>
      </c>
      <c r="F81" s="109">
        <f>V.Poor!T16</f>
        <v>0</v>
      </c>
      <c r="G81" s="109">
        <f>Poor!T16</f>
        <v>0</v>
      </c>
      <c r="H81" s="109">
        <f>Middle!T16</f>
        <v>0</v>
      </c>
      <c r="I81" s="109">
        <f>Rich!T16</f>
        <v>0</v>
      </c>
    </row>
    <row r="82" spans="1:9">
      <c r="A82" t="str">
        <f>V.Poor!Q17</f>
        <v>Small business/petty trading</v>
      </c>
      <c r="B82" s="109">
        <f>V.Poor!R17</f>
        <v>1575.0156205517019</v>
      </c>
      <c r="C82" s="109">
        <f>Poor!R17</f>
        <v>1148.448889985616</v>
      </c>
      <c r="D82" s="109">
        <f>Middle!R17</f>
        <v>0</v>
      </c>
      <c r="E82" s="109">
        <f>Rich!R17</f>
        <v>60961.888313094656</v>
      </c>
      <c r="F82" s="109">
        <f>V.Poor!T17</f>
        <v>1208.3199999999997</v>
      </c>
      <c r="G82" s="109">
        <f>Poor!T17</f>
        <v>881.06666666666661</v>
      </c>
      <c r="H82" s="109">
        <f>Middle!T17</f>
        <v>0</v>
      </c>
      <c r="I82" s="109">
        <f>Rich!T17</f>
        <v>46768.457142857136</v>
      </c>
    </row>
    <row r="83" spans="1:9">
      <c r="A83" t="str">
        <f>V.Poor!Q18</f>
        <v>Food transfer - official</v>
      </c>
      <c r="B83" s="109">
        <f>V.Poor!R18</f>
        <v>2542.6668466728388</v>
      </c>
      <c r="C83" s="109">
        <f>Poor!R18</f>
        <v>2592.6389326114268</v>
      </c>
      <c r="D83" s="109">
        <f>Middle!R18</f>
        <v>2307.4028516274425</v>
      </c>
      <c r="E83" s="109">
        <f>Rich!R18</f>
        <v>403.95618288041288</v>
      </c>
      <c r="F83" s="109">
        <f>V.Poor!T18</f>
        <v>2066.4008161399674</v>
      </c>
      <c r="G83" s="109">
        <f>Poor!T18</f>
        <v>2107.0126482810269</v>
      </c>
      <c r="H83" s="109">
        <f>Middle!T18</f>
        <v>1875.2040370549289</v>
      </c>
      <c r="I83" s="109">
        <f>Rich!T18</f>
        <v>328.28942826758424</v>
      </c>
    </row>
    <row r="84" spans="1:9">
      <c r="A84" t="str">
        <f>V.Poor!Q19</f>
        <v>Food transfer - gifts</v>
      </c>
      <c r="B84" s="109">
        <f>V.Poor!R19</f>
        <v>0</v>
      </c>
      <c r="C84" s="109">
        <f>Poor!R19</f>
        <v>0</v>
      </c>
      <c r="D84" s="109">
        <f>Middle!R19</f>
        <v>0</v>
      </c>
      <c r="E84" s="109">
        <f>Rich!R19</f>
        <v>0</v>
      </c>
      <c r="F84" s="109">
        <f>V.Poor!T19</f>
        <v>0</v>
      </c>
      <c r="G84" s="109">
        <f>Poor!T19</f>
        <v>0</v>
      </c>
      <c r="H84" s="109">
        <f>Middle!T19</f>
        <v>0</v>
      </c>
      <c r="I84" s="109">
        <f>Rich!T19</f>
        <v>0</v>
      </c>
    </row>
    <row r="85" spans="1:9">
      <c r="A85" t="str">
        <f>V.Poor!Q20</f>
        <v>Cash transfer - official</v>
      </c>
      <c r="B85" s="109">
        <f>V.Poor!R20</f>
        <v>23585.858917761736</v>
      </c>
      <c r="C85" s="109">
        <f>Poor!R20</f>
        <v>31271.442953672617</v>
      </c>
      <c r="D85" s="109">
        <f>Middle!R20</f>
        <v>9343.217663344205</v>
      </c>
      <c r="E85" s="109">
        <f>Rich!R20</f>
        <v>11264.238186571814</v>
      </c>
      <c r="F85" s="109">
        <f>V.Poor!T20</f>
        <v>22618.239999999998</v>
      </c>
      <c r="G85" s="109">
        <f>Poor!T20</f>
        <v>29988.519999999997</v>
      </c>
      <c r="H85" s="109">
        <f>Middle!T20</f>
        <v>8959.9085714285702</v>
      </c>
      <c r="I85" s="109">
        <f>Rich!T20</f>
        <v>10802.057142857142</v>
      </c>
    </row>
    <row r="86" spans="1:9">
      <c r="A86" t="str">
        <f>V.Poor!Q21</f>
        <v>Cash transfer - gifts</v>
      </c>
      <c r="B86" s="109">
        <f>V.Poor!R21</f>
        <v>0</v>
      </c>
      <c r="C86" s="109">
        <f>Poor!R21</f>
        <v>348.63627017420481</v>
      </c>
      <c r="D86" s="109">
        <f>Middle!R21</f>
        <v>6257.8745637991742</v>
      </c>
      <c r="E86" s="109">
        <f>Rich!R21</f>
        <v>22950.357953165047</v>
      </c>
      <c r="F86" s="109">
        <f>V.Poor!T21</f>
        <v>0</v>
      </c>
      <c r="G86" s="109">
        <f>Poor!T21</f>
        <v>314.5</v>
      </c>
      <c r="H86" s="109">
        <f>Middle!T21</f>
        <v>5645.1428571428569</v>
      </c>
      <c r="I86" s="109">
        <f>Rich!T21</f>
        <v>20703.085714285717</v>
      </c>
    </row>
    <row r="87" spans="1:9">
      <c r="A87" t="str">
        <f>V.Poor!Q22</f>
        <v>Other</v>
      </c>
      <c r="B87" s="109">
        <f>V.Poor!R22</f>
        <v>0</v>
      </c>
      <c r="C87" s="109">
        <f>Poor!R22</f>
        <v>943.77889137746513</v>
      </c>
      <c r="D87" s="109">
        <f>Middle!R22</f>
        <v>0</v>
      </c>
      <c r="E87" s="109">
        <f>Rich!R22</f>
        <v>0</v>
      </c>
      <c r="F87" s="109">
        <f>V.Poor!T22</f>
        <v>0</v>
      </c>
      <c r="G87" s="109">
        <f>Poor!T22</f>
        <v>767</v>
      </c>
      <c r="H87" s="109">
        <f>Middle!T22</f>
        <v>0</v>
      </c>
      <c r="I87" s="109">
        <f>Rich!T22</f>
        <v>0</v>
      </c>
    </row>
    <row r="88" spans="1:9">
      <c r="A88" t="str">
        <f>V.Poor!Q23</f>
        <v>TOTAL</v>
      </c>
      <c r="B88" s="109">
        <f>V.Poor!R23</f>
        <v>43351.162705051131</v>
      </c>
      <c r="C88" s="109">
        <f>Poor!R23</f>
        <v>63955.803032966454</v>
      </c>
      <c r="D88" s="109">
        <f>Middle!R23</f>
        <v>144466.25089200071</v>
      </c>
      <c r="E88" s="109">
        <f>Rich!R23</f>
        <v>307447.94455908786</v>
      </c>
      <c r="F88" s="109">
        <f>V.Poor!T23</f>
        <v>34469.076766786195</v>
      </c>
      <c r="G88" s="109">
        <f>Poor!T23</f>
        <v>49946.885166404507</v>
      </c>
      <c r="H88" s="109">
        <f>Middle!T23</f>
        <v>69966.875274990831</v>
      </c>
      <c r="I88" s="109">
        <f>Rich!T23</f>
        <v>158896.97788347333</v>
      </c>
    </row>
    <row r="89" spans="1:9">
      <c r="A89" t="str">
        <f>V.Poor!Q24</f>
        <v>Food Poverty line</v>
      </c>
      <c r="B89" s="109">
        <f>V.Poor!R24</f>
        <v>31035.992491963734</v>
      </c>
      <c r="C89" s="109">
        <f>Poor!R24</f>
        <v>31035.992491963734</v>
      </c>
      <c r="D89" s="109">
        <f>Middle!R24</f>
        <v>31035.99249196376</v>
      </c>
      <c r="E89" s="109">
        <f>Rich!R24</f>
        <v>31035.227765379786</v>
      </c>
      <c r="F89" s="109">
        <f>V.Poor!T24</f>
        <v>31035.992491963734</v>
      </c>
      <c r="G89" s="109">
        <f>Poor!T24</f>
        <v>31035.992491963734</v>
      </c>
      <c r="H89" s="109">
        <f>Middle!T24</f>
        <v>31035.99249196376</v>
      </c>
      <c r="I89" s="109">
        <f>Rich!T24</f>
        <v>31035.227765379786</v>
      </c>
    </row>
    <row r="90" spans="1:9">
      <c r="A90" s="108" t="str">
        <f>V.Poor!Q25</f>
        <v>Lower Bound Poverty line</v>
      </c>
      <c r="B90" s="109">
        <f>V.Poor!R25</f>
        <v>47999.934714185954</v>
      </c>
      <c r="C90" s="109">
        <f>Poor!R25</f>
        <v>47999.934714185954</v>
      </c>
      <c r="D90" s="109">
        <f>Middle!R25</f>
        <v>47999.934714185954</v>
      </c>
      <c r="E90" s="109">
        <f>Rich!R25</f>
        <v>47999.169987601977</v>
      </c>
      <c r="F90" s="109">
        <f>V.Poor!T25</f>
        <v>47999.934714185954</v>
      </c>
      <c r="G90" s="109">
        <f>Poor!T25</f>
        <v>47999.934714185954</v>
      </c>
      <c r="H90" s="109">
        <f>Middle!T25</f>
        <v>47999.934714185954</v>
      </c>
      <c r="I90" s="109">
        <f>Rich!T25</f>
        <v>47999.169987601977</v>
      </c>
    </row>
    <row r="91" spans="1:9">
      <c r="A91" s="108" t="str">
        <f>V.Poor!Q26</f>
        <v>Upper Bound Poverty line</v>
      </c>
      <c r="B91" s="109">
        <f>V.Poor!R26</f>
        <v>79373.774714185958</v>
      </c>
      <c r="C91" s="109">
        <f>Poor!R26</f>
        <v>79373.774714185944</v>
      </c>
      <c r="D91" s="109">
        <f>Middle!R26</f>
        <v>79373.774714185958</v>
      </c>
      <c r="E91" s="109">
        <f>Rich!R26</f>
        <v>79373.009987601981</v>
      </c>
      <c r="F91" s="109">
        <f>V.Poor!T26</f>
        <v>79373.774714185958</v>
      </c>
      <c r="G91" s="109">
        <f>Poor!T26</f>
        <v>79373.774714185944</v>
      </c>
      <c r="H91" s="109">
        <f>Middle!T26</f>
        <v>79373.774714185958</v>
      </c>
      <c r="I91" s="109">
        <f>Rich!T26</f>
        <v>79373.009987601981</v>
      </c>
    </row>
    <row r="92" spans="1:9">
      <c r="A92" s="108" t="str">
        <f>V.Poor!Q27</f>
        <v>Resilience line</v>
      </c>
      <c r="B92" s="109">
        <f>V.Poor!R27</f>
        <v>0</v>
      </c>
      <c r="C92" s="109">
        <f>Poor!R27</f>
        <v>0</v>
      </c>
      <c r="D92" s="109">
        <f>Middle!R27</f>
        <v>0</v>
      </c>
      <c r="E92" s="109">
        <f>Rich!R27</f>
        <v>0</v>
      </c>
      <c r="F92" s="109">
        <f>V.Poor!T27</f>
        <v>0</v>
      </c>
      <c r="G92" s="109">
        <f>Poor!T27</f>
        <v>0</v>
      </c>
      <c r="H92" s="109">
        <f>Middle!T27</f>
        <v>0</v>
      </c>
      <c r="I92" s="109">
        <f>Rich!T27</f>
        <v>0</v>
      </c>
    </row>
    <row r="93" spans="1:9">
      <c r="A93" t="str">
        <f>V.Poor!Q24</f>
        <v>Food Poverty line</v>
      </c>
      <c r="F93" s="109">
        <f>V.Poor!T24</f>
        <v>31035.992491963734</v>
      </c>
      <c r="G93" s="109">
        <f>Poor!T24</f>
        <v>31035.992491963734</v>
      </c>
      <c r="H93" s="109">
        <f>Middle!T24</f>
        <v>31035.99249196376</v>
      </c>
      <c r="I93" s="109">
        <f>Rich!T24</f>
        <v>31035.227765379786</v>
      </c>
    </row>
    <row r="94" spans="1:9">
      <c r="A94" t="str">
        <f>V.Poor!Q25</f>
        <v>Lower Bound Poverty line</v>
      </c>
      <c r="F94" s="109">
        <f>V.Poor!T25</f>
        <v>47999.934714185954</v>
      </c>
      <c r="G94" s="109">
        <f>Poor!T25</f>
        <v>47999.934714185954</v>
      </c>
      <c r="H94" s="109">
        <f>Middle!T25</f>
        <v>47999.934714185954</v>
      </c>
      <c r="I94" s="109">
        <f>Rich!T25</f>
        <v>47999.169987601977</v>
      </c>
    </row>
    <row r="95" spans="1:9">
      <c r="A95" t="str">
        <f>V.Poor!Q26</f>
        <v>Upper Bound Poverty line</v>
      </c>
      <c r="F95" s="109">
        <f>V.Poor!T26</f>
        <v>79373.774714185958</v>
      </c>
      <c r="G95" s="109">
        <f>Poor!T26</f>
        <v>79373.774714185944</v>
      </c>
      <c r="H95" s="109">
        <f>Middle!T26</f>
        <v>79373.774714185958</v>
      </c>
      <c r="I95" s="109">
        <f>Rich!T26</f>
        <v>79373.009987601981</v>
      </c>
    </row>
    <row r="96" spans="1:9">
      <c r="A96" t="str">
        <f>V.Poor!Q27</f>
        <v>Resilience line</v>
      </c>
      <c r="F96" s="109">
        <f>V.Poor!T27</f>
        <v>0</v>
      </c>
      <c r="G96" s="109">
        <f>Poor!T27</f>
        <v>0</v>
      </c>
      <c r="H96" s="109">
        <f>Middle!T27</f>
        <v>0</v>
      </c>
      <c r="I96" s="109">
        <f>Rich!T27</f>
        <v>0</v>
      </c>
    </row>
    <row r="98" spans="1:9">
      <c r="A98" t="s">
        <v>141</v>
      </c>
      <c r="B98" s="239">
        <f>IF(B89&gt;B$88,B89-B$88,0)</f>
        <v>0</v>
      </c>
      <c r="C98" s="239">
        <f t="shared" ref="C98:I101" si="0">IF(C89&gt;C$88,C89-C$88,0)</f>
        <v>0</v>
      </c>
      <c r="D98" s="239">
        <f t="shared" si="0"/>
        <v>0</v>
      </c>
      <c r="E98" s="239">
        <f t="shared" si="0"/>
        <v>0</v>
      </c>
      <c r="F98" s="239">
        <f t="shared" si="0"/>
        <v>0</v>
      </c>
      <c r="G98" s="239">
        <f t="shared" si="0"/>
        <v>0</v>
      </c>
      <c r="H98" s="239">
        <f t="shared" si="0"/>
        <v>0</v>
      </c>
      <c r="I98" s="239">
        <f t="shared" si="0"/>
        <v>0</v>
      </c>
    </row>
    <row r="99" spans="1:9">
      <c r="A99" t="s">
        <v>142</v>
      </c>
      <c r="B99" s="239">
        <f>IF(B90&gt;B$88,B90-B$88,0)</f>
        <v>4648.7720091348237</v>
      </c>
      <c r="C99" s="239">
        <f t="shared" si="0"/>
        <v>0</v>
      </c>
      <c r="D99" s="239">
        <f t="shared" si="0"/>
        <v>0</v>
      </c>
      <c r="E99" s="239">
        <f t="shared" si="0"/>
        <v>0</v>
      </c>
      <c r="F99" s="239">
        <f t="shared" si="0"/>
        <v>13530.85794739976</v>
      </c>
      <c r="G99" s="239">
        <f t="shared" si="0"/>
        <v>0</v>
      </c>
      <c r="H99" s="239">
        <f t="shared" si="0"/>
        <v>0</v>
      </c>
      <c r="I99" s="239">
        <f t="shared" si="0"/>
        <v>0</v>
      </c>
    </row>
    <row r="100" spans="1:9">
      <c r="A100" t="s">
        <v>143</v>
      </c>
      <c r="B100" s="239">
        <f>IF(B91&gt;B$88,B91-B$88,0)</f>
        <v>36022.612009134828</v>
      </c>
      <c r="C100" s="239">
        <f t="shared" si="0"/>
        <v>15417.971681219489</v>
      </c>
      <c r="D100" s="239">
        <f t="shared" si="0"/>
        <v>0</v>
      </c>
      <c r="E100" s="239">
        <f t="shared" si="0"/>
        <v>0</v>
      </c>
      <c r="F100" s="239">
        <f t="shared" si="0"/>
        <v>44904.697947399764</v>
      </c>
      <c r="G100" s="239">
        <f t="shared" si="0"/>
        <v>29426.889547781437</v>
      </c>
      <c r="H100" s="239">
        <f t="shared" si="0"/>
        <v>9406.8994391951273</v>
      </c>
      <c r="I100" s="239">
        <f t="shared" si="0"/>
        <v>0</v>
      </c>
    </row>
    <row r="101" spans="1:9">
      <c r="A101" t="s">
        <v>144</v>
      </c>
      <c r="B101" s="239">
        <f>IF(B92&gt;B$88,B92-B$88,0)</f>
        <v>0</v>
      </c>
      <c r="C101" s="239">
        <f t="shared" si="0"/>
        <v>0</v>
      </c>
      <c r="D101" s="239">
        <f t="shared" si="0"/>
        <v>0</v>
      </c>
      <c r="E101" s="239">
        <f t="shared" si="0"/>
        <v>0</v>
      </c>
      <c r="F101" s="239">
        <f t="shared" si="0"/>
        <v>0</v>
      </c>
      <c r="G101" s="239">
        <f t="shared" si="0"/>
        <v>0</v>
      </c>
      <c r="H101" s="239">
        <f t="shared" si="0"/>
        <v>0</v>
      </c>
      <c r="I101" s="239">
        <f t="shared" si="0"/>
        <v>0</v>
      </c>
    </row>
  </sheetData>
  <mergeCells count="5">
    <mergeCell ref="R3:U3"/>
    <mergeCell ref="K2:Q2"/>
    <mergeCell ref="C3:E3"/>
    <mergeCell ref="G3:J3"/>
    <mergeCell ref="L3:P3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zoomScale="75" workbookViewId="0">
      <selection activeCell="Z18" sqref="Z18"/>
    </sheetView>
  </sheetViews>
  <sheetFormatPr baseColWidth="10" defaultColWidth="8.7109375" defaultRowHeight="15" x14ac:dyDescent="0"/>
  <cols>
    <col min="5" max="5" width="13.28515625" customWidth="1"/>
  </cols>
  <sheetData>
    <row r="1" spans="1:22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s="251" customFormat="1" ht="19">
      <c r="A2" s="248"/>
      <c r="B2" s="248"/>
      <c r="C2" s="248"/>
      <c r="D2" s="248"/>
      <c r="E2" s="248"/>
      <c r="F2" s="248"/>
      <c r="G2" s="246"/>
      <c r="H2" s="246"/>
      <c r="I2" s="246"/>
      <c r="J2" s="246"/>
      <c r="K2" s="265" t="str">
        <f>Poor!A1</f>
        <v>ZA1XX, 59100</v>
      </c>
      <c r="L2" s="265"/>
      <c r="M2" s="265"/>
      <c r="N2" s="265"/>
      <c r="O2" s="265"/>
      <c r="P2" s="265"/>
      <c r="Q2" s="265"/>
      <c r="R2" s="248"/>
      <c r="S2" s="248"/>
      <c r="T2" s="248"/>
      <c r="U2" s="248"/>
      <c r="V2" s="248"/>
    </row>
    <row r="3" spans="1:22" s="92" customFormat="1" ht="17">
      <c r="A3" s="90"/>
      <c r="B3" s="266" t="str">
        <f>V.Poor!A67</f>
        <v>Expenditure : Very Poor HHs</v>
      </c>
      <c r="C3" s="266"/>
      <c r="D3" s="266"/>
      <c r="E3" s="266"/>
      <c r="F3" s="250"/>
      <c r="G3" s="264" t="str">
        <f>Poor!A67</f>
        <v>Expenditure : Poor HHs</v>
      </c>
      <c r="H3" s="264"/>
      <c r="I3" s="264"/>
      <c r="J3" s="264"/>
      <c r="K3" s="246"/>
      <c r="L3" s="264" t="str">
        <f>Middle!A67</f>
        <v>Expenditure : Middle HHs</v>
      </c>
      <c r="M3" s="264"/>
      <c r="N3" s="264"/>
      <c r="O3" s="264"/>
      <c r="P3" s="264"/>
      <c r="Q3" s="247"/>
      <c r="R3" s="264" t="str">
        <f>Rich!A67</f>
        <v>Expenditure : Better-off HHs</v>
      </c>
      <c r="S3" s="264"/>
      <c r="T3" s="264"/>
      <c r="U3" s="264"/>
      <c r="V3" s="90"/>
    </row>
    <row r="4" spans="1:2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</sheetData>
  <mergeCells count="5">
    <mergeCell ref="R3:U3"/>
    <mergeCell ref="K2:Q2"/>
    <mergeCell ref="B3:E3"/>
    <mergeCell ref="G3:J3"/>
    <mergeCell ref="L3:P3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20"/>
  <sheetViews>
    <sheetView zoomScale="125" zoomScaleNormal="125" zoomScalePageLayoutView="125" workbookViewId="0">
      <pane xSplit="1" ySplit="2" topLeftCell="B70" activePane="bottomRight" state="frozen"/>
      <selection pane="topRight" activeCell="B1" sqref="B1"/>
      <selection pane="bottomLeft" activeCell="A3" sqref="A3"/>
      <selection pane="bottomRight" activeCell="A78" sqref="A78:A81"/>
    </sheetView>
  </sheetViews>
  <sheetFormatPr baseColWidth="10" defaultColWidth="11.5703125" defaultRowHeight="11" x14ac:dyDescent="0"/>
  <cols>
    <col min="1" max="1" width="23.28515625" style="201" bestFit="1" customWidth="1"/>
    <col min="2" max="2" width="9" style="201" bestFit="1" customWidth="1"/>
    <col min="3" max="4" width="6.5703125" style="201" bestFit="1" customWidth="1"/>
    <col min="5" max="5" width="8.28515625" style="201" bestFit="1" customWidth="1"/>
    <col min="6" max="9" width="7.5703125" style="201" bestFit="1" customWidth="1"/>
    <col min="10" max="10" width="8.42578125" style="201" bestFit="1" customWidth="1"/>
    <col min="11" max="14" width="7.5703125" style="201" bestFit="1" customWidth="1"/>
    <col min="15" max="15" width="8.28515625" style="201" customWidth="1"/>
    <col min="16" max="43" width="7.42578125" style="201" bestFit="1" customWidth="1"/>
    <col min="44" max="89" width="8.42578125" style="201" bestFit="1" customWidth="1"/>
    <col min="90" max="105" width="9.42578125" style="201" bestFit="1" customWidth="1"/>
    <col min="106" max="16384" width="11.5703125" style="201"/>
  </cols>
  <sheetData>
    <row r="1" spans="1:106">
      <c r="B1" s="201" t="s">
        <v>97</v>
      </c>
      <c r="C1" s="201" t="s">
        <v>96</v>
      </c>
      <c r="D1" s="201" t="s">
        <v>98</v>
      </c>
      <c r="E1" s="201" t="s">
        <v>99</v>
      </c>
    </row>
    <row r="2" spans="1:106">
      <c r="B2" s="202">
        <v>0.39500000000000002</v>
      </c>
      <c r="C2" s="202">
        <v>0.33499999999999996</v>
      </c>
      <c r="D2" s="202">
        <v>0.16499999999999998</v>
      </c>
      <c r="E2" s="202">
        <v>0.10500000000000001</v>
      </c>
      <c r="F2" s="202">
        <v>0.01</v>
      </c>
      <c r="G2" s="202">
        <v>0.02</v>
      </c>
      <c r="H2" s="202">
        <v>0.03</v>
      </c>
      <c r="I2" s="202">
        <v>0.04</v>
      </c>
      <c r="J2" s="202">
        <v>0.05</v>
      </c>
      <c r="K2" s="202">
        <v>0.06</v>
      </c>
      <c r="L2" s="202">
        <v>7.0000000000000007E-2</v>
      </c>
      <c r="M2" s="202">
        <v>0.08</v>
      </c>
      <c r="N2" s="202">
        <v>0.09</v>
      </c>
      <c r="O2" s="202">
        <v>0.1</v>
      </c>
      <c r="P2" s="202">
        <v>0.11</v>
      </c>
      <c r="Q2" s="202">
        <v>0.12</v>
      </c>
      <c r="R2" s="202">
        <v>0.13</v>
      </c>
      <c r="S2" s="202">
        <v>0.14000000000000001</v>
      </c>
      <c r="T2" s="202">
        <v>0.15</v>
      </c>
      <c r="U2" s="202">
        <v>0.16</v>
      </c>
      <c r="V2" s="202">
        <v>0.17</v>
      </c>
      <c r="W2" s="202">
        <v>0.18</v>
      </c>
      <c r="X2" s="202">
        <v>0.19</v>
      </c>
      <c r="Y2" s="202">
        <v>0.2</v>
      </c>
      <c r="Z2" s="202">
        <v>0.21</v>
      </c>
      <c r="AA2" s="202">
        <v>0.22</v>
      </c>
      <c r="AB2" s="202">
        <v>0.23</v>
      </c>
      <c r="AC2" s="202">
        <v>0.24</v>
      </c>
      <c r="AD2" s="202">
        <v>0.25</v>
      </c>
      <c r="AE2" s="202">
        <v>0.26</v>
      </c>
      <c r="AF2" s="202">
        <v>0.27</v>
      </c>
      <c r="AG2" s="202">
        <v>0.28000000000000003</v>
      </c>
      <c r="AH2" s="202">
        <v>0.28999999999999998</v>
      </c>
      <c r="AI2" s="202">
        <v>0.3</v>
      </c>
      <c r="AJ2" s="202">
        <v>0.31</v>
      </c>
      <c r="AK2" s="202">
        <v>0.32</v>
      </c>
      <c r="AL2" s="202">
        <v>0.33</v>
      </c>
      <c r="AM2" s="202">
        <v>0.34</v>
      </c>
      <c r="AN2" s="202">
        <v>0.35</v>
      </c>
      <c r="AO2" s="202">
        <v>0.36</v>
      </c>
      <c r="AP2" s="202">
        <v>0.37</v>
      </c>
      <c r="AQ2" s="202">
        <v>0.38</v>
      </c>
      <c r="AR2" s="202">
        <v>0.39</v>
      </c>
      <c r="AS2" s="202">
        <v>0.4</v>
      </c>
      <c r="AT2" s="202">
        <v>0.41</v>
      </c>
      <c r="AU2" s="202">
        <v>0.42</v>
      </c>
      <c r="AV2" s="202">
        <v>0.43</v>
      </c>
      <c r="AW2" s="202">
        <v>0.44</v>
      </c>
      <c r="AX2" s="202">
        <v>0.45</v>
      </c>
      <c r="AY2" s="202">
        <v>0.46</v>
      </c>
      <c r="AZ2" s="202">
        <v>0.47</v>
      </c>
      <c r="BA2" s="202">
        <v>0.48</v>
      </c>
      <c r="BB2" s="202">
        <v>0.49</v>
      </c>
      <c r="BC2" s="202">
        <v>0.5</v>
      </c>
      <c r="BD2" s="202">
        <v>0.51</v>
      </c>
      <c r="BE2" s="202">
        <v>0.52</v>
      </c>
      <c r="BF2" s="202">
        <v>0.53</v>
      </c>
      <c r="BG2" s="202">
        <v>0.54</v>
      </c>
      <c r="BH2" s="202">
        <v>0.55000000000000004</v>
      </c>
      <c r="BI2" s="202">
        <v>0.56000000000000005</v>
      </c>
      <c r="BJ2" s="202">
        <v>0.56999999999999995</v>
      </c>
      <c r="BK2" s="202">
        <v>0.57999999999999996</v>
      </c>
      <c r="BL2" s="202">
        <v>0.59</v>
      </c>
      <c r="BM2" s="202">
        <v>0.6</v>
      </c>
      <c r="BN2" s="202">
        <v>0.61</v>
      </c>
      <c r="BO2" s="202">
        <v>0.62</v>
      </c>
      <c r="BP2" s="202">
        <v>0.63</v>
      </c>
      <c r="BQ2" s="202">
        <v>0.64</v>
      </c>
      <c r="BR2" s="202">
        <v>0.65</v>
      </c>
      <c r="BS2" s="202">
        <v>0.66</v>
      </c>
      <c r="BT2" s="202">
        <v>0.67</v>
      </c>
      <c r="BU2" s="202">
        <v>0.68</v>
      </c>
      <c r="BV2" s="202">
        <v>0.69</v>
      </c>
      <c r="BW2" s="202">
        <v>0.7</v>
      </c>
      <c r="BX2" s="202">
        <v>0.71</v>
      </c>
      <c r="BY2" s="202">
        <v>0.72</v>
      </c>
      <c r="BZ2" s="202">
        <v>0.73</v>
      </c>
      <c r="CA2" s="202">
        <v>0.74</v>
      </c>
      <c r="CB2" s="202">
        <v>0.75</v>
      </c>
      <c r="CC2" s="202">
        <v>0.76</v>
      </c>
      <c r="CD2" s="202">
        <v>0.77</v>
      </c>
      <c r="CE2" s="202">
        <v>0.78</v>
      </c>
      <c r="CF2" s="202">
        <v>0.79</v>
      </c>
      <c r="CG2" s="202">
        <v>0.8</v>
      </c>
      <c r="CH2" s="202">
        <v>0.81</v>
      </c>
      <c r="CI2" s="202">
        <v>0.82</v>
      </c>
      <c r="CJ2" s="202">
        <v>0.83</v>
      </c>
      <c r="CK2" s="202">
        <v>0.84</v>
      </c>
      <c r="CL2" s="202">
        <v>0.85</v>
      </c>
      <c r="CM2" s="202">
        <v>0.86</v>
      </c>
      <c r="CN2" s="202">
        <v>0.87</v>
      </c>
      <c r="CO2" s="202">
        <v>0.88</v>
      </c>
      <c r="CP2" s="202">
        <v>0.89</v>
      </c>
      <c r="CQ2" s="202">
        <v>0.9</v>
      </c>
      <c r="CR2" s="202">
        <v>0.91</v>
      </c>
      <c r="CS2" s="202">
        <v>0.92</v>
      </c>
      <c r="CT2" s="202">
        <v>0.93</v>
      </c>
      <c r="CU2" s="202">
        <v>0.94</v>
      </c>
      <c r="CV2" s="202">
        <v>0.95</v>
      </c>
      <c r="CW2" s="202">
        <v>0.96</v>
      </c>
      <c r="CX2" s="202">
        <v>0.97</v>
      </c>
      <c r="CY2" s="202">
        <v>0.98</v>
      </c>
      <c r="CZ2" s="202">
        <v>0.99</v>
      </c>
      <c r="DA2" s="202">
        <v>1</v>
      </c>
      <c r="DB2" s="202"/>
    </row>
    <row r="3" spans="1:106">
      <c r="A3" s="201" t="str">
        <f>Income!A72</f>
        <v>Own crops Consumed</v>
      </c>
      <c r="B3" s="203">
        <f>Income!B72</f>
        <v>1637.8612483790453</v>
      </c>
      <c r="C3" s="203">
        <f>Income!C72</f>
        <v>3310.8818669346656</v>
      </c>
      <c r="D3" s="203">
        <f>Income!D72</f>
        <v>2890.7355865918666</v>
      </c>
      <c r="E3" s="203">
        <f>Income!E72</f>
        <v>1825.413865737894</v>
      </c>
      <c r="F3" s="204">
        <f t="shared" ref="F3:O12" si="0">IF(F$2&lt;=($B$2+$C$2+$D$2),IF(F$2&lt;=($B$2+$C$2),IF(F$2&lt;=$B$2,$B3,$C3),$D3),$E3)</f>
        <v>1637.8612483790453</v>
      </c>
      <c r="G3" s="204">
        <f t="shared" si="0"/>
        <v>1637.8612483790453</v>
      </c>
      <c r="H3" s="204">
        <f t="shared" si="0"/>
        <v>1637.8612483790453</v>
      </c>
      <c r="I3" s="204">
        <f t="shared" si="0"/>
        <v>1637.8612483790453</v>
      </c>
      <c r="J3" s="204">
        <f t="shared" si="0"/>
        <v>1637.8612483790453</v>
      </c>
      <c r="K3" s="204">
        <f t="shared" si="0"/>
        <v>1637.8612483790453</v>
      </c>
      <c r="L3" s="204">
        <f t="shared" si="0"/>
        <v>1637.8612483790453</v>
      </c>
      <c r="M3" s="204">
        <f t="shared" si="0"/>
        <v>1637.8612483790453</v>
      </c>
      <c r="N3" s="204">
        <f t="shared" si="0"/>
        <v>1637.8612483790453</v>
      </c>
      <c r="O3" s="204">
        <f t="shared" si="0"/>
        <v>1637.8612483790453</v>
      </c>
      <c r="P3" s="204">
        <f t="shared" ref="P3:Y12" si="1">IF(P$2&lt;=($B$2+$C$2+$D$2),IF(P$2&lt;=($B$2+$C$2),IF(P$2&lt;=$B$2,$B3,$C3),$D3),$E3)</f>
        <v>1637.8612483790453</v>
      </c>
      <c r="Q3" s="204">
        <f t="shared" si="1"/>
        <v>1637.8612483790453</v>
      </c>
      <c r="R3" s="204">
        <f t="shared" si="1"/>
        <v>1637.8612483790453</v>
      </c>
      <c r="S3" s="204">
        <f t="shared" si="1"/>
        <v>1637.8612483790453</v>
      </c>
      <c r="T3" s="204">
        <f t="shared" si="1"/>
        <v>1637.8612483790453</v>
      </c>
      <c r="U3" s="204">
        <f t="shared" si="1"/>
        <v>1637.8612483790453</v>
      </c>
      <c r="V3" s="204">
        <f t="shared" si="1"/>
        <v>1637.8612483790453</v>
      </c>
      <c r="W3" s="204">
        <f t="shared" si="1"/>
        <v>1637.8612483790453</v>
      </c>
      <c r="X3" s="204">
        <f t="shared" si="1"/>
        <v>1637.8612483790453</v>
      </c>
      <c r="Y3" s="204">
        <f t="shared" si="1"/>
        <v>1637.8612483790453</v>
      </c>
      <c r="Z3" s="204">
        <f t="shared" ref="Z3:AI12" si="2">IF(Z$2&lt;=($B$2+$C$2+$D$2),IF(Z$2&lt;=($B$2+$C$2),IF(Z$2&lt;=$B$2,$B3,$C3),$D3),$E3)</f>
        <v>1637.8612483790453</v>
      </c>
      <c r="AA3" s="204">
        <f t="shared" si="2"/>
        <v>1637.8612483790453</v>
      </c>
      <c r="AB3" s="204">
        <f t="shared" si="2"/>
        <v>1637.8612483790453</v>
      </c>
      <c r="AC3" s="204">
        <f t="shared" si="2"/>
        <v>1637.8612483790453</v>
      </c>
      <c r="AD3" s="204">
        <f t="shared" si="2"/>
        <v>1637.8612483790453</v>
      </c>
      <c r="AE3" s="204">
        <f t="shared" si="2"/>
        <v>1637.8612483790453</v>
      </c>
      <c r="AF3" s="204">
        <f t="shared" si="2"/>
        <v>1637.8612483790453</v>
      </c>
      <c r="AG3" s="204">
        <f t="shared" si="2"/>
        <v>1637.8612483790453</v>
      </c>
      <c r="AH3" s="204">
        <f t="shared" si="2"/>
        <v>1637.8612483790453</v>
      </c>
      <c r="AI3" s="204">
        <f t="shared" si="2"/>
        <v>1637.8612483790453</v>
      </c>
      <c r="AJ3" s="204">
        <f t="shared" ref="AJ3:AS12" si="3">IF(AJ$2&lt;=($B$2+$C$2+$D$2),IF(AJ$2&lt;=($B$2+$C$2),IF(AJ$2&lt;=$B$2,$B3,$C3),$D3),$E3)</f>
        <v>1637.8612483790453</v>
      </c>
      <c r="AK3" s="204">
        <f t="shared" si="3"/>
        <v>1637.8612483790453</v>
      </c>
      <c r="AL3" s="204">
        <f t="shared" si="3"/>
        <v>1637.8612483790453</v>
      </c>
      <c r="AM3" s="204">
        <f t="shared" si="3"/>
        <v>1637.8612483790453</v>
      </c>
      <c r="AN3" s="204">
        <f t="shared" si="3"/>
        <v>1637.8612483790453</v>
      </c>
      <c r="AO3" s="204">
        <f t="shared" si="3"/>
        <v>1637.8612483790453</v>
      </c>
      <c r="AP3" s="204">
        <f t="shared" si="3"/>
        <v>1637.8612483790453</v>
      </c>
      <c r="AQ3" s="204">
        <f t="shared" si="3"/>
        <v>1637.8612483790453</v>
      </c>
      <c r="AR3" s="204">
        <f t="shared" si="3"/>
        <v>1637.8612483790453</v>
      </c>
      <c r="AS3" s="204">
        <f t="shared" si="3"/>
        <v>3310.8818669346656</v>
      </c>
      <c r="AT3" s="204">
        <f t="shared" ref="AT3:BC12" si="4">IF(AT$2&lt;=($B$2+$C$2+$D$2),IF(AT$2&lt;=($B$2+$C$2),IF(AT$2&lt;=$B$2,$B3,$C3),$D3),$E3)</f>
        <v>3310.8818669346656</v>
      </c>
      <c r="AU3" s="204">
        <f t="shared" si="4"/>
        <v>3310.8818669346656</v>
      </c>
      <c r="AV3" s="204">
        <f t="shared" si="4"/>
        <v>3310.8818669346656</v>
      </c>
      <c r="AW3" s="204">
        <f t="shared" si="4"/>
        <v>3310.8818669346656</v>
      </c>
      <c r="AX3" s="204">
        <f t="shared" si="4"/>
        <v>3310.8818669346656</v>
      </c>
      <c r="AY3" s="204">
        <f t="shared" si="4"/>
        <v>3310.8818669346656</v>
      </c>
      <c r="AZ3" s="204">
        <f t="shared" si="4"/>
        <v>3310.8818669346656</v>
      </c>
      <c r="BA3" s="204">
        <f t="shared" si="4"/>
        <v>3310.8818669346656</v>
      </c>
      <c r="BB3" s="204">
        <f t="shared" si="4"/>
        <v>3310.8818669346656</v>
      </c>
      <c r="BC3" s="204">
        <f t="shared" si="4"/>
        <v>3310.8818669346656</v>
      </c>
      <c r="BD3" s="204">
        <f t="shared" ref="BD3:BM12" si="5">IF(BD$2&lt;=($B$2+$C$2+$D$2),IF(BD$2&lt;=($B$2+$C$2),IF(BD$2&lt;=$B$2,$B3,$C3),$D3),$E3)</f>
        <v>3310.8818669346656</v>
      </c>
      <c r="BE3" s="204">
        <f t="shared" si="5"/>
        <v>3310.8818669346656</v>
      </c>
      <c r="BF3" s="204">
        <f t="shared" si="5"/>
        <v>3310.8818669346656</v>
      </c>
      <c r="BG3" s="204">
        <f t="shared" si="5"/>
        <v>3310.8818669346656</v>
      </c>
      <c r="BH3" s="204">
        <f t="shared" si="5"/>
        <v>3310.8818669346656</v>
      </c>
      <c r="BI3" s="204">
        <f t="shared" si="5"/>
        <v>3310.8818669346656</v>
      </c>
      <c r="BJ3" s="204">
        <f t="shared" si="5"/>
        <v>3310.8818669346656</v>
      </c>
      <c r="BK3" s="204">
        <f t="shared" si="5"/>
        <v>3310.8818669346656</v>
      </c>
      <c r="BL3" s="204">
        <f t="shared" si="5"/>
        <v>3310.8818669346656</v>
      </c>
      <c r="BM3" s="204">
        <f t="shared" si="5"/>
        <v>3310.8818669346656</v>
      </c>
      <c r="BN3" s="204">
        <f t="shared" ref="BN3:BW12" si="6">IF(BN$2&lt;=($B$2+$C$2+$D$2),IF(BN$2&lt;=($B$2+$C$2),IF(BN$2&lt;=$B$2,$B3,$C3),$D3),$E3)</f>
        <v>3310.8818669346656</v>
      </c>
      <c r="BO3" s="204">
        <f t="shared" si="6"/>
        <v>3310.8818669346656</v>
      </c>
      <c r="BP3" s="204">
        <f t="shared" si="6"/>
        <v>3310.8818669346656</v>
      </c>
      <c r="BQ3" s="204">
        <f t="shared" si="6"/>
        <v>3310.8818669346656</v>
      </c>
      <c r="BR3" s="204">
        <f t="shared" si="6"/>
        <v>3310.8818669346656</v>
      </c>
      <c r="BS3" s="204">
        <f t="shared" si="6"/>
        <v>3310.8818669346656</v>
      </c>
      <c r="BT3" s="204">
        <f t="shared" si="6"/>
        <v>3310.8818669346656</v>
      </c>
      <c r="BU3" s="204">
        <f t="shared" si="6"/>
        <v>3310.8818669346656</v>
      </c>
      <c r="BV3" s="204">
        <f t="shared" si="6"/>
        <v>3310.8818669346656</v>
      </c>
      <c r="BW3" s="204">
        <f t="shared" si="6"/>
        <v>3310.8818669346656</v>
      </c>
      <c r="BX3" s="204">
        <f t="shared" ref="BX3:CG12" si="7">IF(BX$2&lt;=($B$2+$C$2+$D$2),IF(BX$2&lt;=($B$2+$C$2),IF(BX$2&lt;=$B$2,$B3,$C3),$D3),$E3)</f>
        <v>3310.8818669346656</v>
      </c>
      <c r="BY3" s="204">
        <f t="shared" si="7"/>
        <v>3310.8818669346656</v>
      </c>
      <c r="BZ3" s="204">
        <f t="shared" si="7"/>
        <v>3310.8818669346656</v>
      </c>
      <c r="CA3" s="204">
        <f t="shared" si="7"/>
        <v>2890.7355865918666</v>
      </c>
      <c r="CB3" s="204">
        <f t="shared" si="7"/>
        <v>2890.7355865918666</v>
      </c>
      <c r="CC3" s="204">
        <f t="shared" si="7"/>
        <v>2890.7355865918666</v>
      </c>
      <c r="CD3" s="204">
        <f t="shared" si="7"/>
        <v>2890.7355865918666</v>
      </c>
      <c r="CE3" s="204">
        <f t="shared" si="7"/>
        <v>2890.7355865918666</v>
      </c>
      <c r="CF3" s="204">
        <f t="shared" si="7"/>
        <v>2890.7355865918666</v>
      </c>
      <c r="CG3" s="204">
        <f t="shared" si="7"/>
        <v>2890.7355865918666</v>
      </c>
      <c r="CH3" s="204">
        <f t="shared" ref="CH3:CQ12" si="8">IF(CH$2&lt;=($B$2+$C$2+$D$2),IF(CH$2&lt;=($B$2+$C$2),IF(CH$2&lt;=$B$2,$B3,$C3),$D3),$E3)</f>
        <v>2890.7355865918666</v>
      </c>
      <c r="CI3" s="204">
        <f t="shared" si="8"/>
        <v>2890.7355865918666</v>
      </c>
      <c r="CJ3" s="204">
        <f t="shared" si="8"/>
        <v>2890.7355865918666</v>
      </c>
      <c r="CK3" s="204">
        <f t="shared" si="8"/>
        <v>2890.7355865918666</v>
      </c>
      <c r="CL3" s="204">
        <f t="shared" si="8"/>
        <v>2890.7355865918666</v>
      </c>
      <c r="CM3" s="204">
        <f t="shared" si="8"/>
        <v>2890.7355865918666</v>
      </c>
      <c r="CN3" s="204">
        <f t="shared" si="8"/>
        <v>2890.7355865918666</v>
      </c>
      <c r="CO3" s="204">
        <f t="shared" si="8"/>
        <v>2890.7355865918666</v>
      </c>
      <c r="CP3" s="204">
        <f t="shared" si="8"/>
        <v>2890.7355865918666</v>
      </c>
      <c r="CQ3" s="204">
        <f t="shared" si="8"/>
        <v>1825.413865737894</v>
      </c>
      <c r="CR3" s="204">
        <f t="shared" ref="CR3:DA12" si="9">IF(CR$2&lt;=($B$2+$C$2+$D$2),IF(CR$2&lt;=($B$2+$C$2),IF(CR$2&lt;=$B$2,$B3,$C3),$D3),$E3)</f>
        <v>1825.413865737894</v>
      </c>
      <c r="CS3" s="204">
        <f t="shared" si="9"/>
        <v>1825.413865737894</v>
      </c>
      <c r="CT3" s="204">
        <f t="shared" si="9"/>
        <v>1825.413865737894</v>
      </c>
      <c r="CU3" s="204">
        <f t="shared" si="9"/>
        <v>1825.413865737894</v>
      </c>
      <c r="CV3" s="204">
        <f t="shared" si="9"/>
        <v>1825.413865737894</v>
      </c>
      <c r="CW3" s="204">
        <f t="shared" si="9"/>
        <v>1825.413865737894</v>
      </c>
      <c r="CX3" s="204">
        <f t="shared" si="9"/>
        <v>1825.413865737894</v>
      </c>
      <c r="CY3" s="204">
        <f t="shared" si="9"/>
        <v>1825.413865737894</v>
      </c>
      <c r="CZ3" s="204">
        <f t="shared" si="9"/>
        <v>1825.413865737894</v>
      </c>
      <c r="DA3" s="204">
        <f t="shared" si="9"/>
        <v>1825.413865737894</v>
      </c>
      <c r="DB3" s="204"/>
    </row>
    <row r="4" spans="1:106">
      <c r="A4" s="201" t="str">
        <f>Income!A73</f>
        <v>Own crops sold</v>
      </c>
      <c r="B4" s="203">
        <f>Income!B73</f>
        <v>25.840100024676357</v>
      </c>
      <c r="C4" s="203">
        <f>Income!C73</f>
        <v>1526.206542727313</v>
      </c>
      <c r="D4" s="203">
        <f>Income!D73</f>
        <v>10861.045216721113</v>
      </c>
      <c r="E4" s="203">
        <f>Income!E73</f>
        <v>22116.438696656045</v>
      </c>
      <c r="F4" s="204">
        <f t="shared" si="0"/>
        <v>25.840100024676357</v>
      </c>
      <c r="G4" s="204">
        <f t="shared" si="0"/>
        <v>25.840100024676357</v>
      </c>
      <c r="H4" s="204">
        <f t="shared" si="0"/>
        <v>25.840100024676357</v>
      </c>
      <c r="I4" s="204">
        <f t="shared" si="0"/>
        <v>25.840100024676357</v>
      </c>
      <c r="J4" s="204">
        <f t="shared" si="0"/>
        <v>25.840100024676357</v>
      </c>
      <c r="K4" s="204">
        <f t="shared" si="0"/>
        <v>25.840100024676357</v>
      </c>
      <c r="L4" s="204">
        <f t="shared" si="0"/>
        <v>25.840100024676357</v>
      </c>
      <c r="M4" s="204">
        <f t="shared" si="0"/>
        <v>25.840100024676357</v>
      </c>
      <c r="N4" s="204">
        <f t="shared" si="0"/>
        <v>25.840100024676357</v>
      </c>
      <c r="O4" s="204">
        <f t="shared" si="0"/>
        <v>25.840100024676357</v>
      </c>
      <c r="P4" s="204">
        <f t="shared" si="1"/>
        <v>25.840100024676357</v>
      </c>
      <c r="Q4" s="204">
        <f t="shared" si="1"/>
        <v>25.840100024676357</v>
      </c>
      <c r="R4" s="204">
        <f t="shared" si="1"/>
        <v>25.840100024676357</v>
      </c>
      <c r="S4" s="204">
        <f t="shared" si="1"/>
        <v>25.840100024676357</v>
      </c>
      <c r="T4" s="204">
        <f t="shared" si="1"/>
        <v>25.840100024676357</v>
      </c>
      <c r="U4" s="204">
        <f t="shared" si="1"/>
        <v>25.840100024676357</v>
      </c>
      <c r="V4" s="204">
        <f t="shared" si="1"/>
        <v>25.840100024676357</v>
      </c>
      <c r="W4" s="204">
        <f t="shared" si="1"/>
        <v>25.840100024676357</v>
      </c>
      <c r="X4" s="204">
        <f t="shared" si="1"/>
        <v>25.840100024676357</v>
      </c>
      <c r="Y4" s="204">
        <f t="shared" si="1"/>
        <v>25.840100024676357</v>
      </c>
      <c r="Z4" s="204">
        <f t="shared" si="2"/>
        <v>25.840100024676357</v>
      </c>
      <c r="AA4" s="204">
        <f t="shared" si="2"/>
        <v>25.840100024676357</v>
      </c>
      <c r="AB4" s="204">
        <f t="shared" si="2"/>
        <v>25.840100024676357</v>
      </c>
      <c r="AC4" s="204">
        <f t="shared" si="2"/>
        <v>25.840100024676357</v>
      </c>
      <c r="AD4" s="204">
        <f t="shared" si="2"/>
        <v>25.840100024676357</v>
      </c>
      <c r="AE4" s="204">
        <f t="shared" si="2"/>
        <v>25.840100024676357</v>
      </c>
      <c r="AF4" s="204">
        <f t="shared" si="2"/>
        <v>25.840100024676357</v>
      </c>
      <c r="AG4" s="204">
        <f t="shared" si="2"/>
        <v>25.840100024676357</v>
      </c>
      <c r="AH4" s="204">
        <f t="shared" si="2"/>
        <v>25.840100024676357</v>
      </c>
      <c r="AI4" s="204">
        <f t="shared" si="2"/>
        <v>25.840100024676357</v>
      </c>
      <c r="AJ4" s="204">
        <f t="shared" si="3"/>
        <v>25.840100024676357</v>
      </c>
      <c r="AK4" s="204">
        <f t="shared" si="3"/>
        <v>25.840100024676357</v>
      </c>
      <c r="AL4" s="204">
        <f t="shared" si="3"/>
        <v>25.840100024676357</v>
      </c>
      <c r="AM4" s="204">
        <f t="shared" si="3"/>
        <v>25.840100024676357</v>
      </c>
      <c r="AN4" s="204">
        <f t="shared" si="3"/>
        <v>25.840100024676357</v>
      </c>
      <c r="AO4" s="204">
        <f t="shared" si="3"/>
        <v>25.840100024676357</v>
      </c>
      <c r="AP4" s="204">
        <f t="shared" si="3"/>
        <v>25.840100024676357</v>
      </c>
      <c r="AQ4" s="204">
        <f t="shared" si="3"/>
        <v>25.840100024676357</v>
      </c>
      <c r="AR4" s="204">
        <f t="shared" si="3"/>
        <v>25.840100024676357</v>
      </c>
      <c r="AS4" s="204">
        <f t="shared" si="3"/>
        <v>1526.206542727313</v>
      </c>
      <c r="AT4" s="204">
        <f t="shared" si="4"/>
        <v>1526.206542727313</v>
      </c>
      <c r="AU4" s="204">
        <f t="shared" si="4"/>
        <v>1526.206542727313</v>
      </c>
      <c r="AV4" s="204">
        <f t="shared" si="4"/>
        <v>1526.206542727313</v>
      </c>
      <c r="AW4" s="204">
        <f t="shared" si="4"/>
        <v>1526.206542727313</v>
      </c>
      <c r="AX4" s="204">
        <f t="shared" si="4"/>
        <v>1526.206542727313</v>
      </c>
      <c r="AY4" s="204">
        <f t="shared" si="4"/>
        <v>1526.206542727313</v>
      </c>
      <c r="AZ4" s="204">
        <f t="shared" si="4"/>
        <v>1526.206542727313</v>
      </c>
      <c r="BA4" s="204">
        <f t="shared" si="4"/>
        <v>1526.206542727313</v>
      </c>
      <c r="BB4" s="204">
        <f t="shared" si="4"/>
        <v>1526.206542727313</v>
      </c>
      <c r="BC4" s="204">
        <f t="shared" si="4"/>
        <v>1526.206542727313</v>
      </c>
      <c r="BD4" s="204">
        <f t="shared" si="5"/>
        <v>1526.206542727313</v>
      </c>
      <c r="BE4" s="204">
        <f t="shared" si="5"/>
        <v>1526.206542727313</v>
      </c>
      <c r="BF4" s="204">
        <f t="shared" si="5"/>
        <v>1526.206542727313</v>
      </c>
      <c r="BG4" s="204">
        <f t="shared" si="5"/>
        <v>1526.206542727313</v>
      </c>
      <c r="BH4" s="204">
        <f t="shared" si="5"/>
        <v>1526.206542727313</v>
      </c>
      <c r="BI4" s="204">
        <f t="shared" si="5"/>
        <v>1526.206542727313</v>
      </c>
      <c r="BJ4" s="204">
        <f t="shared" si="5"/>
        <v>1526.206542727313</v>
      </c>
      <c r="BK4" s="204">
        <f t="shared" si="5"/>
        <v>1526.206542727313</v>
      </c>
      <c r="BL4" s="204">
        <f t="shared" si="5"/>
        <v>1526.206542727313</v>
      </c>
      <c r="BM4" s="204">
        <f t="shared" si="5"/>
        <v>1526.206542727313</v>
      </c>
      <c r="BN4" s="204">
        <f t="shared" si="6"/>
        <v>1526.206542727313</v>
      </c>
      <c r="BO4" s="204">
        <f t="shared" si="6"/>
        <v>1526.206542727313</v>
      </c>
      <c r="BP4" s="204">
        <f t="shared" si="6"/>
        <v>1526.206542727313</v>
      </c>
      <c r="BQ4" s="204">
        <f t="shared" si="6"/>
        <v>1526.206542727313</v>
      </c>
      <c r="BR4" s="204">
        <f t="shared" si="6"/>
        <v>1526.206542727313</v>
      </c>
      <c r="BS4" s="204">
        <f t="shared" si="6"/>
        <v>1526.206542727313</v>
      </c>
      <c r="BT4" s="204">
        <f t="shared" si="6"/>
        <v>1526.206542727313</v>
      </c>
      <c r="BU4" s="204">
        <f t="shared" si="6"/>
        <v>1526.206542727313</v>
      </c>
      <c r="BV4" s="204">
        <f t="shared" si="6"/>
        <v>1526.206542727313</v>
      </c>
      <c r="BW4" s="204">
        <f t="shared" si="6"/>
        <v>1526.206542727313</v>
      </c>
      <c r="BX4" s="204">
        <f t="shared" si="7"/>
        <v>1526.206542727313</v>
      </c>
      <c r="BY4" s="204">
        <f t="shared" si="7"/>
        <v>1526.206542727313</v>
      </c>
      <c r="BZ4" s="204">
        <f t="shared" si="7"/>
        <v>1526.206542727313</v>
      </c>
      <c r="CA4" s="204">
        <f t="shared" si="7"/>
        <v>10861.045216721113</v>
      </c>
      <c r="CB4" s="204">
        <f t="shared" si="7"/>
        <v>10861.045216721113</v>
      </c>
      <c r="CC4" s="204">
        <f t="shared" si="7"/>
        <v>10861.045216721113</v>
      </c>
      <c r="CD4" s="204">
        <f t="shared" si="7"/>
        <v>10861.045216721113</v>
      </c>
      <c r="CE4" s="204">
        <f t="shared" si="7"/>
        <v>10861.045216721113</v>
      </c>
      <c r="CF4" s="204">
        <f t="shared" si="7"/>
        <v>10861.045216721113</v>
      </c>
      <c r="CG4" s="204">
        <f t="shared" si="7"/>
        <v>10861.045216721113</v>
      </c>
      <c r="CH4" s="204">
        <f t="shared" si="8"/>
        <v>10861.045216721113</v>
      </c>
      <c r="CI4" s="204">
        <f t="shared" si="8"/>
        <v>10861.045216721113</v>
      </c>
      <c r="CJ4" s="204">
        <f t="shared" si="8"/>
        <v>10861.045216721113</v>
      </c>
      <c r="CK4" s="204">
        <f t="shared" si="8"/>
        <v>10861.045216721113</v>
      </c>
      <c r="CL4" s="204">
        <f t="shared" si="8"/>
        <v>10861.045216721113</v>
      </c>
      <c r="CM4" s="204">
        <f t="shared" si="8"/>
        <v>10861.045216721113</v>
      </c>
      <c r="CN4" s="204">
        <f t="shared" si="8"/>
        <v>10861.045216721113</v>
      </c>
      <c r="CO4" s="204">
        <f t="shared" si="8"/>
        <v>10861.045216721113</v>
      </c>
      <c r="CP4" s="204">
        <f t="shared" si="8"/>
        <v>10861.045216721113</v>
      </c>
      <c r="CQ4" s="204">
        <f t="shared" si="8"/>
        <v>22116.438696656045</v>
      </c>
      <c r="CR4" s="204">
        <f t="shared" si="9"/>
        <v>22116.438696656045</v>
      </c>
      <c r="CS4" s="204">
        <f t="shared" si="9"/>
        <v>22116.438696656045</v>
      </c>
      <c r="CT4" s="204">
        <f t="shared" si="9"/>
        <v>22116.438696656045</v>
      </c>
      <c r="CU4" s="204">
        <f t="shared" si="9"/>
        <v>22116.438696656045</v>
      </c>
      <c r="CV4" s="204">
        <f t="shared" si="9"/>
        <v>22116.438696656045</v>
      </c>
      <c r="CW4" s="204">
        <f t="shared" si="9"/>
        <v>22116.438696656045</v>
      </c>
      <c r="CX4" s="204">
        <f t="shared" si="9"/>
        <v>22116.438696656045</v>
      </c>
      <c r="CY4" s="204">
        <f t="shared" si="9"/>
        <v>22116.438696656045</v>
      </c>
      <c r="CZ4" s="204">
        <f t="shared" si="9"/>
        <v>22116.438696656045</v>
      </c>
      <c r="DA4" s="204">
        <f t="shared" si="9"/>
        <v>22116.438696656045</v>
      </c>
      <c r="DB4" s="204"/>
    </row>
    <row r="5" spans="1:106">
      <c r="A5" s="201" t="str">
        <f>Income!A74</f>
        <v>Animal products consumed</v>
      </c>
      <c r="B5" s="203">
        <f>Income!B74</f>
        <v>600.96174511333197</v>
      </c>
      <c r="C5" s="203">
        <f>Income!C74</f>
        <v>1095.5690994329716</v>
      </c>
      <c r="D5" s="203">
        <f>Income!D74</f>
        <v>1916.6340270102087</v>
      </c>
      <c r="E5" s="203">
        <f>Income!E74</f>
        <v>2192.2857565535119</v>
      </c>
      <c r="F5" s="204">
        <f t="shared" si="0"/>
        <v>600.96174511333197</v>
      </c>
      <c r="G5" s="204">
        <f t="shared" si="0"/>
        <v>600.96174511333197</v>
      </c>
      <c r="H5" s="204">
        <f t="shared" si="0"/>
        <v>600.96174511333197</v>
      </c>
      <c r="I5" s="204">
        <f t="shared" si="0"/>
        <v>600.96174511333197</v>
      </c>
      <c r="J5" s="204">
        <f t="shared" si="0"/>
        <v>600.96174511333197</v>
      </c>
      <c r="K5" s="204">
        <f t="shared" si="0"/>
        <v>600.96174511333197</v>
      </c>
      <c r="L5" s="204">
        <f t="shared" si="0"/>
        <v>600.96174511333197</v>
      </c>
      <c r="M5" s="204">
        <f t="shared" si="0"/>
        <v>600.96174511333197</v>
      </c>
      <c r="N5" s="204">
        <f t="shared" si="0"/>
        <v>600.96174511333197</v>
      </c>
      <c r="O5" s="204">
        <f t="shared" si="0"/>
        <v>600.96174511333197</v>
      </c>
      <c r="P5" s="204">
        <f t="shared" si="1"/>
        <v>600.96174511333197</v>
      </c>
      <c r="Q5" s="204">
        <f t="shared" si="1"/>
        <v>600.96174511333197</v>
      </c>
      <c r="R5" s="204">
        <f t="shared" si="1"/>
        <v>600.96174511333197</v>
      </c>
      <c r="S5" s="204">
        <f t="shared" si="1"/>
        <v>600.96174511333197</v>
      </c>
      <c r="T5" s="204">
        <f t="shared" si="1"/>
        <v>600.96174511333197</v>
      </c>
      <c r="U5" s="204">
        <f t="shared" si="1"/>
        <v>600.96174511333197</v>
      </c>
      <c r="V5" s="204">
        <f t="shared" si="1"/>
        <v>600.96174511333197</v>
      </c>
      <c r="W5" s="204">
        <f t="shared" si="1"/>
        <v>600.96174511333197</v>
      </c>
      <c r="X5" s="204">
        <f t="shared" si="1"/>
        <v>600.96174511333197</v>
      </c>
      <c r="Y5" s="204">
        <f t="shared" si="1"/>
        <v>600.96174511333197</v>
      </c>
      <c r="Z5" s="204">
        <f t="shared" si="2"/>
        <v>600.96174511333197</v>
      </c>
      <c r="AA5" s="204">
        <f t="shared" si="2"/>
        <v>600.96174511333197</v>
      </c>
      <c r="AB5" s="204">
        <f t="shared" si="2"/>
        <v>600.96174511333197</v>
      </c>
      <c r="AC5" s="204">
        <f t="shared" si="2"/>
        <v>600.96174511333197</v>
      </c>
      <c r="AD5" s="204">
        <f t="shared" si="2"/>
        <v>600.96174511333197</v>
      </c>
      <c r="AE5" s="204">
        <f t="shared" si="2"/>
        <v>600.96174511333197</v>
      </c>
      <c r="AF5" s="204">
        <f t="shared" si="2"/>
        <v>600.96174511333197</v>
      </c>
      <c r="AG5" s="204">
        <f t="shared" si="2"/>
        <v>600.96174511333197</v>
      </c>
      <c r="AH5" s="204">
        <f t="shared" si="2"/>
        <v>600.96174511333197</v>
      </c>
      <c r="AI5" s="204">
        <f t="shared" si="2"/>
        <v>600.96174511333197</v>
      </c>
      <c r="AJ5" s="204">
        <f t="shared" si="3"/>
        <v>600.96174511333197</v>
      </c>
      <c r="AK5" s="204">
        <f t="shared" si="3"/>
        <v>600.96174511333197</v>
      </c>
      <c r="AL5" s="204">
        <f t="shared" si="3"/>
        <v>600.96174511333197</v>
      </c>
      <c r="AM5" s="204">
        <f t="shared" si="3"/>
        <v>600.96174511333197</v>
      </c>
      <c r="AN5" s="204">
        <f t="shared" si="3"/>
        <v>600.96174511333197</v>
      </c>
      <c r="AO5" s="204">
        <f t="shared" si="3"/>
        <v>600.96174511333197</v>
      </c>
      <c r="AP5" s="204">
        <f t="shared" si="3"/>
        <v>600.96174511333197</v>
      </c>
      <c r="AQ5" s="204">
        <f t="shared" si="3"/>
        <v>600.96174511333197</v>
      </c>
      <c r="AR5" s="204">
        <f t="shared" si="3"/>
        <v>600.96174511333197</v>
      </c>
      <c r="AS5" s="204">
        <f t="shared" si="3"/>
        <v>1095.5690994329716</v>
      </c>
      <c r="AT5" s="204">
        <f t="shared" si="4"/>
        <v>1095.5690994329716</v>
      </c>
      <c r="AU5" s="204">
        <f t="shared" si="4"/>
        <v>1095.5690994329716</v>
      </c>
      <c r="AV5" s="204">
        <f t="shared" si="4"/>
        <v>1095.5690994329716</v>
      </c>
      <c r="AW5" s="204">
        <f t="shared" si="4"/>
        <v>1095.5690994329716</v>
      </c>
      <c r="AX5" s="204">
        <f t="shared" si="4"/>
        <v>1095.5690994329716</v>
      </c>
      <c r="AY5" s="204">
        <f t="shared" si="4"/>
        <v>1095.5690994329716</v>
      </c>
      <c r="AZ5" s="204">
        <f t="shared" si="4"/>
        <v>1095.5690994329716</v>
      </c>
      <c r="BA5" s="204">
        <f t="shared" si="4"/>
        <v>1095.5690994329716</v>
      </c>
      <c r="BB5" s="204">
        <f t="shared" si="4"/>
        <v>1095.5690994329716</v>
      </c>
      <c r="BC5" s="204">
        <f t="shared" si="4"/>
        <v>1095.5690994329716</v>
      </c>
      <c r="BD5" s="204">
        <f t="shared" si="5"/>
        <v>1095.5690994329716</v>
      </c>
      <c r="BE5" s="204">
        <f t="shared" si="5"/>
        <v>1095.5690994329716</v>
      </c>
      <c r="BF5" s="204">
        <f t="shared" si="5"/>
        <v>1095.5690994329716</v>
      </c>
      <c r="BG5" s="204">
        <f t="shared" si="5"/>
        <v>1095.5690994329716</v>
      </c>
      <c r="BH5" s="204">
        <f t="shared" si="5"/>
        <v>1095.5690994329716</v>
      </c>
      <c r="BI5" s="204">
        <f t="shared" si="5"/>
        <v>1095.5690994329716</v>
      </c>
      <c r="BJ5" s="204">
        <f t="shared" si="5"/>
        <v>1095.5690994329716</v>
      </c>
      <c r="BK5" s="204">
        <f t="shared" si="5"/>
        <v>1095.5690994329716</v>
      </c>
      <c r="BL5" s="204">
        <f t="shared" si="5"/>
        <v>1095.5690994329716</v>
      </c>
      <c r="BM5" s="204">
        <f t="shared" si="5"/>
        <v>1095.5690994329716</v>
      </c>
      <c r="BN5" s="204">
        <f t="shared" si="6"/>
        <v>1095.5690994329716</v>
      </c>
      <c r="BO5" s="204">
        <f t="shared" si="6"/>
        <v>1095.5690994329716</v>
      </c>
      <c r="BP5" s="204">
        <f t="shared" si="6"/>
        <v>1095.5690994329716</v>
      </c>
      <c r="BQ5" s="204">
        <f t="shared" si="6"/>
        <v>1095.5690994329716</v>
      </c>
      <c r="BR5" s="204">
        <f t="shared" si="6"/>
        <v>1095.5690994329716</v>
      </c>
      <c r="BS5" s="204">
        <f t="shared" si="6"/>
        <v>1095.5690994329716</v>
      </c>
      <c r="BT5" s="204">
        <f t="shared" si="6"/>
        <v>1095.5690994329716</v>
      </c>
      <c r="BU5" s="204">
        <f t="shared" si="6"/>
        <v>1095.5690994329716</v>
      </c>
      <c r="BV5" s="204">
        <f t="shared" si="6"/>
        <v>1095.5690994329716</v>
      </c>
      <c r="BW5" s="204">
        <f t="shared" si="6"/>
        <v>1095.5690994329716</v>
      </c>
      <c r="BX5" s="204">
        <f t="shared" si="7"/>
        <v>1095.5690994329716</v>
      </c>
      <c r="BY5" s="204">
        <f t="shared" si="7"/>
        <v>1095.5690994329716</v>
      </c>
      <c r="BZ5" s="204">
        <f t="shared" si="7"/>
        <v>1095.5690994329716</v>
      </c>
      <c r="CA5" s="204">
        <f t="shared" si="7"/>
        <v>1916.6340270102087</v>
      </c>
      <c r="CB5" s="204">
        <f t="shared" si="7"/>
        <v>1916.6340270102087</v>
      </c>
      <c r="CC5" s="204">
        <f t="shared" si="7"/>
        <v>1916.6340270102087</v>
      </c>
      <c r="CD5" s="204">
        <f t="shared" si="7"/>
        <v>1916.6340270102087</v>
      </c>
      <c r="CE5" s="204">
        <f t="shared" si="7"/>
        <v>1916.6340270102087</v>
      </c>
      <c r="CF5" s="204">
        <f t="shared" si="7"/>
        <v>1916.6340270102087</v>
      </c>
      <c r="CG5" s="204">
        <f t="shared" si="7"/>
        <v>1916.6340270102087</v>
      </c>
      <c r="CH5" s="204">
        <f t="shared" si="8"/>
        <v>1916.6340270102087</v>
      </c>
      <c r="CI5" s="204">
        <f t="shared" si="8"/>
        <v>1916.6340270102087</v>
      </c>
      <c r="CJ5" s="204">
        <f t="shared" si="8"/>
        <v>1916.6340270102087</v>
      </c>
      <c r="CK5" s="204">
        <f t="shared" si="8"/>
        <v>1916.6340270102087</v>
      </c>
      <c r="CL5" s="204">
        <f t="shared" si="8"/>
        <v>1916.6340270102087</v>
      </c>
      <c r="CM5" s="204">
        <f t="shared" si="8"/>
        <v>1916.6340270102087</v>
      </c>
      <c r="CN5" s="204">
        <f t="shared" si="8"/>
        <v>1916.6340270102087</v>
      </c>
      <c r="CO5" s="204">
        <f t="shared" si="8"/>
        <v>1916.6340270102087</v>
      </c>
      <c r="CP5" s="204">
        <f t="shared" si="8"/>
        <v>1916.6340270102087</v>
      </c>
      <c r="CQ5" s="204">
        <f t="shared" si="8"/>
        <v>2192.2857565535119</v>
      </c>
      <c r="CR5" s="204">
        <f t="shared" si="9"/>
        <v>2192.2857565535119</v>
      </c>
      <c r="CS5" s="204">
        <f t="shared" si="9"/>
        <v>2192.2857565535119</v>
      </c>
      <c r="CT5" s="204">
        <f t="shared" si="9"/>
        <v>2192.2857565535119</v>
      </c>
      <c r="CU5" s="204">
        <f t="shared" si="9"/>
        <v>2192.2857565535119</v>
      </c>
      <c r="CV5" s="204">
        <f t="shared" si="9"/>
        <v>2192.2857565535119</v>
      </c>
      <c r="CW5" s="204">
        <f t="shared" si="9"/>
        <v>2192.2857565535119</v>
      </c>
      <c r="CX5" s="204">
        <f t="shared" si="9"/>
        <v>2192.2857565535119</v>
      </c>
      <c r="CY5" s="204">
        <f t="shared" si="9"/>
        <v>2192.2857565535119</v>
      </c>
      <c r="CZ5" s="204">
        <f t="shared" si="9"/>
        <v>2192.2857565535119</v>
      </c>
      <c r="DA5" s="204">
        <f t="shared" si="9"/>
        <v>2192.2857565535119</v>
      </c>
      <c r="DB5" s="204"/>
    </row>
    <row r="6" spans="1:106">
      <c r="A6" s="201" t="str">
        <f>Income!A75</f>
        <v>Animal products sold</v>
      </c>
      <c r="B6" s="203">
        <f>Income!B75</f>
        <v>0</v>
      </c>
      <c r="C6" s="203">
        <f>Income!C75</f>
        <v>0</v>
      </c>
      <c r="D6" s="203">
        <f>Income!D75</f>
        <v>0</v>
      </c>
      <c r="E6" s="203">
        <f>Income!E75</f>
        <v>0</v>
      </c>
      <c r="F6" s="204">
        <f t="shared" si="0"/>
        <v>0</v>
      </c>
      <c r="G6" s="204">
        <f t="shared" si="0"/>
        <v>0</v>
      </c>
      <c r="H6" s="204">
        <f t="shared" si="0"/>
        <v>0</v>
      </c>
      <c r="I6" s="204">
        <f t="shared" si="0"/>
        <v>0</v>
      </c>
      <c r="J6" s="204">
        <f t="shared" si="0"/>
        <v>0</v>
      </c>
      <c r="K6" s="204">
        <f t="shared" si="0"/>
        <v>0</v>
      </c>
      <c r="L6" s="204">
        <f t="shared" si="0"/>
        <v>0</v>
      </c>
      <c r="M6" s="204">
        <f t="shared" si="0"/>
        <v>0</v>
      </c>
      <c r="N6" s="204">
        <f t="shared" si="0"/>
        <v>0</v>
      </c>
      <c r="O6" s="204">
        <f t="shared" si="0"/>
        <v>0</v>
      </c>
      <c r="P6" s="204">
        <f t="shared" si="1"/>
        <v>0</v>
      </c>
      <c r="Q6" s="204">
        <f t="shared" si="1"/>
        <v>0</v>
      </c>
      <c r="R6" s="204">
        <f t="shared" si="1"/>
        <v>0</v>
      </c>
      <c r="S6" s="204">
        <f t="shared" si="1"/>
        <v>0</v>
      </c>
      <c r="T6" s="204">
        <f t="shared" si="1"/>
        <v>0</v>
      </c>
      <c r="U6" s="204">
        <f t="shared" si="1"/>
        <v>0</v>
      </c>
      <c r="V6" s="204">
        <f t="shared" si="1"/>
        <v>0</v>
      </c>
      <c r="W6" s="204">
        <f t="shared" si="1"/>
        <v>0</v>
      </c>
      <c r="X6" s="204">
        <f t="shared" si="1"/>
        <v>0</v>
      </c>
      <c r="Y6" s="204">
        <f t="shared" si="1"/>
        <v>0</v>
      </c>
      <c r="Z6" s="204">
        <f t="shared" si="2"/>
        <v>0</v>
      </c>
      <c r="AA6" s="204">
        <f t="shared" si="2"/>
        <v>0</v>
      </c>
      <c r="AB6" s="204">
        <f t="shared" si="2"/>
        <v>0</v>
      </c>
      <c r="AC6" s="204">
        <f t="shared" si="2"/>
        <v>0</v>
      </c>
      <c r="AD6" s="204">
        <f t="shared" si="2"/>
        <v>0</v>
      </c>
      <c r="AE6" s="204">
        <f t="shared" si="2"/>
        <v>0</v>
      </c>
      <c r="AF6" s="204">
        <f t="shared" si="2"/>
        <v>0</v>
      </c>
      <c r="AG6" s="204">
        <f t="shared" si="2"/>
        <v>0</v>
      </c>
      <c r="AH6" s="204">
        <f t="shared" si="2"/>
        <v>0</v>
      </c>
      <c r="AI6" s="204">
        <f t="shared" si="2"/>
        <v>0</v>
      </c>
      <c r="AJ6" s="204">
        <f t="shared" si="3"/>
        <v>0</v>
      </c>
      <c r="AK6" s="204">
        <f t="shared" si="3"/>
        <v>0</v>
      </c>
      <c r="AL6" s="204">
        <f t="shared" si="3"/>
        <v>0</v>
      </c>
      <c r="AM6" s="204">
        <f t="shared" si="3"/>
        <v>0</v>
      </c>
      <c r="AN6" s="204">
        <f t="shared" si="3"/>
        <v>0</v>
      </c>
      <c r="AO6" s="204">
        <f t="shared" si="3"/>
        <v>0</v>
      </c>
      <c r="AP6" s="204">
        <f t="shared" si="3"/>
        <v>0</v>
      </c>
      <c r="AQ6" s="204">
        <f t="shared" si="3"/>
        <v>0</v>
      </c>
      <c r="AR6" s="204">
        <f t="shared" si="3"/>
        <v>0</v>
      </c>
      <c r="AS6" s="204">
        <f t="shared" si="3"/>
        <v>0</v>
      </c>
      <c r="AT6" s="204">
        <f t="shared" si="4"/>
        <v>0</v>
      </c>
      <c r="AU6" s="204">
        <f t="shared" si="4"/>
        <v>0</v>
      </c>
      <c r="AV6" s="204">
        <f t="shared" si="4"/>
        <v>0</v>
      </c>
      <c r="AW6" s="204">
        <f t="shared" si="4"/>
        <v>0</v>
      </c>
      <c r="AX6" s="204">
        <f t="shared" si="4"/>
        <v>0</v>
      </c>
      <c r="AY6" s="204">
        <f t="shared" si="4"/>
        <v>0</v>
      </c>
      <c r="AZ6" s="204">
        <f t="shared" si="4"/>
        <v>0</v>
      </c>
      <c r="BA6" s="204">
        <f t="shared" si="4"/>
        <v>0</v>
      </c>
      <c r="BB6" s="204">
        <f t="shared" si="4"/>
        <v>0</v>
      </c>
      <c r="BC6" s="204">
        <f t="shared" si="4"/>
        <v>0</v>
      </c>
      <c r="BD6" s="204">
        <f t="shared" si="5"/>
        <v>0</v>
      </c>
      <c r="BE6" s="204">
        <f t="shared" si="5"/>
        <v>0</v>
      </c>
      <c r="BF6" s="204">
        <f t="shared" si="5"/>
        <v>0</v>
      </c>
      <c r="BG6" s="204">
        <f t="shared" si="5"/>
        <v>0</v>
      </c>
      <c r="BH6" s="204">
        <f t="shared" si="5"/>
        <v>0</v>
      </c>
      <c r="BI6" s="204">
        <f t="shared" si="5"/>
        <v>0</v>
      </c>
      <c r="BJ6" s="204">
        <f t="shared" si="5"/>
        <v>0</v>
      </c>
      <c r="BK6" s="204">
        <f t="shared" si="5"/>
        <v>0</v>
      </c>
      <c r="BL6" s="204">
        <f t="shared" si="5"/>
        <v>0</v>
      </c>
      <c r="BM6" s="204">
        <f t="shared" si="5"/>
        <v>0</v>
      </c>
      <c r="BN6" s="204">
        <f t="shared" si="6"/>
        <v>0</v>
      </c>
      <c r="BO6" s="204">
        <f t="shared" si="6"/>
        <v>0</v>
      </c>
      <c r="BP6" s="204">
        <f t="shared" si="6"/>
        <v>0</v>
      </c>
      <c r="BQ6" s="204">
        <f t="shared" si="6"/>
        <v>0</v>
      </c>
      <c r="BR6" s="204">
        <f t="shared" si="6"/>
        <v>0</v>
      </c>
      <c r="BS6" s="204">
        <f t="shared" si="6"/>
        <v>0</v>
      </c>
      <c r="BT6" s="204">
        <f t="shared" si="6"/>
        <v>0</v>
      </c>
      <c r="BU6" s="204">
        <f t="shared" si="6"/>
        <v>0</v>
      </c>
      <c r="BV6" s="204">
        <f t="shared" si="6"/>
        <v>0</v>
      </c>
      <c r="BW6" s="204">
        <f t="shared" si="6"/>
        <v>0</v>
      </c>
      <c r="BX6" s="204">
        <f t="shared" si="7"/>
        <v>0</v>
      </c>
      <c r="BY6" s="204">
        <f t="shared" si="7"/>
        <v>0</v>
      </c>
      <c r="BZ6" s="204">
        <f t="shared" si="7"/>
        <v>0</v>
      </c>
      <c r="CA6" s="204">
        <f t="shared" si="7"/>
        <v>0</v>
      </c>
      <c r="CB6" s="204">
        <f t="shared" si="7"/>
        <v>0</v>
      </c>
      <c r="CC6" s="204">
        <f t="shared" si="7"/>
        <v>0</v>
      </c>
      <c r="CD6" s="204">
        <f t="shared" si="7"/>
        <v>0</v>
      </c>
      <c r="CE6" s="204">
        <f t="shared" si="7"/>
        <v>0</v>
      </c>
      <c r="CF6" s="204">
        <f t="shared" si="7"/>
        <v>0</v>
      </c>
      <c r="CG6" s="204">
        <f t="shared" si="7"/>
        <v>0</v>
      </c>
      <c r="CH6" s="204">
        <f t="shared" si="8"/>
        <v>0</v>
      </c>
      <c r="CI6" s="204">
        <f t="shared" si="8"/>
        <v>0</v>
      </c>
      <c r="CJ6" s="204">
        <f t="shared" si="8"/>
        <v>0</v>
      </c>
      <c r="CK6" s="204">
        <f t="shared" si="8"/>
        <v>0</v>
      </c>
      <c r="CL6" s="204">
        <f t="shared" si="8"/>
        <v>0</v>
      </c>
      <c r="CM6" s="204">
        <f t="shared" si="8"/>
        <v>0</v>
      </c>
      <c r="CN6" s="204">
        <f t="shared" si="8"/>
        <v>0</v>
      </c>
      <c r="CO6" s="204">
        <f t="shared" si="8"/>
        <v>0</v>
      </c>
      <c r="CP6" s="204">
        <f t="shared" si="8"/>
        <v>0</v>
      </c>
      <c r="CQ6" s="204">
        <f t="shared" si="8"/>
        <v>0</v>
      </c>
      <c r="CR6" s="204">
        <f t="shared" si="9"/>
        <v>0</v>
      </c>
      <c r="CS6" s="204">
        <f t="shared" si="9"/>
        <v>0</v>
      </c>
      <c r="CT6" s="204">
        <f t="shared" si="9"/>
        <v>0</v>
      </c>
      <c r="CU6" s="204">
        <f t="shared" si="9"/>
        <v>0</v>
      </c>
      <c r="CV6" s="204">
        <f t="shared" si="9"/>
        <v>0</v>
      </c>
      <c r="CW6" s="204">
        <f t="shared" si="9"/>
        <v>0</v>
      </c>
      <c r="CX6" s="204">
        <f t="shared" si="9"/>
        <v>0</v>
      </c>
      <c r="CY6" s="204">
        <f t="shared" si="9"/>
        <v>0</v>
      </c>
      <c r="CZ6" s="204">
        <f t="shared" si="9"/>
        <v>0</v>
      </c>
      <c r="DA6" s="204">
        <f t="shared" si="9"/>
        <v>0</v>
      </c>
      <c r="DB6" s="204"/>
    </row>
    <row r="7" spans="1:106">
      <c r="A7" s="201" t="str">
        <f>Income!A76</f>
        <v>Animals sold</v>
      </c>
      <c r="B7" s="203">
        <f>Income!B76</f>
        <v>3045.4403600511423</v>
      </c>
      <c r="C7" s="203">
        <f>Income!C76</f>
        <v>10048.517627056288</v>
      </c>
      <c r="D7" s="203">
        <f>Income!D76</f>
        <v>21797.091177278024</v>
      </c>
      <c r="E7" s="203">
        <f>Income!E76</f>
        <v>31324.70731659016</v>
      </c>
      <c r="F7" s="204">
        <f t="shared" si="0"/>
        <v>3045.4403600511423</v>
      </c>
      <c r="G7" s="204">
        <f t="shared" si="0"/>
        <v>3045.4403600511423</v>
      </c>
      <c r="H7" s="204">
        <f t="shared" si="0"/>
        <v>3045.4403600511423</v>
      </c>
      <c r="I7" s="204">
        <f t="shared" si="0"/>
        <v>3045.4403600511423</v>
      </c>
      <c r="J7" s="204">
        <f t="shared" si="0"/>
        <v>3045.4403600511423</v>
      </c>
      <c r="K7" s="204">
        <f t="shared" si="0"/>
        <v>3045.4403600511423</v>
      </c>
      <c r="L7" s="204">
        <f t="shared" si="0"/>
        <v>3045.4403600511423</v>
      </c>
      <c r="M7" s="204">
        <f t="shared" si="0"/>
        <v>3045.4403600511423</v>
      </c>
      <c r="N7" s="204">
        <f t="shared" si="0"/>
        <v>3045.4403600511423</v>
      </c>
      <c r="O7" s="204">
        <f t="shared" si="0"/>
        <v>3045.4403600511423</v>
      </c>
      <c r="P7" s="204">
        <f t="shared" si="1"/>
        <v>3045.4403600511423</v>
      </c>
      <c r="Q7" s="204">
        <f t="shared" si="1"/>
        <v>3045.4403600511423</v>
      </c>
      <c r="R7" s="204">
        <f t="shared" si="1"/>
        <v>3045.4403600511423</v>
      </c>
      <c r="S7" s="204">
        <f t="shared" si="1"/>
        <v>3045.4403600511423</v>
      </c>
      <c r="T7" s="204">
        <f t="shared" si="1"/>
        <v>3045.4403600511423</v>
      </c>
      <c r="U7" s="204">
        <f t="shared" si="1"/>
        <v>3045.4403600511423</v>
      </c>
      <c r="V7" s="204">
        <f t="shared" si="1"/>
        <v>3045.4403600511423</v>
      </c>
      <c r="W7" s="204">
        <f t="shared" si="1"/>
        <v>3045.4403600511423</v>
      </c>
      <c r="X7" s="204">
        <f t="shared" si="1"/>
        <v>3045.4403600511423</v>
      </c>
      <c r="Y7" s="204">
        <f t="shared" si="1"/>
        <v>3045.4403600511423</v>
      </c>
      <c r="Z7" s="204">
        <f t="shared" si="2"/>
        <v>3045.4403600511423</v>
      </c>
      <c r="AA7" s="204">
        <f t="shared" si="2"/>
        <v>3045.4403600511423</v>
      </c>
      <c r="AB7" s="204">
        <f t="shared" si="2"/>
        <v>3045.4403600511423</v>
      </c>
      <c r="AC7" s="204">
        <f t="shared" si="2"/>
        <v>3045.4403600511423</v>
      </c>
      <c r="AD7" s="204">
        <f t="shared" si="2"/>
        <v>3045.4403600511423</v>
      </c>
      <c r="AE7" s="204">
        <f t="shared" si="2"/>
        <v>3045.4403600511423</v>
      </c>
      <c r="AF7" s="204">
        <f t="shared" si="2"/>
        <v>3045.4403600511423</v>
      </c>
      <c r="AG7" s="204">
        <f t="shared" si="2"/>
        <v>3045.4403600511423</v>
      </c>
      <c r="AH7" s="204">
        <f t="shared" si="2"/>
        <v>3045.4403600511423</v>
      </c>
      <c r="AI7" s="204">
        <f t="shared" si="2"/>
        <v>3045.4403600511423</v>
      </c>
      <c r="AJ7" s="204">
        <f t="shared" si="3"/>
        <v>3045.4403600511423</v>
      </c>
      <c r="AK7" s="204">
        <f t="shared" si="3"/>
        <v>3045.4403600511423</v>
      </c>
      <c r="AL7" s="204">
        <f t="shared" si="3"/>
        <v>3045.4403600511423</v>
      </c>
      <c r="AM7" s="204">
        <f t="shared" si="3"/>
        <v>3045.4403600511423</v>
      </c>
      <c r="AN7" s="204">
        <f t="shared" si="3"/>
        <v>3045.4403600511423</v>
      </c>
      <c r="AO7" s="204">
        <f t="shared" si="3"/>
        <v>3045.4403600511423</v>
      </c>
      <c r="AP7" s="204">
        <f t="shared" si="3"/>
        <v>3045.4403600511423</v>
      </c>
      <c r="AQ7" s="204">
        <f t="shared" si="3"/>
        <v>3045.4403600511423</v>
      </c>
      <c r="AR7" s="204">
        <f t="shared" si="3"/>
        <v>3045.4403600511423</v>
      </c>
      <c r="AS7" s="204">
        <f t="shared" si="3"/>
        <v>10048.517627056288</v>
      </c>
      <c r="AT7" s="204">
        <f t="shared" si="4"/>
        <v>10048.517627056288</v>
      </c>
      <c r="AU7" s="204">
        <f t="shared" si="4"/>
        <v>10048.517627056288</v>
      </c>
      <c r="AV7" s="204">
        <f t="shared" si="4"/>
        <v>10048.517627056288</v>
      </c>
      <c r="AW7" s="204">
        <f t="shared" si="4"/>
        <v>10048.517627056288</v>
      </c>
      <c r="AX7" s="204">
        <f t="shared" si="4"/>
        <v>10048.517627056288</v>
      </c>
      <c r="AY7" s="204">
        <f t="shared" si="4"/>
        <v>10048.517627056288</v>
      </c>
      <c r="AZ7" s="204">
        <f t="shared" si="4"/>
        <v>10048.517627056288</v>
      </c>
      <c r="BA7" s="204">
        <f t="shared" si="4"/>
        <v>10048.517627056288</v>
      </c>
      <c r="BB7" s="204">
        <f t="shared" si="4"/>
        <v>10048.517627056288</v>
      </c>
      <c r="BC7" s="204">
        <f t="shared" si="4"/>
        <v>10048.517627056288</v>
      </c>
      <c r="BD7" s="204">
        <f t="shared" si="5"/>
        <v>10048.517627056288</v>
      </c>
      <c r="BE7" s="204">
        <f t="shared" si="5"/>
        <v>10048.517627056288</v>
      </c>
      <c r="BF7" s="204">
        <f t="shared" si="5"/>
        <v>10048.517627056288</v>
      </c>
      <c r="BG7" s="204">
        <f t="shared" si="5"/>
        <v>10048.517627056288</v>
      </c>
      <c r="BH7" s="204">
        <f t="shared" si="5"/>
        <v>10048.517627056288</v>
      </c>
      <c r="BI7" s="204">
        <f t="shared" si="5"/>
        <v>10048.517627056288</v>
      </c>
      <c r="BJ7" s="204">
        <f t="shared" si="5"/>
        <v>10048.517627056288</v>
      </c>
      <c r="BK7" s="204">
        <f t="shared" si="5"/>
        <v>10048.517627056288</v>
      </c>
      <c r="BL7" s="204">
        <f t="shared" si="5"/>
        <v>10048.517627056288</v>
      </c>
      <c r="BM7" s="204">
        <f t="shared" si="5"/>
        <v>10048.517627056288</v>
      </c>
      <c r="BN7" s="204">
        <f t="shared" si="6"/>
        <v>10048.517627056288</v>
      </c>
      <c r="BO7" s="204">
        <f t="shared" si="6"/>
        <v>10048.517627056288</v>
      </c>
      <c r="BP7" s="204">
        <f t="shared" si="6"/>
        <v>10048.517627056288</v>
      </c>
      <c r="BQ7" s="204">
        <f t="shared" si="6"/>
        <v>10048.517627056288</v>
      </c>
      <c r="BR7" s="204">
        <f t="shared" si="6"/>
        <v>10048.517627056288</v>
      </c>
      <c r="BS7" s="204">
        <f t="shared" si="6"/>
        <v>10048.517627056288</v>
      </c>
      <c r="BT7" s="204">
        <f t="shared" si="6"/>
        <v>10048.517627056288</v>
      </c>
      <c r="BU7" s="204">
        <f t="shared" si="6"/>
        <v>10048.517627056288</v>
      </c>
      <c r="BV7" s="204">
        <f t="shared" si="6"/>
        <v>10048.517627056288</v>
      </c>
      <c r="BW7" s="204">
        <f t="shared" si="6"/>
        <v>10048.517627056288</v>
      </c>
      <c r="BX7" s="204">
        <f t="shared" si="7"/>
        <v>10048.517627056288</v>
      </c>
      <c r="BY7" s="204">
        <f t="shared" si="7"/>
        <v>10048.517627056288</v>
      </c>
      <c r="BZ7" s="204">
        <f t="shared" si="7"/>
        <v>10048.517627056288</v>
      </c>
      <c r="CA7" s="204">
        <f t="shared" si="7"/>
        <v>21797.091177278024</v>
      </c>
      <c r="CB7" s="204">
        <f t="shared" si="7"/>
        <v>21797.091177278024</v>
      </c>
      <c r="CC7" s="204">
        <f t="shared" si="7"/>
        <v>21797.091177278024</v>
      </c>
      <c r="CD7" s="204">
        <f t="shared" si="7"/>
        <v>21797.091177278024</v>
      </c>
      <c r="CE7" s="204">
        <f t="shared" si="7"/>
        <v>21797.091177278024</v>
      </c>
      <c r="CF7" s="204">
        <f t="shared" si="7"/>
        <v>21797.091177278024</v>
      </c>
      <c r="CG7" s="204">
        <f t="shared" si="7"/>
        <v>21797.091177278024</v>
      </c>
      <c r="CH7" s="204">
        <f t="shared" si="8"/>
        <v>21797.091177278024</v>
      </c>
      <c r="CI7" s="204">
        <f t="shared" si="8"/>
        <v>21797.091177278024</v>
      </c>
      <c r="CJ7" s="204">
        <f t="shared" si="8"/>
        <v>21797.091177278024</v>
      </c>
      <c r="CK7" s="204">
        <f t="shared" si="8"/>
        <v>21797.091177278024</v>
      </c>
      <c r="CL7" s="204">
        <f t="shared" si="8"/>
        <v>21797.091177278024</v>
      </c>
      <c r="CM7" s="204">
        <f t="shared" si="8"/>
        <v>21797.091177278024</v>
      </c>
      <c r="CN7" s="204">
        <f t="shared" si="8"/>
        <v>21797.091177278024</v>
      </c>
      <c r="CO7" s="204">
        <f t="shared" si="8"/>
        <v>21797.091177278024</v>
      </c>
      <c r="CP7" s="204">
        <f t="shared" si="8"/>
        <v>21797.091177278024</v>
      </c>
      <c r="CQ7" s="204">
        <f t="shared" si="8"/>
        <v>31324.70731659016</v>
      </c>
      <c r="CR7" s="204">
        <f t="shared" si="9"/>
        <v>31324.70731659016</v>
      </c>
      <c r="CS7" s="204">
        <f t="shared" si="9"/>
        <v>31324.70731659016</v>
      </c>
      <c r="CT7" s="204">
        <f t="shared" si="9"/>
        <v>31324.70731659016</v>
      </c>
      <c r="CU7" s="204">
        <f t="shared" si="9"/>
        <v>31324.70731659016</v>
      </c>
      <c r="CV7" s="204">
        <f t="shared" si="9"/>
        <v>31324.70731659016</v>
      </c>
      <c r="CW7" s="204">
        <f t="shared" si="9"/>
        <v>31324.70731659016</v>
      </c>
      <c r="CX7" s="204">
        <f t="shared" si="9"/>
        <v>31324.70731659016</v>
      </c>
      <c r="CY7" s="204">
        <f t="shared" si="9"/>
        <v>31324.70731659016</v>
      </c>
      <c r="CZ7" s="204">
        <f t="shared" si="9"/>
        <v>31324.70731659016</v>
      </c>
      <c r="DA7" s="204">
        <f t="shared" si="9"/>
        <v>31324.70731659016</v>
      </c>
      <c r="DB7" s="204"/>
    </row>
    <row r="8" spans="1:106">
      <c r="A8" s="201" t="str">
        <f>Income!A77</f>
        <v>Wild foods consumed and sold</v>
      </c>
      <c r="B8" s="203">
        <f>Income!B77</f>
        <v>0</v>
      </c>
      <c r="C8" s="203">
        <f>Income!C77</f>
        <v>121.2080495528232</v>
      </c>
      <c r="D8" s="203">
        <f>Income!D77</f>
        <v>85.117058498518091</v>
      </c>
      <c r="E8" s="203">
        <f>Income!E77</f>
        <v>0</v>
      </c>
      <c r="F8" s="204">
        <f t="shared" si="0"/>
        <v>0</v>
      </c>
      <c r="G8" s="204">
        <f t="shared" si="0"/>
        <v>0</v>
      </c>
      <c r="H8" s="204">
        <f t="shared" si="0"/>
        <v>0</v>
      </c>
      <c r="I8" s="204">
        <f t="shared" si="0"/>
        <v>0</v>
      </c>
      <c r="J8" s="204">
        <f t="shared" si="0"/>
        <v>0</v>
      </c>
      <c r="K8" s="204">
        <f t="shared" si="0"/>
        <v>0</v>
      </c>
      <c r="L8" s="204">
        <f t="shared" si="0"/>
        <v>0</v>
      </c>
      <c r="M8" s="204">
        <f t="shared" si="0"/>
        <v>0</v>
      </c>
      <c r="N8" s="204">
        <f t="shared" si="0"/>
        <v>0</v>
      </c>
      <c r="O8" s="204">
        <f t="shared" si="0"/>
        <v>0</v>
      </c>
      <c r="P8" s="204">
        <f t="shared" si="1"/>
        <v>0</v>
      </c>
      <c r="Q8" s="204">
        <f t="shared" si="1"/>
        <v>0</v>
      </c>
      <c r="R8" s="204">
        <f t="shared" si="1"/>
        <v>0</v>
      </c>
      <c r="S8" s="204">
        <f t="shared" si="1"/>
        <v>0</v>
      </c>
      <c r="T8" s="204">
        <f t="shared" si="1"/>
        <v>0</v>
      </c>
      <c r="U8" s="204">
        <f t="shared" si="1"/>
        <v>0</v>
      </c>
      <c r="V8" s="204">
        <f t="shared" si="1"/>
        <v>0</v>
      </c>
      <c r="W8" s="204">
        <f t="shared" si="1"/>
        <v>0</v>
      </c>
      <c r="X8" s="204">
        <f t="shared" si="1"/>
        <v>0</v>
      </c>
      <c r="Y8" s="204">
        <f t="shared" si="1"/>
        <v>0</v>
      </c>
      <c r="Z8" s="204">
        <f t="shared" si="2"/>
        <v>0</v>
      </c>
      <c r="AA8" s="204">
        <f t="shared" si="2"/>
        <v>0</v>
      </c>
      <c r="AB8" s="204">
        <f t="shared" si="2"/>
        <v>0</v>
      </c>
      <c r="AC8" s="204">
        <f t="shared" si="2"/>
        <v>0</v>
      </c>
      <c r="AD8" s="204">
        <f t="shared" si="2"/>
        <v>0</v>
      </c>
      <c r="AE8" s="204">
        <f t="shared" si="2"/>
        <v>0</v>
      </c>
      <c r="AF8" s="204">
        <f t="shared" si="2"/>
        <v>0</v>
      </c>
      <c r="AG8" s="204">
        <f t="shared" si="2"/>
        <v>0</v>
      </c>
      <c r="AH8" s="204">
        <f t="shared" si="2"/>
        <v>0</v>
      </c>
      <c r="AI8" s="204">
        <f t="shared" si="2"/>
        <v>0</v>
      </c>
      <c r="AJ8" s="204">
        <f t="shared" si="3"/>
        <v>0</v>
      </c>
      <c r="AK8" s="204">
        <f t="shared" si="3"/>
        <v>0</v>
      </c>
      <c r="AL8" s="204">
        <f t="shared" si="3"/>
        <v>0</v>
      </c>
      <c r="AM8" s="204">
        <f t="shared" si="3"/>
        <v>0</v>
      </c>
      <c r="AN8" s="204">
        <f t="shared" si="3"/>
        <v>0</v>
      </c>
      <c r="AO8" s="204">
        <f t="shared" si="3"/>
        <v>0</v>
      </c>
      <c r="AP8" s="204">
        <f t="shared" si="3"/>
        <v>0</v>
      </c>
      <c r="AQ8" s="204">
        <f t="shared" si="3"/>
        <v>0</v>
      </c>
      <c r="AR8" s="204">
        <f t="shared" si="3"/>
        <v>0</v>
      </c>
      <c r="AS8" s="204">
        <f t="shared" si="3"/>
        <v>121.2080495528232</v>
      </c>
      <c r="AT8" s="204">
        <f t="shared" si="4"/>
        <v>121.2080495528232</v>
      </c>
      <c r="AU8" s="204">
        <f t="shared" si="4"/>
        <v>121.2080495528232</v>
      </c>
      <c r="AV8" s="204">
        <f t="shared" si="4"/>
        <v>121.2080495528232</v>
      </c>
      <c r="AW8" s="204">
        <f t="shared" si="4"/>
        <v>121.2080495528232</v>
      </c>
      <c r="AX8" s="204">
        <f t="shared" si="4"/>
        <v>121.2080495528232</v>
      </c>
      <c r="AY8" s="204">
        <f t="shared" si="4"/>
        <v>121.2080495528232</v>
      </c>
      <c r="AZ8" s="204">
        <f t="shared" si="4"/>
        <v>121.2080495528232</v>
      </c>
      <c r="BA8" s="204">
        <f t="shared" si="4"/>
        <v>121.2080495528232</v>
      </c>
      <c r="BB8" s="204">
        <f t="shared" si="4"/>
        <v>121.2080495528232</v>
      </c>
      <c r="BC8" s="204">
        <f t="shared" si="4"/>
        <v>121.2080495528232</v>
      </c>
      <c r="BD8" s="204">
        <f t="shared" si="5"/>
        <v>121.2080495528232</v>
      </c>
      <c r="BE8" s="204">
        <f t="shared" si="5"/>
        <v>121.2080495528232</v>
      </c>
      <c r="BF8" s="204">
        <f t="shared" si="5"/>
        <v>121.2080495528232</v>
      </c>
      <c r="BG8" s="204">
        <f t="shared" si="5"/>
        <v>121.2080495528232</v>
      </c>
      <c r="BH8" s="204">
        <f t="shared" si="5"/>
        <v>121.2080495528232</v>
      </c>
      <c r="BI8" s="204">
        <f t="shared" si="5"/>
        <v>121.2080495528232</v>
      </c>
      <c r="BJ8" s="204">
        <f t="shared" si="5"/>
        <v>121.2080495528232</v>
      </c>
      <c r="BK8" s="204">
        <f t="shared" si="5"/>
        <v>121.2080495528232</v>
      </c>
      <c r="BL8" s="204">
        <f t="shared" si="5"/>
        <v>121.2080495528232</v>
      </c>
      <c r="BM8" s="204">
        <f t="shared" si="5"/>
        <v>121.2080495528232</v>
      </c>
      <c r="BN8" s="204">
        <f t="shared" si="6"/>
        <v>121.2080495528232</v>
      </c>
      <c r="BO8" s="204">
        <f t="shared" si="6"/>
        <v>121.2080495528232</v>
      </c>
      <c r="BP8" s="204">
        <f t="shared" si="6"/>
        <v>121.2080495528232</v>
      </c>
      <c r="BQ8" s="204">
        <f t="shared" si="6"/>
        <v>121.2080495528232</v>
      </c>
      <c r="BR8" s="204">
        <f t="shared" si="6"/>
        <v>121.2080495528232</v>
      </c>
      <c r="BS8" s="204">
        <f t="shared" si="6"/>
        <v>121.2080495528232</v>
      </c>
      <c r="BT8" s="204">
        <f t="shared" si="6"/>
        <v>121.2080495528232</v>
      </c>
      <c r="BU8" s="204">
        <f t="shared" si="6"/>
        <v>121.2080495528232</v>
      </c>
      <c r="BV8" s="204">
        <f t="shared" si="6"/>
        <v>121.2080495528232</v>
      </c>
      <c r="BW8" s="204">
        <f t="shared" si="6"/>
        <v>121.2080495528232</v>
      </c>
      <c r="BX8" s="204">
        <f t="shared" si="7"/>
        <v>121.2080495528232</v>
      </c>
      <c r="BY8" s="204">
        <f t="shared" si="7"/>
        <v>121.2080495528232</v>
      </c>
      <c r="BZ8" s="204">
        <f t="shared" si="7"/>
        <v>121.2080495528232</v>
      </c>
      <c r="CA8" s="204">
        <f t="shared" si="7"/>
        <v>85.117058498518091</v>
      </c>
      <c r="CB8" s="204">
        <f t="shared" si="7"/>
        <v>85.117058498518091</v>
      </c>
      <c r="CC8" s="204">
        <f t="shared" si="7"/>
        <v>85.117058498518091</v>
      </c>
      <c r="CD8" s="204">
        <f t="shared" si="7"/>
        <v>85.117058498518091</v>
      </c>
      <c r="CE8" s="204">
        <f t="shared" si="7"/>
        <v>85.117058498518091</v>
      </c>
      <c r="CF8" s="204">
        <f t="shared" si="7"/>
        <v>85.117058498518091</v>
      </c>
      <c r="CG8" s="204">
        <f t="shared" si="7"/>
        <v>85.117058498518091</v>
      </c>
      <c r="CH8" s="204">
        <f t="shared" si="8"/>
        <v>85.117058498518091</v>
      </c>
      <c r="CI8" s="204">
        <f t="shared" si="8"/>
        <v>85.117058498518091</v>
      </c>
      <c r="CJ8" s="204">
        <f t="shared" si="8"/>
        <v>85.117058498518091</v>
      </c>
      <c r="CK8" s="204">
        <f t="shared" si="8"/>
        <v>85.117058498518091</v>
      </c>
      <c r="CL8" s="204">
        <f t="shared" si="8"/>
        <v>85.117058498518091</v>
      </c>
      <c r="CM8" s="204">
        <f t="shared" si="8"/>
        <v>85.117058498518091</v>
      </c>
      <c r="CN8" s="204">
        <f t="shared" si="8"/>
        <v>85.117058498518091</v>
      </c>
      <c r="CO8" s="204">
        <f t="shared" si="8"/>
        <v>85.117058498518091</v>
      </c>
      <c r="CP8" s="204">
        <f t="shared" si="8"/>
        <v>85.117058498518091</v>
      </c>
      <c r="CQ8" s="204">
        <f t="shared" si="8"/>
        <v>0</v>
      </c>
      <c r="CR8" s="204">
        <f t="shared" si="9"/>
        <v>0</v>
      </c>
      <c r="CS8" s="204">
        <f t="shared" si="9"/>
        <v>0</v>
      </c>
      <c r="CT8" s="204">
        <f t="shared" si="9"/>
        <v>0</v>
      </c>
      <c r="CU8" s="204">
        <f t="shared" si="9"/>
        <v>0</v>
      </c>
      <c r="CV8" s="204">
        <f t="shared" si="9"/>
        <v>0</v>
      </c>
      <c r="CW8" s="204">
        <f t="shared" si="9"/>
        <v>0</v>
      </c>
      <c r="CX8" s="204">
        <f t="shared" si="9"/>
        <v>0</v>
      </c>
      <c r="CY8" s="204">
        <f t="shared" si="9"/>
        <v>0</v>
      </c>
      <c r="CZ8" s="204">
        <f t="shared" si="9"/>
        <v>0</v>
      </c>
      <c r="DA8" s="204">
        <f t="shared" si="9"/>
        <v>0</v>
      </c>
      <c r="DB8" s="204"/>
    </row>
    <row r="9" spans="1:106">
      <c r="A9" s="201" t="str">
        <f>Income!A78</f>
        <v>Labour - casual</v>
      </c>
      <c r="B9" s="203">
        <f>Income!B78</f>
        <v>5317.1555759881148</v>
      </c>
      <c r="C9" s="203">
        <f>Income!C78</f>
        <v>2477.3683198261147</v>
      </c>
      <c r="D9" s="203">
        <f>Income!D78</f>
        <v>59625.591349457311</v>
      </c>
      <c r="E9" s="203">
        <f>Income!E78</f>
        <v>0</v>
      </c>
      <c r="F9" s="204">
        <f t="shared" si="0"/>
        <v>5317.1555759881148</v>
      </c>
      <c r="G9" s="204">
        <f t="shared" si="0"/>
        <v>5317.1555759881148</v>
      </c>
      <c r="H9" s="204">
        <f t="shared" si="0"/>
        <v>5317.1555759881148</v>
      </c>
      <c r="I9" s="204">
        <f t="shared" si="0"/>
        <v>5317.1555759881148</v>
      </c>
      <c r="J9" s="204">
        <f t="shared" si="0"/>
        <v>5317.1555759881148</v>
      </c>
      <c r="K9" s="204">
        <f t="shared" si="0"/>
        <v>5317.1555759881148</v>
      </c>
      <c r="L9" s="204">
        <f t="shared" si="0"/>
        <v>5317.1555759881148</v>
      </c>
      <c r="M9" s="204">
        <f t="shared" si="0"/>
        <v>5317.1555759881148</v>
      </c>
      <c r="N9" s="204">
        <f t="shared" si="0"/>
        <v>5317.1555759881148</v>
      </c>
      <c r="O9" s="204">
        <f t="shared" si="0"/>
        <v>5317.1555759881148</v>
      </c>
      <c r="P9" s="204">
        <f t="shared" si="1"/>
        <v>5317.1555759881148</v>
      </c>
      <c r="Q9" s="204">
        <f t="shared" si="1"/>
        <v>5317.1555759881148</v>
      </c>
      <c r="R9" s="204">
        <f t="shared" si="1"/>
        <v>5317.1555759881148</v>
      </c>
      <c r="S9" s="204">
        <f t="shared" si="1"/>
        <v>5317.1555759881148</v>
      </c>
      <c r="T9" s="204">
        <f t="shared" si="1"/>
        <v>5317.1555759881148</v>
      </c>
      <c r="U9" s="204">
        <f t="shared" si="1"/>
        <v>5317.1555759881148</v>
      </c>
      <c r="V9" s="204">
        <f t="shared" si="1"/>
        <v>5317.1555759881148</v>
      </c>
      <c r="W9" s="204">
        <f t="shared" si="1"/>
        <v>5317.1555759881148</v>
      </c>
      <c r="X9" s="204">
        <f t="shared" si="1"/>
        <v>5317.1555759881148</v>
      </c>
      <c r="Y9" s="204">
        <f t="shared" si="1"/>
        <v>5317.1555759881148</v>
      </c>
      <c r="Z9" s="204">
        <f t="shared" si="2"/>
        <v>5317.1555759881148</v>
      </c>
      <c r="AA9" s="204">
        <f t="shared" si="2"/>
        <v>5317.1555759881148</v>
      </c>
      <c r="AB9" s="204">
        <f t="shared" si="2"/>
        <v>5317.1555759881148</v>
      </c>
      <c r="AC9" s="204">
        <f t="shared" si="2"/>
        <v>5317.1555759881148</v>
      </c>
      <c r="AD9" s="204">
        <f t="shared" si="2"/>
        <v>5317.1555759881148</v>
      </c>
      <c r="AE9" s="204">
        <f t="shared" si="2"/>
        <v>5317.1555759881148</v>
      </c>
      <c r="AF9" s="204">
        <f t="shared" si="2"/>
        <v>5317.1555759881148</v>
      </c>
      <c r="AG9" s="204">
        <f t="shared" si="2"/>
        <v>5317.1555759881148</v>
      </c>
      <c r="AH9" s="204">
        <f t="shared" si="2"/>
        <v>5317.1555759881148</v>
      </c>
      <c r="AI9" s="204">
        <f t="shared" si="2"/>
        <v>5317.1555759881148</v>
      </c>
      <c r="AJ9" s="204">
        <f t="shared" si="3"/>
        <v>5317.1555759881148</v>
      </c>
      <c r="AK9" s="204">
        <f t="shared" si="3"/>
        <v>5317.1555759881148</v>
      </c>
      <c r="AL9" s="204">
        <f t="shared" si="3"/>
        <v>5317.1555759881148</v>
      </c>
      <c r="AM9" s="204">
        <f t="shared" si="3"/>
        <v>5317.1555759881148</v>
      </c>
      <c r="AN9" s="204">
        <f t="shared" si="3"/>
        <v>5317.1555759881148</v>
      </c>
      <c r="AO9" s="204">
        <f t="shared" si="3"/>
        <v>5317.1555759881148</v>
      </c>
      <c r="AP9" s="204">
        <f t="shared" si="3"/>
        <v>5317.1555759881148</v>
      </c>
      <c r="AQ9" s="204">
        <f t="shared" si="3"/>
        <v>5317.1555759881148</v>
      </c>
      <c r="AR9" s="204">
        <f t="shared" si="3"/>
        <v>5317.1555759881148</v>
      </c>
      <c r="AS9" s="204">
        <f t="shared" si="3"/>
        <v>2477.3683198261147</v>
      </c>
      <c r="AT9" s="204">
        <f t="shared" si="4"/>
        <v>2477.3683198261147</v>
      </c>
      <c r="AU9" s="204">
        <f t="shared" si="4"/>
        <v>2477.3683198261147</v>
      </c>
      <c r="AV9" s="204">
        <f t="shared" si="4"/>
        <v>2477.3683198261147</v>
      </c>
      <c r="AW9" s="204">
        <f t="shared" si="4"/>
        <v>2477.3683198261147</v>
      </c>
      <c r="AX9" s="204">
        <f t="shared" si="4"/>
        <v>2477.3683198261147</v>
      </c>
      <c r="AY9" s="204">
        <f t="shared" si="4"/>
        <v>2477.3683198261147</v>
      </c>
      <c r="AZ9" s="204">
        <f t="shared" si="4"/>
        <v>2477.3683198261147</v>
      </c>
      <c r="BA9" s="204">
        <f t="shared" si="4"/>
        <v>2477.3683198261147</v>
      </c>
      <c r="BB9" s="204">
        <f t="shared" si="4"/>
        <v>2477.3683198261147</v>
      </c>
      <c r="BC9" s="204">
        <f t="shared" si="4"/>
        <v>2477.3683198261147</v>
      </c>
      <c r="BD9" s="204">
        <f t="shared" si="5"/>
        <v>2477.3683198261147</v>
      </c>
      <c r="BE9" s="204">
        <f t="shared" si="5"/>
        <v>2477.3683198261147</v>
      </c>
      <c r="BF9" s="204">
        <f t="shared" si="5"/>
        <v>2477.3683198261147</v>
      </c>
      <c r="BG9" s="204">
        <f t="shared" si="5"/>
        <v>2477.3683198261147</v>
      </c>
      <c r="BH9" s="204">
        <f t="shared" si="5"/>
        <v>2477.3683198261147</v>
      </c>
      <c r="BI9" s="204">
        <f t="shared" si="5"/>
        <v>2477.3683198261147</v>
      </c>
      <c r="BJ9" s="204">
        <f t="shared" si="5"/>
        <v>2477.3683198261147</v>
      </c>
      <c r="BK9" s="204">
        <f t="shared" si="5"/>
        <v>2477.3683198261147</v>
      </c>
      <c r="BL9" s="204">
        <f t="shared" si="5"/>
        <v>2477.3683198261147</v>
      </c>
      <c r="BM9" s="204">
        <f t="shared" si="5"/>
        <v>2477.3683198261147</v>
      </c>
      <c r="BN9" s="204">
        <f t="shared" si="6"/>
        <v>2477.3683198261147</v>
      </c>
      <c r="BO9" s="204">
        <f t="shared" si="6"/>
        <v>2477.3683198261147</v>
      </c>
      <c r="BP9" s="204">
        <f t="shared" si="6"/>
        <v>2477.3683198261147</v>
      </c>
      <c r="BQ9" s="204">
        <f t="shared" si="6"/>
        <v>2477.3683198261147</v>
      </c>
      <c r="BR9" s="204">
        <f t="shared" si="6"/>
        <v>2477.3683198261147</v>
      </c>
      <c r="BS9" s="204">
        <f t="shared" si="6"/>
        <v>2477.3683198261147</v>
      </c>
      <c r="BT9" s="204">
        <f t="shared" si="6"/>
        <v>2477.3683198261147</v>
      </c>
      <c r="BU9" s="204">
        <f t="shared" si="6"/>
        <v>2477.3683198261147</v>
      </c>
      <c r="BV9" s="204">
        <f t="shared" si="6"/>
        <v>2477.3683198261147</v>
      </c>
      <c r="BW9" s="204">
        <f t="shared" si="6"/>
        <v>2477.3683198261147</v>
      </c>
      <c r="BX9" s="204">
        <f t="shared" si="7"/>
        <v>2477.3683198261147</v>
      </c>
      <c r="BY9" s="204">
        <f t="shared" si="7"/>
        <v>2477.3683198261147</v>
      </c>
      <c r="BZ9" s="204">
        <f t="shared" si="7"/>
        <v>2477.3683198261147</v>
      </c>
      <c r="CA9" s="204">
        <f t="shared" si="7"/>
        <v>59625.591349457311</v>
      </c>
      <c r="CB9" s="204">
        <f t="shared" si="7"/>
        <v>59625.591349457311</v>
      </c>
      <c r="CC9" s="204">
        <f t="shared" si="7"/>
        <v>59625.591349457311</v>
      </c>
      <c r="CD9" s="204">
        <f t="shared" si="7"/>
        <v>59625.591349457311</v>
      </c>
      <c r="CE9" s="204">
        <f t="shared" si="7"/>
        <v>59625.591349457311</v>
      </c>
      <c r="CF9" s="204">
        <f t="shared" si="7"/>
        <v>59625.591349457311</v>
      </c>
      <c r="CG9" s="204">
        <f t="shared" si="7"/>
        <v>59625.591349457311</v>
      </c>
      <c r="CH9" s="204">
        <f t="shared" si="8"/>
        <v>59625.591349457311</v>
      </c>
      <c r="CI9" s="204">
        <f t="shared" si="8"/>
        <v>59625.591349457311</v>
      </c>
      <c r="CJ9" s="204">
        <f t="shared" si="8"/>
        <v>59625.591349457311</v>
      </c>
      <c r="CK9" s="204">
        <f t="shared" si="8"/>
        <v>59625.591349457311</v>
      </c>
      <c r="CL9" s="204">
        <f t="shared" si="8"/>
        <v>59625.591349457311</v>
      </c>
      <c r="CM9" s="204">
        <f t="shared" si="8"/>
        <v>59625.591349457311</v>
      </c>
      <c r="CN9" s="204">
        <f t="shared" si="8"/>
        <v>59625.591349457311</v>
      </c>
      <c r="CO9" s="204">
        <f t="shared" si="8"/>
        <v>59625.591349457311</v>
      </c>
      <c r="CP9" s="204">
        <f t="shared" si="8"/>
        <v>59625.591349457311</v>
      </c>
      <c r="CQ9" s="204">
        <f t="shared" si="8"/>
        <v>0</v>
      </c>
      <c r="CR9" s="204">
        <f t="shared" si="9"/>
        <v>0</v>
      </c>
      <c r="CS9" s="204">
        <f t="shared" si="9"/>
        <v>0</v>
      </c>
      <c r="CT9" s="204">
        <f t="shared" si="9"/>
        <v>0</v>
      </c>
      <c r="CU9" s="204">
        <f t="shared" si="9"/>
        <v>0</v>
      </c>
      <c r="CV9" s="204">
        <f t="shared" si="9"/>
        <v>0</v>
      </c>
      <c r="CW9" s="204">
        <f t="shared" si="9"/>
        <v>0</v>
      </c>
      <c r="CX9" s="204">
        <f t="shared" si="9"/>
        <v>0</v>
      </c>
      <c r="CY9" s="204">
        <f t="shared" si="9"/>
        <v>0</v>
      </c>
      <c r="CZ9" s="204">
        <f t="shared" si="9"/>
        <v>0</v>
      </c>
      <c r="DA9" s="204">
        <f t="shared" si="9"/>
        <v>0</v>
      </c>
      <c r="DB9" s="204"/>
    </row>
    <row r="10" spans="1:106">
      <c r="A10" s="201" t="str">
        <f>Income!A79</f>
        <v>Labour - formal emp</v>
      </c>
      <c r="B10" s="203">
        <f>Income!B79</f>
        <v>0</v>
      </c>
      <c r="C10" s="203">
        <f>Income!C79</f>
        <v>0</v>
      </c>
      <c r="D10" s="203">
        <f>Income!D79</f>
        <v>28209.654775238527</v>
      </c>
      <c r="E10" s="203">
        <f>Income!E79</f>
        <v>154408.65828783836</v>
      </c>
      <c r="F10" s="204">
        <f t="shared" si="0"/>
        <v>0</v>
      </c>
      <c r="G10" s="204">
        <f t="shared" si="0"/>
        <v>0</v>
      </c>
      <c r="H10" s="204">
        <f t="shared" si="0"/>
        <v>0</v>
      </c>
      <c r="I10" s="204">
        <f t="shared" si="0"/>
        <v>0</v>
      </c>
      <c r="J10" s="204">
        <f t="shared" si="0"/>
        <v>0</v>
      </c>
      <c r="K10" s="204">
        <f t="shared" si="0"/>
        <v>0</v>
      </c>
      <c r="L10" s="204">
        <f t="shared" si="0"/>
        <v>0</v>
      </c>
      <c r="M10" s="204">
        <f t="shared" si="0"/>
        <v>0</v>
      </c>
      <c r="N10" s="204">
        <f t="shared" si="0"/>
        <v>0</v>
      </c>
      <c r="O10" s="204">
        <f t="shared" si="0"/>
        <v>0</v>
      </c>
      <c r="P10" s="204">
        <f t="shared" si="1"/>
        <v>0</v>
      </c>
      <c r="Q10" s="204">
        <f t="shared" si="1"/>
        <v>0</v>
      </c>
      <c r="R10" s="204">
        <f t="shared" si="1"/>
        <v>0</v>
      </c>
      <c r="S10" s="204">
        <f t="shared" si="1"/>
        <v>0</v>
      </c>
      <c r="T10" s="204">
        <f t="shared" si="1"/>
        <v>0</v>
      </c>
      <c r="U10" s="204">
        <f t="shared" si="1"/>
        <v>0</v>
      </c>
      <c r="V10" s="204">
        <f t="shared" si="1"/>
        <v>0</v>
      </c>
      <c r="W10" s="204">
        <f t="shared" si="1"/>
        <v>0</v>
      </c>
      <c r="X10" s="204">
        <f t="shared" si="1"/>
        <v>0</v>
      </c>
      <c r="Y10" s="204">
        <f t="shared" si="1"/>
        <v>0</v>
      </c>
      <c r="Z10" s="204">
        <f t="shared" si="2"/>
        <v>0</v>
      </c>
      <c r="AA10" s="204">
        <f t="shared" si="2"/>
        <v>0</v>
      </c>
      <c r="AB10" s="204">
        <f t="shared" si="2"/>
        <v>0</v>
      </c>
      <c r="AC10" s="204">
        <f t="shared" si="2"/>
        <v>0</v>
      </c>
      <c r="AD10" s="204">
        <f t="shared" si="2"/>
        <v>0</v>
      </c>
      <c r="AE10" s="204">
        <f t="shared" si="2"/>
        <v>0</v>
      </c>
      <c r="AF10" s="204">
        <f t="shared" si="2"/>
        <v>0</v>
      </c>
      <c r="AG10" s="204">
        <f t="shared" si="2"/>
        <v>0</v>
      </c>
      <c r="AH10" s="204">
        <f t="shared" si="2"/>
        <v>0</v>
      </c>
      <c r="AI10" s="204">
        <f t="shared" si="2"/>
        <v>0</v>
      </c>
      <c r="AJ10" s="204">
        <f t="shared" si="3"/>
        <v>0</v>
      </c>
      <c r="AK10" s="204">
        <f t="shared" si="3"/>
        <v>0</v>
      </c>
      <c r="AL10" s="204">
        <f t="shared" si="3"/>
        <v>0</v>
      </c>
      <c r="AM10" s="204">
        <f t="shared" si="3"/>
        <v>0</v>
      </c>
      <c r="AN10" s="204">
        <f t="shared" si="3"/>
        <v>0</v>
      </c>
      <c r="AO10" s="204">
        <f t="shared" si="3"/>
        <v>0</v>
      </c>
      <c r="AP10" s="204">
        <f t="shared" si="3"/>
        <v>0</v>
      </c>
      <c r="AQ10" s="204">
        <f t="shared" si="3"/>
        <v>0</v>
      </c>
      <c r="AR10" s="204">
        <f t="shared" si="3"/>
        <v>0</v>
      </c>
      <c r="AS10" s="204">
        <f t="shared" si="3"/>
        <v>0</v>
      </c>
      <c r="AT10" s="204">
        <f t="shared" si="4"/>
        <v>0</v>
      </c>
      <c r="AU10" s="204">
        <f t="shared" si="4"/>
        <v>0</v>
      </c>
      <c r="AV10" s="204">
        <f t="shared" si="4"/>
        <v>0</v>
      </c>
      <c r="AW10" s="204">
        <f t="shared" si="4"/>
        <v>0</v>
      </c>
      <c r="AX10" s="204">
        <f t="shared" si="4"/>
        <v>0</v>
      </c>
      <c r="AY10" s="204">
        <f t="shared" si="4"/>
        <v>0</v>
      </c>
      <c r="AZ10" s="204">
        <f t="shared" si="4"/>
        <v>0</v>
      </c>
      <c r="BA10" s="204">
        <f t="shared" si="4"/>
        <v>0</v>
      </c>
      <c r="BB10" s="204">
        <f t="shared" si="4"/>
        <v>0</v>
      </c>
      <c r="BC10" s="204">
        <f t="shared" si="4"/>
        <v>0</v>
      </c>
      <c r="BD10" s="204">
        <f t="shared" si="5"/>
        <v>0</v>
      </c>
      <c r="BE10" s="204">
        <f t="shared" si="5"/>
        <v>0</v>
      </c>
      <c r="BF10" s="204">
        <f t="shared" si="5"/>
        <v>0</v>
      </c>
      <c r="BG10" s="204">
        <f t="shared" si="5"/>
        <v>0</v>
      </c>
      <c r="BH10" s="204">
        <f t="shared" si="5"/>
        <v>0</v>
      </c>
      <c r="BI10" s="204">
        <f t="shared" si="5"/>
        <v>0</v>
      </c>
      <c r="BJ10" s="204">
        <f t="shared" si="5"/>
        <v>0</v>
      </c>
      <c r="BK10" s="204">
        <f t="shared" si="5"/>
        <v>0</v>
      </c>
      <c r="BL10" s="204">
        <f t="shared" si="5"/>
        <v>0</v>
      </c>
      <c r="BM10" s="204">
        <f t="shared" si="5"/>
        <v>0</v>
      </c>
      <c r="BN10" s="204">
        <f t="shared" si="6"/>
        <v>0</v>
      </c>
      <c r="BO10" s="204">
        <f t="shared" si="6"/>
        <v>0</v>
      </c>
      <c r="BP10" s="204">
        <f t="shared" si="6"/>
        <v>0</v>
      </c>
      <c r="BQ10" s="204">
        <f t="shared" si="6"/>
        <v>0</v>
      </c>
      <c r="BR10" s="204">
        <f t="shared" si="6"/>
        <v>0</v>
      </c>
      <c r="BS10" s="204">
        <f t="shared" si="6"/>
        <v>0</v>
      </c>
      <c r="BT10" s="204">
        <f t="shared" si="6"/>
        <v>0</v>
      </c>
      <c r="BU10" s="204">
        <f t="shared" si="6"/>
        <v>0</v>
      </c>
      <c r="BV10" s="204">
        <f t="shared" si="6"/>
        <v>0</v>
      </c>
      <c r="BW10" s="204">
        <f t="shared" si="6"/>
        <v>0</v>
      </c>
      <c r="BX10" s="204">
        <f t="shared" si="7"/>
        <v>0</v>
      </c>
      <c r="BY10" s="204">
        <f t="shared" si="7"/>
        <v>0</v>
      </c>
      <c r="BZ10" s="204">
        <f t="shared" si="7"/>
        <v>0</v>
      </c>
      <c r="CA10" s="204">
        <f t="shared" si="7"/>
        <v>28209.654775238527</v>
      </c>
      <c r="CB10" s="204">
        <f t="shared" si="7"/>
        <v>28209.654775238527</v>
      </c>
      <c r="CC10" s="204">
        <f t="shared" si="7"/>
        <v>28209.654775238527</v>
      </c>
      <c r="CD10" s="204">
        <f t="shared" si="7"/>
        <v>28209.654775238527</v>
      </c>
      <c r="CE10" s="204">
        <f t="shared" si="7"/>
        <v>28209.654775238527</v>
      </c>
      <c r="CF10" s="204">
        <f t="shared" si="7"/>
        <v>28209.654775238527</v>
      </c>
      <c r="CG10" s="204">
        <f t="shared" si="7"/>
        <v>28209.654775238527</v>
      </c>
      <c r="CH10" s="204">
        <f t="shared" si="8"/>
        <v>28209.654775238527</v>
      </c>
      <c r="CI10" s="204">
        <f t="shared" si="8"/>
        <v>28209.654775238527</v>
      </c>
      <c r="CJ10" s="204">
        <f t="shared" si="8"/>
        <v>28209.654775238527</v>
      </c>
      <c r="CK10" s="204">
        <f t="shared" si="8"/>
        <v>28209.654775238527</v>
      </c>
      <c r="CL10" s="204">
        <f t="shared" si="8"/>
        <v>28209.654775238527</v>
      </c>
      <c r="CM10" s="204">
        <f t="shared" si="8"/>
        <v>28209.654775238527</v>
      </c>
      <c r="CN10" s="204">
        <f t="shared" si="8"/>
        <v>28209.654775238527</v>
      </c>
      <c r="CO10" s="204">
        <f t="shared" si="8"/>
        <v>28209.654775238527</v>
      </c>
      <c r="CP10" s="204">
        <f t="shared" si="8"/>
        <v>28209.654775238527</v>
      </c>
      <c r="CQ10" s="204">
        <f t="shared" si="8"/>
        <v>154408.65828783836</v>
      </c>
      <c r="CR10" s="204">
        <f t="shared" si="9"/>
        <v>154408.65828783836</v>
      </c>
      <c r="CS10" s="204">
        <f t="shared" si="9"/>
        <v>154408.65828783836</v>
      </c>
      <c r="CT10" s="204">
        <f t="shared" si="9"/>
        <v>154408.65828783836</v>
      </c>
      <c r="CU10" s="204">
        <f t="shared" si="9"/>
        <v>154408.65828783836</v>
      </c>
      <c r="CV10" s="204">
        <f t="shared" si="9"/>
        <v>154408.65828783836</v>
      </c>
      <c r="CW10" s="204">
        <f t="shared" si="9"/>
        <v>154408.65828783836</v>
      </c>
      <c r="CX10" s="204">
        <f t="shared" si="9"/>
        <v>154408.65828783836</v>
      </c>
      <c r="CY10" s="204">
        <f t="shared" si="9"/>
        <v>154408.65828783836</v>
      </c>
      <c r="CZ10" s="204">
        <f t="shared" si="9"/>
        <v>154408.65828783836</v>
      </c>
      <c r="DA10" s="204">
        <f t="shared" si="9"/>
        <v>154408.65828783836</v>
      </c>
      <c r="DB10" s="204"/>
    </row>
    <row r="11" spans="1:106">
      <c r="A11" s="201" t="str">
        <f>Income!A81</f>
        <v>Self - employment</v>
      </c>
      <c r="B11" s="203">
        <f>Income!B81</f>
        <v>0</v>
      </c>
      <c r="C11" s="203">
        <f>Income!C81</f>
        <v>0</v>
      </c>
      <c r="D11" s="203">
        <f>Income!D81</f>
        <v>0</v>
      </c>
      <c r="E11" s="203">
        <f>Income!E81</f>
        <v>0</v>
      </c>
      <c r="F11" s="204">
        <f t="shared" si="0"/>
        <v>0</v>
      </c>
      <c r="G11" s="204">
        <f t="shared" si="0"/>
        <v>0</v>
      </c>
      <c r="H11" s="204">
        <f t="shared" si="0"/>
        <v>0</v>
      </c>
      <c r="I11" s="204">
        <f t="shared" si="0"/>
        <v>0</v>
      </c>
      <c r="J11" s="204">
        <f t="shared" si="0"/>
        <v>0</v>
      </c>
      <c r="K11" s="204">
        <f t="shared" si="0"/>
        <v>0</v>
      </c>
      <c r="L11" s="204">
        <f t="shared" si="0"/>
        <v>0</v>
      </c>
      <c r="M11" s="204">
        <f t="shared" si="0"/>
        <v>0</v>
      </c>
      <c r="N11" s="204">
        <f t="shared" si="0"/>
        <v>0</v>
      </c>
      <c r="O11" s="204">
        <f t="shared" si="0"/>
        <v>0</v>
      </c>
      <c r="P11" s="204">
        <f t="shared" si="1"/>
        <v>0</v>
      </c>
      <c r="Q11" s="204">
        <f t="shared" si="1"/>
        <v>0</v>
      </c>
      <c r="R11" s="204">
        <f t="shared" si="1"/>
        <v>0</v>
      </c>
      <c r="S11" s="204">
        <f t="shared" si="1"/>
        <v>0</v>
      </c>
      <c r="T11" s="204">
        <f t="shared" si="1"/>
        <v>0</v>
      </c>
      <c r="U11" s="204">
        <f t="shared" si="1"/>
        <v>0</v>
      </c>
      <c r="V11" s="204">
        <f t="shared" si="1"/>
        <v>0</v>
      </c>
      <c r="W11" s="204">
        <f t="shared" si="1"/>
        <v>0</v>
      </c>
      <c r="X11" s="204">
        <f t="shared" si="1"/>
        <v>0</v>
      </c>
      <c r="Y11" s="204">
        <f t="shared" si="1"/>
        <v>0</v>
      </c>
      <c r="Z11" s="204">
        <f t="shared" si="2"/>
        <v>0</v>
      </c>
      <c r="AA11" s="204">
        <f t="shared" si="2"/>
        <v>0</v>
      </c>
      <c r="AB11" s="204">
        <f t="shared" si="2"/>
        <v>0</v>
      </c>
      <c r="AC11" s="204">
        <f t="shared" si="2"/>
        <v>0</v>
      </c>
      <c r="AD11" s="204">
        <f t="shared" si="2"/>
        <v>0</v>
      </c>
      <c r="AE11" s="204">
        <f t="shared" si="2"/>
        <v>0</v>
      </c>
      <c r="AF11" s="204">
        <f t="shared" si="2"/>
        <v>0</v>
      </c>
      <c r="AG11" s="204">
        <f t="shared" si="2"/>
        <v>0</v>
      </c>
      <c r="AH11" s="204">
        <f t="shared" si="2"/>
        <v>0</v>
      </c>
      <c r="AI11" s="204">
        <f t="shared" si="2"/>
        <v>0</v>
      </c>
      <c r="AJ11" s="204">
        <f t="shared" si="3"/>
        <v>0</v>
      </c>
      <c r="AK11" s="204">
        <f t="shared" si="3"/>
        <v>0</v>
      </c>
      <c r="AL11" s="204">
        <f t="shared" si="3"/>
        <v>0</v>
      </c>
      <c r="AM11" s="204">
        <f t="shared" si="3"/>
        <v>0</v>
      </c>
      <c r="AN11" s="204">
        <f t="shared" si="3"/>
        <v>0</v>
      </c>
      <c r="AO11" s="204">
        <f t="shared" si="3"/>
        <v>0</v>
      </c>
      <c r="AP11" s="204">
        <f t="shared" si="3"/>
        <v>0</v>
      </c>
      <c r="AQ11" s="204">
        <f t="shared" si="3"/>
        <v>0</v>
      </c>
      <c r="AR11" s="204">
        <f t="shared" si="3"/>
        <v>0</v>
      </c>
      <c r="AS11" s="204">
        <f t="shared" si="3"/>
        <v>0</v>
      </c>
      <c r="AT11" s="204">
        <f t="shared" si="4"/>
        <v>0</v>
      </c>
      <c r="AU11" s="204">
        <f t="shared" si="4"/>
        <v>0</v>
      </c>
      <c r="AV11" s="204">
        <f t="shared" si="4"/>
        <v>0</v>
      </c>
      <c r="AW11" s="204">
        <f t="shared" si="4"/>
        <v>0</v>
      </c>
      <c r="AX11" s="204">
        <f t="shared" si="4"/>
        <v>0</v>
      </c>
      <c r="AY11" s="204">
        <f t="shared" si="4"/>
        <v>0</v>
      </c>
      <c r="AZ11" s="204">
        <f t="shared" si="4"/>
        <v>0</v>
      </c>
      <c r="BA11" s="204">
        <f t="shared" si="4"/>
        <v>0</v>
      </c>
      <c r="BB11" s="204">
        <f t="shared" si="4"/>
        <v>0</v>
      </c>
      <c r="BC11" s="204">
        <f t="shared" si="4"/>
        <v>0</v>
      </c>
      <c r="BD11" s="204">
        <f t="shared" si="5"/>
        <v>0</v>
      </c>
      <c r="BE11" s="204">
        <f t="shared" si="5"/>
        <v>0</v>
      </c>
      <c r="BF11" s="204">
        <f t="shared" si="5"/>
        <v>0</v>
      </c>
      <c r="BG11" s="204">
        <f t="shared" si="5"/>
        <v>0</v>
      </c>
      <c r="BH11" s="204">
        <f t="shared" si="5"/>
        <v>0</v>
      </c>
      <c r="BI11" s="204">
        <f t="shared" si="5"/>
        <v>0</v>
      </c>
      <c r="BJ11" s="204">
        <f t="shared" si="5"/>
        <v>0</v>
      </c>
      <c r="BK11" s="204">
        <f t="shared" si="5"/>
        <v>0</v>
      </c>
      <c r="BL11" s="204">
        <f t="shared" si="5"/>
        <v>0</v>
      </c>
      <c r="BM11" s="204">
        <f t="shared" si="5"/>
        <v>0</v>
      </c>
      <c r="BN11" s="204">
        <f t="shared" si="6"/>
        <v>0</v>
      </c>
      <c r="BO11" s="204">
        <f t="shared" si="6"/>
        <v>0</v>
      </c>
      <c r="BP11" s="204">
        <f t="shared" si="6"/>
        <v>0</v>
      </c>
      <c r="BQ11" s="204">
        <f t="shared" si="6"/>
        <v>0</v>
      </c>
      <c r="BR11" s="204">
        <f t="shared" si="6"/>
        <v>0</v>
      </c>
      <c r="BS11" s="204">
        <f t="shared" si="6"/>
        <v>0</v>
      </c>
      <c r="BT11" s="204">
        <f t="shared" si="6"/>
        <v>0</v>
      </c>
      <c r="BU11" s="204">
        <f t="shared" si="6"/>
        <v>0</v>
      </c>
      <c r="BV11" s="204">
        <f t="shared" si="6"/>
        <v>0</v>
      </c>
      <c r="BW11" s="204">
        <f t="shared" si="6"/>
        <v>0</v>
      </c>
      <c r="BX11" s="204">
        <f t="shared" si="7"/>
        <v>0</v>
      </c>
      <c r="BY11" s="204">
        <f t="shared" si="7"/>
        <v>0</v>
      </c>
      <c r="BZ11" s="204">
        <f t="shared" si="7"/>
        <v>0</v>
      </c>
      <c r="CA11" s="204">
        <f t="shared" si="7"/>
        <v>0</v>
      </c>
      <c r="CB11" s="204">
        <f t="shared" si="7"/>
        <v>0</v>
      </c>
      <c r="CC11" s="204">
        <f t="shared" si="7"/>
        <v>0</v>
      </c>
      <c r="CD11" s="204">
        <f t="shared" si="7"/>
        <v>0</v>
      </c>
      <c r="CE11" s="204">
        <f t="shared" si="7"/>
        <v>0</v>
      </c>
      <c r="CF11" s="204">
        <f t="shared" si="7"/>
        <v>0</v>
      </c>
      <c r="CG11" s="204">
        <f t="shared" si="7"/>
        <v>0</v>
      </c>
      <c r="CH11" s="204">
        <f t="shared" si="8"/>
        <v>0</v>
      </c>
      <c r="CI11" s="204">
        <f t="shared" si="8"/>
        <v>0</v>
      </c>
      <c r="CJ11" s="204">
        <f t="shared" si="8"/>
        <v>0</v>
      </c>
      <c r="CK11" s="204">
        <f t="shared" si="8"/>
        <v>0</v>
      </c>
      <c r="CL11" s="204">
        <f t="shared" si="8"/>
        <v>0</v>
      </c>
      <c r="CM11" s="204">
        <f t="shared" si="8"/>
        <v>0</v>
      </c>
      <c r="CN11" s="204">
        <f t="shared" si="8"/>
        <v>0</v>
      </c>
      <c r="CO11" s="204">
        <f t="shared" si="8"/>
        <v>0</v>
      </c>
      <c r="CP11" s="204">
        <f t="shared" si="8"/>
        <v>0</v>
      </c>
      <c r="CQ11" s="204">
        <f t="shared" si="8"/>
        <v>0</v>
      </c>
      <c r="CR11" s="204">
        <f t="shared" si="9"/>
        <v>0</v>
      </c>
      <c r="CS11" s="204">
        <f t="shared" si="9"/>
        <v>0</v>
      </c>
      <c r="CT11" s="204">
        <f t="shared" si="9"/>
        <v>0</v>
      </c>
      <c r="CU11" s="204">
        <f t="shared" si="9"/>
        <v>0</v>
      </c>
      <c r="CV11" s="204">
        <f t="shared" si="9"/>
        <v>0</v>
      </c>
      <c r="CW11" s="204">
        <f t="shared" si="9"/>
        <v>0</v>
      </c>
      <c r="CX11" s="204">
        <f t="shared" si="9"/>
        <v>0</v>
      </c>
      <c r="CY11" s="204">
        <f t="shared" si="9"/>
        <v>0</v>
      </c>
      <c r="CZ11" s="204">
        <f t="shared" si="9"/>
        <v>0</v>
      </c>
      <c r="DA11" s="204">
        <f t="shared" si="9"/>
        <v>0</v>
      </c>
      <c r="DB11" s="204"/>
    </row>
    <row r="12" spans="1:106">
      <c r="A12" s="201" t="str">
        <f>Income!A82</f>
        <v>Small business/petty trading</v>
      </c>
      <c r="B12" s="203">
        <f>Income!B82</f>
        <v>1575.0156205517019</v>
      </c>
      <c r="C12" s="203">
        <f>Income!C82</f>
        <v>1148.448889985616</v>
      </c>
      <c r="D12" s="203">
        <f>Income!D82</f>
        <v>0</v>
      </c>
      <c r="E12" s="203">
        <f>Income!E82</f>
        <v>60961.888313094656</v>
      </c>
      <c r="F12" s="204">
        <f t="shared" si="0"/>
        <v>1575.0156205517019</v>
      </c>
      <c r="G12" s="204">
        <f t="shared" si="0"/>
        <v>1575.0156205517019</v>
      </c>
      <c r="H12" s="204">
        <f t="shared" si="0"/>
        <v>1575.0156205517019</v>
      </c>
      <c r="I12" s="204">
        <f t="shared" si="0"/>
        <v>1575.0156205517019</v>
      </c>
      <c r="J12" s="204">
        <f t="shared" si="0"/>
        <v>1575.0156205517019</v>
      </c>
      <c r="K12" s="204">
        <f t="shared" si="0"/>
        <v>1575.0156205517019</v>
      </c>
      <c r="L12" s="204">
        <f t="shared" si="0"/>
        <v>1575.0156205517019</v>
      </c>
      <c r="M12" s="204">
        <f t="shared" si="0"/>
        <v>1575.0156205517019</v>
      </c>
      <c r="N12" s="204">
        <f t="shared" si="0"/>
        <v>1575.0156205517019</v>
      </c>
      <c r="O12" s="204">
        <f t="shared" si="0"/>
        <v>1575.0156205517019</v>
      </c>
      <c r="P12" s="204">
        <f t="shared" si="1"/>
        <v>1575.0156205517019</v>
      </c>
      <c r="Q12" s="204">
        <f t="shared" si="1"/>
        <v>1575.0156205517019</v>
      </c>
      <c r="R12" s="204">
        <f t="shared" si="1"/>
        <v>1575.0156205517019</v>
      </c>
      <c r="S12" s="204">
        <f t="shared" si="1"/>
        <v>1575.0156205517019</v>
      </c>
      <c r="T12" s="204">
        <f t="shared" si="1"/>
        <v>1575.0156205517019</v>
      </c>
      <c r="U12" s="204">
        <f t="shared" si="1"/>
        <v>1575.0156205517019</v>
      </c>
      <c r="V12" s="204">
        <f t="shared" si="1"/>
        <v>1575.0156205517019</v>
      </c>
      <c r="W12" s="204">
        <f t="shared" si="1"/>
        <v>1575.0156205517019</v>
      </c>
      <c r="X12" s="204">
        <f t="shared" si="1"/>
        <v>1575.0156205517019</v>
      </c>
      <c r="Y12" s="204">
        <f t="shared" si="1"/>
        <v>1575.0156205517019</v>
      </c>
      <c r="Z12" s="204">
        <f t="shared" si="2"/>
        <v>1575.0156205517019</v>
      </c>
      <c r="AA12" s="204">
        <f t="shared" si="2"/>
        <v>1575.0156205517019</v>
      </c>
      <c r="AB12" s="204">
        <f t="shared" si="2"/>
        <v>1575.0156205517019</v>
      </c>
      <c r="AC12" s="204">
        <f t="shared" si="2"/>
        <v>1575.0156205517019</v>
      </c>
      <c r="AD12" s="204">
        <f t="shared" si="2"/>
        <v>1575.0156205517019</v>
      </c>
      <c r="AE12" s="204">
        <f t="shared" si="2"/>
        <v>1575.0156205517019</v>
      </c>
      <c r="AF12" s="204">
        <f t="shared" si="2"/>
        <v>1575.0156205517019</v>
      </c>
      <c r="AG12" s="204">
        <f t="shared" si="2"/>
        <v>1575.0156205517019</v>
      </c>
      <c r="AH12" s="204">
        <f t="shared" si="2"/>
        <v>1575.0156205517019</v>
      </c>
      <c r="AI12" s="204">
        <f t="shared" si="2"/>
        <v>1575.0156205517019</v>
      </c>
      <c r="AJ12" s="204">
        <f t="shared" si="3"/>
        <v>1575.0156205517019</v>
      </c>
      <c r="AK12" s="204">
        <f t="shared" si="3"/>
        <v>1575.0156205517019</v>
      </c>
      <c r="AL12" s="204">
        <f t="shared" si="3"/>
        <v>1575.0156205517019</v>
      </c>
      <c r="AM12" s="204">
        <f t="shared" si="3"/>
        <v>1575.0156205517019</v>
      </c>
      <c r="AN12" s="204">
        <f t="shared" si="3"/>
        <v>1575.0156205517019</v>
      </c>
      <c r="AO12" s="204">
        <f t="shared" si="3"/>
        <v>1575.0156205517019</v>
      </c>
      <c r="AP12" s="204">
        <f t="shared" si="3"/>
        <v>1575.0156205517019</v>
      </c>
      <c r="AQ12" s="204">
        <f t="shared" si="3"/>
        <v>1575.0156205517019</v>
      </c>
      <c r="AR12" s="204">
        <f t="shared" si="3"/>
        <v>1575.0156205517019</v>
      </c>
      <c r="AS12" s="204">
        <f t="shared" si="3"/>
        <v>1148.448889985616</v>
      </c>
      <c r="AT12" s="204">
        <f t="shared" si="4"/>
        <v>1148.448889985616</v>
      </c>
      <c r="AU12" s="204">
        <f t="shared" si="4"/>
        <v>1148.448889985616</v>
      </c>
      <c r="AV12" s="204">
        <f t="shared" si="4"/>
        <v>1148.448889985616</v>
      </c>
      <c r="AW12" s="204">
        <f t="shared" si="4"/>
        <v>1148.448889985616</v>
      </c>
      <c r="AX12" s="204">
        <f t="shared" si="4"/>
        <v>1148.448889985616</v>
      </c>
      <c r="AY12" s="204">
        <f t="shared" si="4"/>
        <v>1148.448889985616</v>
      </c>
      <c r="AZ12" s="204">
        <f t="shared" si="4"/>
        <v>1148.448889985616</v>
      </c>
      <c r="BA12" s="204">
        <f t="shared" si="4"/>
        <v>1148.448889985616</v>
      </c>
      <c r="BB12" s="204">
        <f t="shared" si="4"/>
        <v>1148.448889985616</v>
      </c>
      <c r="BC12" s="204">
        <f t="shared" si="4"/>
        <v>1148.448889985616</v>
      </c>
      <c r="BD12" s="204">
        <f t="shared" si="5"/>
        <v>1148.448889985616</v>
      </c>
      <c r="BE12" s="204">
        <f t="shared" si="5"/>
        <v>1148.448889985616</v>
      </c>
      <c r="BF12" s="204">
        <f t="shared" si="5"/>
        <v>1148.448889985616</v>
      </c>
      <c r="BG12" s="204">
        <f t="shared" si="5"/>
        <v>1148.448889985616</v>
      </c>
      <c r="BH12" s="204">
        <f t="shared" si="5"/>
        <v>1148.448889985616</v>
      </c>
      <c r="BI12" s="204">
        <f t="shared" si="5"/>
        <v>1148.448889985616</v>
      </c>
      <c r="BJ12" s="204">
        <f t="shared" si="5"/>
        <v>1148.448889985616</v>
      </c>
      <c r="BK12" s="204">
        <f t="shared" si="5"/>
        <v>1148.448889985616</v>
      </c>
      <c r="BL12" s="204">
        <f t="shared" si="5"/>
        <v>1148.448889985616</v>
      </c>
      <c r="BM12" s="204">
        <f t="shared" si="5"/>
        <v>1148.448889985616</v>
      </c>
      <c r="BN12" s="204">
        <f t="shared" si="6"/>
        <v>1148.448889985616</v>
      </c>
      <c r="BO12" s="204">
        <f t="shared" si="6"/>
        <v>1148.448889985616</v>
      </c>
      <c r="BP12" s="204">
        <f t="shared" si="6"/>
        <v>1148.448889985616</v>
      </c>
      <c r="BQ12" s="204">
        <f t="shared" si="6"/>
        <v>1148.448889985616</v>
      </c>
      <c r="BR12" s="204">
        <f t="shared" si="6"/>
        <v>1148.448889985616</v>
      </c>
      <c r="BS12" s="204">
        <f t="shared" si="6"/>
        <v>1148.448889985616</v>
      </c>
      <c r="BT12" s="204">
        <f t="shared" si="6"/>
        <v>1148.448889985616</v>
      </c>
      <c r="BU12" s="204">
        <f t="shared" si="6"/>
        <v>1148.448889985616</v>
      </c>
      <c r="BV12" s="204">
        <f t="shared" si="6"/>
        <v>1148.448889985616</v>
      </c>
      <c r="BW12" s="204">
        <f t="shared" si="6"/>
        <v>1148.448889985616</v>
      </c>
      <c r="BX12" s="204">
        <f t="shared" si="7"/>
        <v>1148.448889985616</v>
      </c>
      <c r="BY12" s="204">
        <f t="shared" si="7"/>
        <v>1148.448889985616</v>
      </c>
      <c r="BZ12" s="204">
        <f t="shared" si="7"/>
        <v>1148.448889985616</v>
      </c>
      <c r="CA12" s="204">
        <f t="shared" si="7"/>
        <v>0</v>
      </c>
      <c r="CB12" s="204">
        <f t="shared" si="7"/>
        <v>0</v>
      </c>
      <c r="CC12" s="204">
        <f t="shared" si="7"/>
        <v>0</v>
      </c>
      <c r="CD12" s="204">
        <f t="shared" si="7"/>
        <v>0</v>
      </c>
      <c r="CE12" s="204">
        <f t="shared" si="7"/>
        <v>0</v>
      </c>
      <c r="CF12" s="204">
        <f t="shared" si="7"/>
        <v>0</v>
      </c>
      <c r="CG12" s="204">
        <f t="shared" si="7"/>
        <v>0</v>
      </c>
      <c r="CH12" s="204">
        <f t="shared" si="8"/>
        <v>0</v>
      </c>
      <c r="CI12" s="204">
        <f t="shared" si="8"/>
        <v>0</v>
      </c>
      <c r="CJ12" s="204">
        <f t="shared" si="8"/>
        <v>0</v>
      </c>
      <c r="CK12" s="204">
        <f t="shared" si="8"/>
        <v>0</v>
      </c>
      <c r="CL12" s="204">
        <f t="shared" si="8"/>
        <v>0</v>
      </c>
      <c r="CM12" s="204">
        <f t="shared" si="8"/>
        <v>0</v>
      </c>
      <c r="CN12" s="204">
        <f t="shared" si="8"/>
        <v>0</v>
      </c>
      <c r="CO12" s="204">
        <f t="shared" si="8"/>
        <v>0</v>
      </c>
      <c r="CP12" s="204">
        <f t="shared" si="8"/>
        <v>0</v>
      </c>
      <c r="CQ12" s="204">
        <f t="shared" si="8"/>
        <v>60961.888313094656</v>
      </c>
      <c r="CR12" s="204">
        <f t="shared" si="9"/>
        <v>60961.888313094656</v>
      </c>
      <c r="CS12" s="204">
        <f t="shared" si="9"/>
        <v>60961.888313094656</v>
      </c>
      <c r="CT12" s="204">
        <f t="shared" si="9"/>
        <v>60961.888313094656</v>
      </c>
      <c r="CU12" s="204">
        <f t="shared" si="9"/>
        <v>60961.888313094656</v>
      </c>
      <c r="CV12" s="204">
        <f t="shared" si="9"/>
        <v>60961.888313094656</v>
      </c>
      <c r="CW12" s="204">
        <f t="shared" si="9"/>
        <v>60961.888313094656</v>
      </c>
      <c r="CX12" s="204">
        <f t="shared" si="9"/>
        <v>60961.888313094656</v>
      </c>
      <c r="CY12" s="204">
        <f t="shared" si="9"/>
        <v>60961.888313094656</v>
      </c>
      <c r="CZ12" s="204">
        <f t="shared" si="9"/>
        <v>60961.888313094656</v>
      </c>
      <c r="DA12" s="204">
        <f t="shared" si="9"/>
        <v>60961.888313094656</v>
      </c>
      <c r="DB12" s="204"/>
    </row>
    <row r="13" spans="1:106">
      <c r="A13" s="201" t="str">
        <f>Income!A83</f>
        <v>Food transfer - official</v>
      </c>
      <c r="B13" s="203">
        <f>Income!B83</f>
        <v>2542.6668466728388</v>
      </c>
      <c r="C13" s="203">
        <f>Income!C83</f>
        <v>2592.6389326114268</v>
      </c>
      <c r="D13" s="203">
        <f>Income!D83</f>
        <v>2307.4028516274425</v>
      </c>
      <c r="E13" s="203">
        <f>Income!E83</f>
        <v>403.95618288041288</v>
      </c>
      <c r="F13" s="204">
        <f t="shared" ref="F13:O18" si="10">IF(F$2&lt;=($B$2+$C$2+$D$2),IF(F$2&lt;=($B$2+$C$2),IF(F$2&lt;=$B$2,$B13,$C13),$D13),$E13)</f>
        <v>2542.6668466728388</v>
      </c>
      <c r="G13" s="204">
        <f t="shared" si="10"/>
        <v>2542.6668466728388</v>
      </c>
      <c r="H13" s="204">
        <f t="shared" si="10"/>
        <v>2542.6668466728388</v>
      </c>
      <c r="I13" s="204">
        <f t="shared" si="10"/>
        <v>2542.6668466728388</v>
      </c>
      <c r="J13" s="204">
        <f t="shared" si="10"/>
        <v>2542.6668466728388</v>
      </c>
      <c r="K13" s="204">
        <f t="shared" si="10"/>
        <v>2542.6668466728388</v>
      </c>
      <c r="L13" s="204">
        <f t="shared" si="10"/>
        <v>2542.6668466728388</v>
      </c>
      <c r="M13" s="204">
        <f t="shared" si="10"/>
        <v>2542.6668466728388</v>
      </c>
      <c r="N13" s="204">
        <f t="shared" si="10"/>
        <v>2542.6668466728388</v>
      </c>
      <c r="O13" s="204">
        <f t="shared" si="10"/>
        <v>2542.6668466728388</v>
      </c>
      <c r="P13" s="204">
        <f t="shared" ref="P13:Y18" si="11">IF(P$2&lt;=($B$2+$C$2+$D$2),IF(P$2&lt;=($B$2+$C$2),IF(P$2&lt;=$B$2,$B13,$C13),$D13),$E13)</f>
        <v>2542.6668466728388</v>
      </c>
      <c r="Q13" s="204">
        <f t="shared" si="11"/>
        <v>2542.6668466728388</v>
      </c>
      <c r="R13" s="204">
        <f t="shared" si="11"/>
        <v>2542.6668466728388</v>
      </c>
      <c r="S13" s="204">
        <f t="shared" si="11"/>
        <v>2542.6668466728388</v>
      </c>
      <c r="T13" s="204">
        <f t="shared" si="11"/>
        <v>2542.6668466728388</v>
      </c>
      <c r="U13" s="204">
        <f t="shared" si="11"/>
        <v>2542.6668466728388</v>
      </c>
      <c r="V13" s="204">
        <f t="shared" si="11"/>
        <v>2542.6668466728388</v>
      </c>
      <c r="W13" s="204">
        <f t="shared" si="11"/>
        <v>2542.6668466728388</v>
      </c>
      <c r="X13" s="204">
        <f t="shared" si="11"/>
        <v>2542.6668466728388</v>
      </c>
      <c r="Y13" s="204">
        <f t="shared" si="11"/>
        <v>2542.6668466728388</v>
      </c>
      <c r="Z13" s="204">
        <f t="shared" ref="Z13:AI18" si="12">IF(Z$2&lt;=($B$2+$C$2+$D$2),IF(Z$2&lt;=($B$2+$C$2),IF(Z$2&lt;=$B$2,$B13,$C13),$D13),$E13)</f>
        <v>2542.6668466728388</v>
      </c>
      <c r="AA13" s="204">
        <f t="shared" si="12"/>
        <v>2542.6668466728388</v>
      </c>
      <c r="AB13" s="204">
        <f t="shared" si="12"/>
        <v>2542.6668466728388</v>
      </c>
      <c r="AC13" s="204">
        <f t="shared" si="12"/>
        <v>2542.6668466728388</v>
      </c>
      <c r="AD13" s="204">
        <f t="shared" si="12"/>
        <v>2542.6668466728388</v>
      </c>
      <c r="AE13" s="204">
        <f t="shared" si="12"/>
        <v>2542.6668466728388</v>
      </c>
      <c r="AF13" s="204">
        <f t="shared" si="12"/>
        <v>2542.6668466728388</v>
      </c>
      <c r="AG13" s="204">
        <f t="shared" si="12"/>
        <v>2542.6668466728388</v>
      </c>
      <c r="AH13" s="204">
        <f t="shared" si="12"/>
        <v>2542.6668466728388</v>
      </c>
      <c r="AI13" s="204">
        <f t="shared" si="12"/>
        <v>2542.6668466728388</v>
      </c>
      <c r="AJ13" s="204">
        <f t="shared" ref="AJ13:AS18" si="13">IF(AJ$2&lt;=($B$2+$C$2+$D$2),IF(AJ$2&lt;=($B$2+$C$2),IF(AJ$2&lt;=$B$2,$B13,$C13),$D13),$E13)</f>
        <v>2542.6668466728388</v>
      </c>
      <c r="AK13" s="204">
        <f t="shared" si="13"/>
        <v>2542.6668466728388</v>
      </c>
      <c r="AL13" s="204">
        <f t="shared" si="13"/>
        <v>2542.6668466728388</v>
      </c>
      <c r="AM13" s="204">
        <f t="shared" si="13"/>
        <v>2542.6668466728388</v>
      </c>
      <c r="AN13" s="204">
        <f t="shared" si="13"/>
        <v>2542.6668466728388</v>
      </c>
      <c r="AO13" s="204">
        <f t="shared" si="13"/>
        <v>2542.6668466728388</v>
      </c>
      <c r="AP13" s="204">
        <f t="shared" si="13"/>
        <v>2542.6668466728388</v>
      </c>
      <c r="AQ13" s="204">
        <f t="shared" si="13"/>
        <v>2542.6668466728388</v>
      </c>
      <c r="AR13" s="204">
        <f t="shared" si="13"/>
        <v>2542.6668466728388</v>
      </c>
      <c r="AS13" s="204">
        <f t="shared" si="13"/>
        <v>2592.6389326114268</v>
      </c>
      <c r="AT13" s="204">
        <f t="shared" ref="AT13:BC18" si="14">IF(AT$2&lt;=($B$2+$C$2+$D$2),IF(AT$2&lt;=($B$2+$C$2),IF(AT$2&lt;=$B$2,$B13,$C13),$D13),$E13)</f>
        <v>2592.6389326114268</v>
      </c>
      <c r="AU13" s="204">
        <f t="shared" si="14"/>
        <v>2592.6389326114268</v>
      </c>
      <c r="AV13" s="204">
        <f t="shared" si="14"/>
        <v>2592.6389326114268</v>
      </c>
      <c r="AW13" s="204">
        <f t="shared" si="14"/>
        <v>2592.6389326114268</v>
      </c>
      <c r="AX13" s="204">
        <f t="shared" si="14"/>
        <v>2592.6389326114268</v>
      </c>
      <c r="AY13" s="204">
        <f t="shared" si="14"/>
        <v>2592.6389326114268</v>
      </c>
      <c r="AZ13" s="204">
        <f t="shared" si="14"/>
        <v>2592.6389326114268</v>
      </c>
      <c r="BA13" s="204">
        <f t="shared" si="14"/>
        <v>2592.6389326114268</v>
      </c>
      <c r="BB13" s="204">
        <f t="shared" si="14"/>
        <v>2592.6389326114268</v>
      </c>
      <c r="BC13" s="204">
        <f t="shared" si="14"/>
        <v>2592.6389326114268</v>
      </c>
      <c r="BD13" s="204">
        <f t="shared" ref="BD13:BM18" si="15">IF(BD$2&lt;=($B$2+$C$2+$D$2),IF(BD$2&lt;=($B$2+$C$2),IF(BD$2&lt;=$B$2,$B13,$C13),$D13),$E13)</f>
        <v>2592.6389326114268</v>
      </c>
      <c r="BE13" s="204">
        <f t="shared" si="15"/>
        <v>2592.6389326114268</v>
      </c>
      <c r="BF13" s="204">
        <f t="shared" si="15"/>
        <v>2592.6389326114268</v>
      </c>
      <c r="BG13" s="204">
        <f t="shared" si="15"/>
        <v>2592.6389326114268</v>
      </c>
      <c r="BH13" s="204">
        <f t="shared" si="15"/>
        <v>2592.6389326114268</v>
      </c>
      <c r="BI13" s="204">
        <f t="shared" si="15"/>
        <v>2592.6389326114268</v>
      </c>
      <c r="BJ13" s="204">
        <f t="shared" si="15"/>
        <v>2592.6389326114268</v>
      </c>
      <c r="BK13" s="204">
        <f t="shared" si="15"/>
        <v>2592.6389326114268</v>
      </c>
      <c r="BL13" s="204">
        <f t="shared" si="15"/>
        <v>2592.6389326114268</v>
      </c>
      <c r="BM13" s="204">
        <f t="shared" si="15"/>
        <v>2592.6389326114268</v>
      </c>
      <c r="BN13" s="204">
        <f t="shared" ref="BN13:BW18" si="16">IF(BN$2&lt;=($B$2+$C$2+$D$2),IF(BN$2&lt;=($B$2+$C$2),IF(BN$2&lt;=$B$2,$B13,$C13),$D13),$E13)</f>
        <v>2592.6389326114268</v>
      </c>
      <c r="BO13" s="204">
        <f t="shared" si="16"/>
        <v>2592.6389326114268</v>
      </c>
      <c r="BP13" s="204">
        <f t="shared" si="16"/>
        <v>2592.6389326114268</v>
      </c>
      <c r="BQ13" s="204">
        <f t="shared" si="16"/>
        <v>2592.6389326114268</v>
      </c>
      <c r="BR13" s="204">
        <f t="shared" si="16"/>
        <v>2592.6389326114268</v>
      </c>
      <c r="BS13" s="204">
        <f t="shared" si="16"/>
        <v>2592.6389326114268</v>
      </c>
      <c r="BT13" s="204">
        <f t="shared" si="16"/>
        <v>2592.6389326114268</v>
      </c>
      <c r="BU13" s="204">
        <f t="shared" si="16"/>
        <v>2592.6389326114268</v>
      </c>
      <c r="BV13" s="204">
        <f t="shared" si="16"/>
        <v>2592.6389326114268</v>
      </c>
      <c r="BW13" s="204">
        <f t="shared" si="16"/>
        <v>2592.6389326114268</v>
      </c>
      <c r="BX13" s="204">
        <f t="shared" ref="BX13:CG18" si="17">IF(BX$2&lt;=($B$2+$C$2+$D$2),IF(BX$2&lt;=($B$2+$C$2),IF(BX$2&lt;=$B$2,$B13,$C13),$D13),$E13)</f>
        <v>2592.6389326114268</v>
      </c>
      <c r="BY13" s="204">
        <f t="shared" si="17"/>
        <v>2592.6389326114268</v>
      </c>
      <c r="BZ13" s="204">
        <f t="shared" si="17"/>
        <v>2592.6389326114268</v>
      </c>
      <c r="CA13" s="204">
        <f t="shared" si="17"/>
        <v>2307.4028516274425</v>
      </c>
      <c r="CB13" s="204">
        <f t="shared" si="17"/>
        <v>2307.4028516274425</v>
      </c>
      <c r="CC13" s="204">
        <f t="shared" si="17"/>
        <v>2307.4028516274425</v>
      </c>
      <c r="CD13" s="204">
        <f t="shared" si="17"/>
        <v>2307.4028516274425</v>
      </c>
      <c r="CE13" s="204">
        <f t="shared" si="17"/>
        <v>2307.4028516274425</v>
      </c>
      <c r="CF13" s="204">
        <f t="shared" si="17"/>
        <v>2307.4028516274425</v>
      </c>
      <c r="CG13" s="204">
        <f t="shared" si="17"/>
        <v>2307.4028516274425</v>
      </c>
      <c r="CH13" s="204">
        <f t="shared" ref="CH13:CQ18" si="18">IF(CH$2&lt;=($B$2+$C$2+$D$2),IF(CH$2&lt;=($B$2+$C$2),IF(CH$2&lt;=$B$2,$B13,$C13),$D13),$E13)</f>
        <v>2307.4028516274425</v>
      </c>
      <c r="CI13" s="204">
        <f t="shared" si="18"/>
        <v>2307.4028516274425</v>
      </c>
      <c r="CJ13" s="204">
        <f t="shared" si="18"/>
        <v>2307.4028516274425</v>
      </c>
      <c r="CK13" s="204">
        <f t="shared" si="18"/>
        <v>2307.4028516274425</v>
      </c>
      <c r="CL13" s="204">
        <f t="shared" si="18"/>
        <v>2307.4028516274425</v>
      </c>
      <c r="CM13" s="204">
        <f t="shared" si="18"/>
        <v>2307.4028516274425</v>
      </c>
      <c r="CN13" s="204">
        <f t="shared" si="18"/>
        <v>2307.4028516274425</v>
      </c>
      <c r="CO13" s="204">
        <f t="shared" si="18"/>
        <v>2307.4028516274425</v>
      </c>
      <c r="CP13" s="204">
        <f t="shared" si="18"/>
        <v>2307.4028516274425</v>
      </c>
      <c r="CQ13" s="204">
        <f t="shared" si="18"/>
        <v>403.95618288041288</v>
      </c>
      <c r="CR13" s="204">
        <f t="shared" ref="CR13:DA18" si="19">IF(CR$2&lt;=($B$2+$C$2+$D$2),IF(CR$2&lt;=($B$2+$C$2),IF(CR$2&lt;=$B$2,$B13,$C13),$D13),$E13)</f>
        <v>403.95618288041288</v>
      </c>
      <c r="CS13" s="204">
        <f t="shared" si="19"/>
        <v>403.95618288041288</v>
      </c>
      <c r="CT13" s="204">
        <f t="shared" si="19"/>
        <v>403.95618288041288</v>
      </c>
      <c r="CU13" s="204">
        <f t="shared" si="19"/>
        <v>403.95618288041288</v>
      </c>
      <c r="CV13" s="204">
        <f t="shared" si="19"/>
        <v>403.95618288041288</v>
      </c>
      <c r="CW13" s="204">
        <f t="shared" si="19"/>
        <v>403.95618288041288</v>
      </c>
      <c r="CX13" s="204">
        <f t="shared" si="19"/>
        <v>403.95618288041288</v>
      </c>
      <c r="CY13" s="204">
        <f t="shared" si="19"/>
        <v>403.95618288041288</v>
      </c>
      <c r="CZ13" s="204">
        <f t="shared" si="19"/>
        <v>403.95618288041288</v>
      </c>
      <c r="DA13" s="204">
        <f t="shared" si="19"/>
        <v>403.95618288041288</v>
      </c>
      <c r="DB13" s="204"/>
    </row>
    <row r="14" spans="1:106">
      <c r="A14" s="201" t="str">
        <f>Income!A85</f>
        <v>Cash transfer - official</v>
      </c>
      <c r="B14" s="203">
        <f>Income!B85</f>
        <v>23585.858917761736</v>
      </c>
      <c r="C14" s="203">
        <f>Income!C85</f>
        <v>31271.442953672617</v>
      </c>
      <c r="D14" s="203">
        <f>Income!D85</f>
        <v>9343.217663344205</v>
      </c>
      <c r="E14" s="203">
        <f>Income!E85</f>
        <v>11264.238186571814</v>
      </c>
      <c r="F14" s="204">
        <f t="shared" si="10"/>
        <v>23585.858917761736</v>
      </c>
      <c r="G14" s="204">
        <f t="shared" si="10"/>
        <v>23585.858917761736</v>
      </c>
      <c r="H14" s="204">
        <f t="shared" si="10"/>
        <v>23585.858917761736</v>
      </c>
      <c r="I14" s="204">
        <f t="shared" si="10"/>
        <v>23585.858917761736</v>
      </c>
      <c r="J14" s="204">
        <f t="shared" si="10"/>
        <v>23585.858917761736</v>
      </c>
      <c r="K14" s="204">
        <f t="shared" si="10"/>
        <v>23585.858917761736</v>
      </c>
      <c r="L14" s="204">
        <f t="shared" si="10"/>
        <v>23585.858917761736</v>
      </c>
      <c r="M14" s="204">
        <f t="shared" si="10"/>
        <v>23585.858917761736</v>
      </c>
      <c r="N14" s="204">
        <f t="shared" si="10"/>
        <v>23585.858917761736</v>
      </c>
      <c r="O14" s="204">
        <f t="shared" si="10"/>
        <v>23585.858917761736</v>
      </c>
      <c r="P14" s="204">
        <f t="shared" si="11"/>
        <v>23585.858917761736</v>
      </c>
      <c r="Q14" s="204">
        <f t="shared" si="11"/>
        <v>23585.858917761736</v>
      </c>
      <c r="R14" s="204">
        <f t="shared" si="11"/>
        <v>23585.858917761736</v>
      </c>
      <c r="S14" s="204">
        <f t="shared" si="11"/>
        <v>23585.858917761736</v>
      </c>
      <c r="T14" s="204">
        <f t="shared" si="11"/>
        <v>23585.858917761736</v>
      </c>
      <c r="U14" s="204">
        <f t="shared" si="11"/>
        <v>23585.858917761736</v>
      </c>
      <c r="V14" s="204">
        <f t="shared" si="11"/>
        <v>23585.858917761736</v>
      </c>
      <c r="W14" s="204">
        <f t="shared" si="11"/>
        <v>23585.858917761736</v>
      </c>
      <c r="X14" s="204">
        <f t="shared" si="11"/>
        <v>23585.858917761736</v>
      </c>
      <c r="Y14" s="204">
        <f t="shared" si="11"/>
        <v>23585.858917761736</v>
      </c>
      <c r="Z14" s="204">
        <f t="shared" si="12"/>
        <v>23585.858917761736</v>
      </c>
      <c r="AA14" s="204">
        <f t="shared" si="12"/>
        <v>23585.858917761736</v>
      </c>
      <c r="AB14" s="204">
        <f t="shared" si="12"/>
        <v>23585.858917761736</v>
      </c>
      <c r="AC14" s="204">
        <f t="shared" si="12"/>
        <v>23585.858917761736</v>
      </c>
      <c r="AD14" s="204">
        <f t="shared" si="12"/>
        <v>23585.858917761736</v>
      </c>
      <c r="AE14" s="204">
        <f t="shared" si="12"/>
        <v>23585.858917761736</v>
      </c>
      <c r="AF14" s="204">
        <f t="shared" si="12"/>
        <v>23585.858917761736</v>
      </c>
      <c r="AG14" s="204">
        <f t="shared" si="12"/>
        <v>23585.858917761736</v>
      </c>
      <c r="AH14" s="204">
        <f t="shared" si="12"/>
        <v>23585.858917761736</v>
      </c>
      <c r="AI14" s="204">
        <f t="shared" si="12"/>
        <v>23585.858917761736</v>
      </c>
      <c r="AJ14" s="204">
        <f t="shared" si="13"/>
        <v>23585.858917761736</v>
      </c>
      <c r="AK14" s="204">
        <f t="shared" si="13"/>
        <v>23585.858917761736</v>
      </c>
      <c r="AL14" s="204">
        <f t="shared" si="13"/>
        <v>23585.858917761736</v>
      </c>
      <c r="AM14" s="204">
        <f t="shared" si="13"/>
        <v>23585.858917761736</v>
      </c>
      <c r="AN14" s="204">
        <f t="shared" si="13"/>
        <v>23585.858917761736</v>
      </c>
      <c r="AO14" s="204">
        <f t="shared" si="13"/>
        <v>23585.858917761736</v>
      </c>
      <c r="AP14" s="204">
        <f t="shared" si="13"/>
        <v>23585.858917761736</v>
      </c>
      <c r="AQ14" s="204">
        <f t="shared" si="13"/>
        <v>23585.858917761736</v>
      </c>
      <c r="AR14" s="204">
        <f t="shared" si="13"/>
        <v>23585.858917761736</v>
      </c>
      <c r="AS14" s="204">
        <f t="shared" si="13"/>
        <v>31271.442953672617</v>
      </c>
      <c r="AT14" s="204">
        <f t="shared" si="14"/>
        <v>31271.442953672617</v>
      </c>
      <c r="AU14" s="204">
        <f t="shared" si="14"/>
        <v>31271.442953672617</v>
      </c>
      <c r="AV14" s="204">
        <f t="shared" si="14"/>
        <v>31271.442953672617</v>
      </c>
      <c r="AW14" s="204">
        <f t="shared" si="14"/>
        <v>31271.442953672617</v>
      </c>
      <c r="AX14" s="204">
        <f t="shared" si="14"/>
        <v>31271.442953672617</v>
      </c>
      <c r="AY14" s="204">
        <f t="shared" si="14"/>
        <v>31271.442953672617</v>
      </c>
      <c r="AZ14" s="204">
        <f t="shared" si="14"/>
        <v>31271.442953672617</v>
      </c>
      <c r="BA14" s="204">
        <f t="shared" si="14"/>
        <v>31271.442953672617</v>
      </c>
      <c r="BB14" s="204">
        <f t="shared" si="14"/>
        <v>31271.442953672617</v>
      </c>
      <c r="BC14" s="204">
        <f t="shared" si="14"/>
        <v>31271.442953672617</v>
      </c>
      <c r="BD14" s="204">
        <f t="shared" si="15"/>
        <v>31271.442953672617</v>
      </c>
      <c r="BE14" s="204">
        <f t="shared" si="15"/>
        <v>31271.442953672617</v>
      </c>
      <c r="BF14" s="204">
        <f t="shared" si="15"/>
        <v>31271.442953672617</v>
      </c>
      <c r="BG14" s="204">
        <f t="shared" si="15"/>
        <v>31271.442953672617</v>
      </c>
      <c r="BH14" s="204">
        <f t="shared" si="15"/>
        <v>31271.442953672617</v>
      </c>
      <c r="BI14" s="204">
        <f t="shared" si="15"/>
        <v>31271.442953672617</v>
      </c>
      <c r="BJ14" s="204">
        <f t="shared" si="15"/>
        <v>31271.442953672617</v>
      </c>
      <c r="BK14" s="204">
        <f t="shared" si="15"/>
        <v>31271.442953672617</v>
      </c>
      <c r="BL14" s="204">
        <f t="shared" si="15"/>
        <v>31271.442953672617</v>
      </c>
      <c r="BM14" s="204">
        <f t="shared" si="15"/>
        <v>31271.442953672617</v>
      </c>
      <c r="BN14" s="204">
        <f t="shared" si="16"/>
        <v>31271.442953672617</v>
      </c>
      <c r="BO14" s="204">
        <f t="shared" si="16"/>
        <v>31271.442953672617</v>
      </c>
      <c r="BP14" s="204">
        <f t="shared" si="16"/>
        <v>31271.442953672617</v>
      </c>
      <c r="BQ14" s="204">
        <f t="shared" si="16"/>
        <v>31271.442953672617</v>
      </c>
      <c r="BR14" s="204">
        <f t="shared" si="16"/>
        <v>31271.442953672617</v>
      </c>
      <c r="BS14" s="204">
        <f t="shared" si="16"/>
        <v>31271.442953672617</v>
      </c>
      <c r="BT14" s="204">
        <f t="shared" si="16"/>
        <v>31271.442953672617</v>
      </c>
      <c r="BU14" s="204">
        <f t="shared" si="16"/>
        <v>31271.442953672617</v>
      </c>
      <c r="BV14" s="204">
        <f t="shared" si="16"/>
        <v>31271.442953672617</v>
      </c>
      <c r="BW14" s="204">
        <f t="shared" si="16"/>
        <v>31271.442953672617</v>
      </c>
      <c r="BX14" s="204">
        <f t="shared" si="17"/>
        <v>31271.442953672617</v>
      </c>
      <c r="BY14" s="204">
        <f t="shared" si="17"/>
        <v>31271.442953672617</v>
      </c>
      <c r="BZ14" s="204">
        <f t="shared" si="17"/>
        <v>31271.442953672617</v>
      </c>
      <c r="CA14" s="204">
        <f t="shared" si="17"/>
        <v>9343.217663344205</v>
      </c>
      <c r="CB14" s="204">
        <f t="shared" si="17"/>
        <v>9343.217663344205</v>
      </c>
      <c r="CC14" s="204">
        <f t="shared" si="17"/>
        <v>9343.217663344205</v>
      </c>
      <c r="CD14" s="204">
        <f t="shared" si="17"/>
        <v>9343.217663344205</v>
      </c>
      <c r="CE14" s="204">
        <f t="shared" si="17"/>
        <v>9343.217663344205</v>
      </c>
      <c r="CF14" s="204">
        <f t="shared" si="17"/>
        <v>9343.217663344205</v>
      </c>
      <c r="CG14" s="204">
        <f t="shared" si="17"/>
        <v>9343.217663344205</v>
      </c>
      <c r="CH14" s="204">
        <f t="shared" si="18"/>
        <v>9343.217663344205</v>
      </c>
      <c r="CI14" s="204">
        <f t="shared" si="18"/>
        <v>9343.217663344205</v>
      </c>
      <c r="CJ14" s="204">
        <f t="shared" si="18"/>
        <v>9343.217663344205</v>
      </c>
      <c r="CK14" s="204">
        <f t="shared" si="18"/>
        <v>9343.217663344205</v>
      </c>
      <c r="CL14" s="204">
        <f t="shared" si="18"/>
        <v>9343.217663344205</v>
      </c>
      <c r="CM14" s="204">
        <f t="shared" si="18"/>
        <v>9343.217663344205</v>
      </c>
      <c r="CN14" s="204">
        <f t="shared" si="18"/>
        <v>9343.217663344205</v>
      </c>
      <c r="CO14" s="204">
        <f t="shared" si="18"/>
        <v>9343.217663344205</v>
      </c>
      <c r="CP14" s="204">
        <f t="shared" si="18"/>
        <v>9343.217663344205</v>
      </c>
      <c r="CQ14" s="204">
        <f t="shared" si="18"/>
        <v>11264.238186571814</v>
      </c>
      <c r="CR14" s="204">
        <f t="shared" si="19"/>
        <v>11264.238186571814</v>
      </c>
      <c r="CS14" s="204">
        <f t="shared" si="19"/>
        <v>11264.238186571814</v>
      </c>
      <c r="CT14" s="204">
        <f t="shared" si="19"/>
        <v>11264.238186571814</v>
      </c>
      <c r="CU14" s="204">
        <f t="shared" si="19"/>
        <v>11264.238186571814</v>
      </c>
      <c r="CV14" s="204">
        <f t="shared" si="19"/>
        <v>11264.238186571814</v>
      </c>
      <c r="CW14" s="204">
        <f t="shared" si="19"/>
        <v>11264.238186571814</v>
      </c>
      <c r="CX14" s="204">
        <f t="shared" si="19"/>
        <v>11264.238186571814</v>
      </c>
      <c r="CY14" s="204">
        <f t="shared" si="19"/>
        <v>11264.238186571814</v>
      </c>
      <c r="CZ14" s="204">
        <f t="shared" si="19"/>
        <v>11264.238186571814</v>
      </c>
      <c r="DA14" s="204">
        <f t="shared" si="19"/>
        <v>11264.238186571814</v>
      </c>
      <c r="DB14" s="204"/>
    </row>
    <row r="15" spans="1:106">
      <c r="A15" s="201" t="str">
        <f>Income!A86</f>
        <v>Cash transfer - gifts</v>
      </c>
      <c r="B15" s="203">
        <f>Income!B86</f>
        <v>0</v>
      </c>
      <c r="C15" s="203">
        <f>Income!C86</f>
        <v>348.63627017420481</v>
      </c>
      <c r="D15" s="203">
        <f>Income!D86</f>
        <v>6257.8745637991742</v>
      </c>
      <c r="E15" s="203">
        <f>Income!E86</f>
        <v>22950.357953165047</v>
      </c>
      <c r="F15" s="204">
        <f t="shared" si="10"/>
        <v>0</v>
      </c>
      <c r="G15" s="204">
        <f t="shared" si="10"/>
        <v>0</v>
      </c>
      <c r="H15" s="204">
        <f t="shared" si="10"/>
        <v>0</v>
      </c>
      <c r="I15" s="204">
        <f t="shared" si="10"/>
        <v>0</v>
      </c>
      <c r="J15" s="204">
        <f t="shared" si="10"/>
        <v>0</v>
      </c>
      <c r="K15" s="204">
        <f t="shared" si="10"/>
        <v>0</v>
      </c>
      <c r="L15" s="204">
        <f t="shared" si="10"/>
        <v>0</v>
      </c>
      <c r="M15" s="204">
        <f t="shared" si="10"/>
        <v>0</v>
      </c>
      <c r="N15" s="204">
        <f t="shared" si="10"/>
        <v>0</v>
      </c>
      <c r="O15" s="204">
        <f t="shared" si="10"/>
        <v>0</v>
      </c>
      <c r="P15" s="204">
        <f t="shared" si="11"/>
        <v>0</v>
      </c>
      <c r="Q15" s="204">
        <f t="shared" si="11"/>
        <v>0</v>
      </c>
      <c r="R15" s="204">
        <f t="shared" si="11"/>
        <v>0</v>
      </c>
      <c r="S15" s="204">
        <f t="shared" si="11"/>
        <v>0</v>
      </c>
      <c r="T15" s="204">
        <f t="shared" si="11"/>
        <v>0</v>
      </c>
      <c r="U15" s="204">
        <f t="shared" si="11"/>
        <v>0</v>
      </c>
      <c r="V15" s="204">
        <f t="shared" si="11"/>
        <v>0</v>
      </c>
      <c r="W15" s="204">
        <f t="shared" si="11"/>
        <v>0</v>
      </c>
      <c r="X15" s="204">
        <f t="shared" si="11"/>
        <v>0</v>
      </c>
      <c r="Y15" s="204">
        <f t="shared" si="11"/>
        <v>0</v>
      </c>
      <c r="Z15" s="204">
        <f t="shared" si="12"/>
        <v>0</v>
      </c>
      <c r="AA15" s="204">
        <f t="shared" si="12"/>
        <v>0</v>
      </c>
      <c r="AB15" s="204">
        <f t="shared" si="12"/>
        <v>0</v>
      </c>
      <c r="AC15" s="204">
        <f t="shared" si="12"/>
        <v>0</v>
      </c>
      <c r="AD15" s="204">
        <f t="shared" si="12"/>
        <v>0</v>
      </c>
      <c r="AE15" s="204">
        <f t="shared" si="12"/>
        <v>0</v>
      </c>
      <c r="AF15" s="204">
        <f t="shared" si="12"/>
        <v>0</v>
      </c>
      <c r="AG15" s="204">
        <f t="shared" si="12"/>
        <v>0</v>
      </c>
      <c r="AH15" s="204">
        <f t="shared" si="12"/>
        <v>0</v>
      </c>
      <c r="AI15" s="204">
        <f t="shared" si="12"/>
        <v>0</v>
      </c>
      <c r="AJ15" s="204">
        <f t="shared" si="13"/>
        <v>0</v>
      </c>
      <c r="AK15" s="204">
        <f t="shared" si="13"/>
        <v>0</v>
      </c>
      <c r="AL15" s="204">
        <f t="shared" si="13"/>
        <v>0</v>
      </c>
      <c r="AM15" s="204">
        <f t="shared" si="13"/>
        <v>0</v>
      </c>
      <c r="AN15" s="204">
        <f t="shared" si="13"/>
        <v>0</v>
      </c>
      <c r="AO15" s="204">
        <f t="shared" si="13"/>
        <v>0</v>
      </c>
      <c r="AP15" s="204">
        <f t="shared" si="13"/>
        <v>0</v>
      </c>
      <c r="AQ15" s="204">
        <f t="shared" si="13"/>
        <v>0</v>
      </c>
      <c r="AR15" s="204">
        <f t="shared" si="13"/>
        <v>0</v>
      </c>
      <c r="AS15" s="204">
        <f t="shared" si="13"/>
        <v>348.63627017420481</v>
      </c>
      <c r="AT15" s="204">
        <f t="shared" si="14"/>
        <v>348.63627017420481</v>
      </c>
      <c r="AU15" s="204">
        <f t="shared" si="14"/>
        <v>348.63627017420481</v>
      </c>
      <c r="AV15" s="204">
        <f t="shared" si="14"/>
        <v>348.63627017420481</v>
      </c>
      <c r="AW15" s="204">
        <f t="shared" si="14"/>
        <v>348.63627017420481</v>
      </c>
      <c r="AX15" s="204">
        <f t="shared" si="14"/>
        <v>348.63627017420481</v>
      </c>
      <c r="AY15" s="204">
        <f t="shared" si="14"/>
        <v>348.63627017420481</v>
      </c>
      <c r="AZ15" s="204">
        <f t="shared" si="14"/>
        <v>348.63627017420481</v>
      </c>
      <c r="BA15" s="204">
        <f t="shared" si="14"/>
        <v>348.63627017420481</v>
      </c>
      <c r="BB15" s="204">
        <f t="shared" si="14"/>
        <v>348.63627017420481</v>
      </c>
      <c r="BC15" s="204">
        <f t="shared" si="14"/>
        <v>348.63627017420481</v>
      </c>
      <c r="BD15" s="204">
        <f t="shared" si="15"/>
        <v>348.63627017420481</v>
      </c>
      <c r="BE15" s="204">
        <f t="shared" si="15"/>
        <v>348.63627017420481</v>
      </c>
      <c r="BF15" s="204">
        <f t="shared" si="15"/>
        <v>348.63627017420481</v>
      </c>
      <c r="BG15" s="204">
        <f t="shared" si="15"/>
        <v>348.63627017420481</v>
      </c>
      <c r="BH15" s="204">
        <f t="shared" si="15"/>
        <v>348.63627017420481</v>
      </c>
      <c r="BI15" s="204">
        <f t="shared" si="15"/>
        <v>348.63627017420481</v>
      </c>
      <c r="BJ15" s="204">
        <f t="shared" si="15"/>
        <v>348.63627017420481</v>
      </c>
      <c r="BK15" s="204">
        <f t="shared" si="15"/>
        <v>348.63627017420481</v>
      </c>
      <c r="BL15" s="204">
        <f t="shared" si="15"/>
        <v>348.63627017420481</v>
      </c>
      <c r="BM15" s="204">
        <f t="shared" si="15"/>
        <v>348.63627017420481</v>
      </c>
      <c r="BN15" s="204">
        <f t="shared" si="16"/>
        <v>348.63627017420481</v>
      </c>
      <c r="BO15" s="204">
        <f t="shared" si="16"/>
        <v>348.63627017420481</v>
      </c>
      <c r="BP15" s="204">
        <f t="shared" si="16"/>
        <v>348.63627017420481</v>
      </c>
      <c r="BQ15" s="204">
        <f t="shared" si="16"/>
        <v>348.63627017420481</v>
      </c>
      <c r="BR15" s="204">
        <f t="shared" si="16"/>
        <v>348.63627017420481</v>
      </c>
      <c r="BS15" s="204">
        <f t="shared" si="16"/>
        <v>348.63627017420481</v>
      </c>
      <c r="BT15" s="204">
        <f t="shared" si="16"/>
        <v>348.63627017420481</v>
      </c>
      <c r="BU15" s="204">
        <f t="shared" si="16"/>
        <v>348.63627017420481</v>
      </c>
      <c r="BV15" s="204">
        <f t="shared" si="16"/>
        <v>348.63627017420481</v>
      </c>
      <c r="BW15" s="204">
        <f t="shared" si="16"/>
        <v>348.63627017420481</v>
      </c>
      <c r="BX15" s="204">
        <f t="shared" si="17"/>
        <v>348.63627017420481</v>
      </c>
      <c r="BY15" s="204">
        <f t="shared" si="17"/>
        <v>348.63627017420481</v>
      </c>
      <c r="BZ15" s="204">
        <f t="shared" si="17"/>
        <v>348.63627017420481</v>
      </c>
      <c r="CA15" s="204">
        <f t="shared" si="17"/>
        <v>6257.8745637991742</v>
      </c>
      <c r="CB15" s="204">
        <f t="shared" si="17"/>
        <v>6257.8745637991742</v>
      </c>
      <c r="CC15" s="204">
        <f t="shared" si="17"/>
        <v>6257.8745637991742</v>
      </c>
      <c r="CD15" s="204">
        <f t="shared" si="17"/>
        <v>6257.8745637991742</v>
      </c>
      <c r="CE15" s="204">
        <f t="shared" si="17"/>
        <v>6257.8745637991742</v>
      </c>
      <c r="CF15" s="204">
        <f t="shared" si="17"/>
        <v>6257.8745637991742</v>
      </c>
      <c r="CG15" s="204">
        <f t="shared" si="17"/>
        <v>6257.8745637991742</v>
      </c>
      <c r="CH15" s="204">
        <f t="shared" si="18"/>
        <v>6257.8745637991742</v>
      </c>
      <c r="CI15" s="204">
        <f t="shared" si="18"/>
        <v>6257.8745637991742</v>
      </c>
      <c r="CJ15" s="204">
        <f t="shared" si="18"/>
        <v>6257.8745637991742</v>
      </c>
      <c r="CK15" s="204">
        <f t="shared" si="18"/>
        <v>6257.8745637991742</v>
      </c>
      <c r="CL15" s="204">
        <f t="shared" si="18"/>
        <v>6257.8745637991742</v>
      </c>
      <c r="CM15" s="204">
        <f t="shared" si="18"/>
        <v>6257.8745637991742</v>
      </c>
      <c r="CN15" s="204">
        <f t="shared" si="18"/>
        <v>6257.8745637991742</v>
      </c>
      <c r="CO15" s="204">
        <f t="shared" si="18"/>
        <v>6257.8745637991742</v>
      </c>
      <c r="CP15" s="204">
        <f t="shared" si="18"/>
        <v>6257.8745637991742</v>
      </c>
      <c r="CQ15" s="204">
        <f t="shared" si="18"/>
        <v>22950.357953165047</v>
      </c>
      <c r="CR15" s="204">
        <f t="shared" si="19"/>
        <v>22950.357953165047</v>
      </c>
      <c r="CS15" s="204">
        <f t="shared" si="19"/>
        <v>22950.357953165047</v>
      </c>
      <c r="CT15" s="204">
        <f t="shared" si="19"/>
        <v>22950.357953165047</v>
      </c>
      <c r="CU15" s="204">
        <f t="shared" si="19"/>
        <v>22950.357953165047</v>
      </c>
      <c r="CV15" s="204">
        <f t="shared" si="19"/>
        <v>22950.357953165047</v>
      </c>
      <c r="CW15" s="204">
        <f t="shared" si="19"/>
        <v>22950.357953165047</v>
      </c>
      <c r="CX15" s="204">
        <f t="shared" si="19"/>
        <v>22950.357953165047</v>
      </c>
      <c r="CY15" s="204">
        <f t="shared" si="19"/>
        <v>22950.357953165047</v>
      </c>
      <c r="CZ15" s="204">
        <f t="shared" si="19"/>
        <v>22950.357953165047</v>
      </c>
      <c r="DA15" s="204">
        <f t="shared" si="19"/>
        <v>22950.357953165047</v>
      </c>
      <c r="DB15" s="204"/>
    </row>
    <row r="16" spans="1:106">
      <c r="A16" s="201" t="s">
        <v>115</v>
      </c>
      <c r="B16" s="203">
        <f>Income!B88</f>
        <v>43351.162705051131</v>
      </c>
      <c r="C16" s="203">
        <f>Income!C88</f>
        <v>63955.803032966454</v>
      </c>
      <c r="D16" s="203">
        <f>Income!D88</f>
        <v>144466.25089200071</v>
      </c>
      <c r="E16" s="203">
        <f>Income!E88</f>
        <v>307447.94455908786</v>
      </c>
      <c r="F16" s="204">
        <f t="shared" si="10"/>
        <v>43351.162705051131</v>
      </c>
      <c r="G16" s="204">
        <f t="shared" si="10"/>
        <v>43351.162705051131</v>
      </c>
      <c r="H16" s="204">
        <f t="shared" si="10"/>
        <v>43351.162705051131</v>
      </c>
      <c r="I16" s="204">
        <f t="shared" si="10"/>
        <v>43351.162705051131</v>
      </c>
      <c r="J16" s="204">
        <f t="shared" si="10"/>
        <v>43351.162705051131</v>
      </c>
      <c r="K16" s="204">
        <f t="shared" si="10"/>
        <v>43351.162705051131</v>
      </c>
      <c r="L16" s="204">
        <f t="shared" si="10"/>
        <v>43351.162705051131</v>
      </c>
      <c r="M16" s="204">
        <f t="shared" si="10"/>
        <v>43351.162705051131</v>
      </c>
      <c r="N16" s="204">
        <f t="shared" si="10"/>
        <v>43351.162705051131</v>
      </c>
      <c r="O16" s="204">
        <f t="shared" si="10"/>
        <v>43351.162705051131</v>
      </c>
      <c r="P16" s="204">
        <f t="shared" si="11"/>
        <v>43351.162705051131</v>
      </c>
      <c r="Q16" s="204">
        <f t="shared" si="11"/>
        <v>43351.162705051131</v>
      </c>
      <c r="R16" s="204">
        <f t="shared" si="11"/>
        <v>43351.162705051131</v>
      </c>
      <c r="S16" s="204">
        <f t="shared" si="11"/>
        <v>43351.162705051131</v>
      </c>
      <c r="T16" s="204">
        <f t="shared" si="11"/>
        <v>43351.162705051131</v>
      </c>
      <c r="U16" s="204">
        <f t="shared" si="11"/>
        <v>43351.162705051131</v>
      </c>
      <c r="V16" s="204">
        <f t="shared" si="11"/>
        <v>43351.162705051131</v>
      </c>
      <c r="W16" s="204">
        <f t="shared" si="11"/>
        <v>43351.162705051131</v>
      </c>
      <c r="X16" s="204">
        <f t="shared" si="11"/>
        <v>43351.162705051131</v>
      </c>
      <c r="Y16" s="204">
        <f t="shared" si="11"/>
        <v>43351.162705051131</v>
      </c>
      <c r="Z16" s="204">
        <f t="shared" si="12"/>
        <v>43351.162705051131</v>
      </c>
      <c r="AA16" s="204">
        <f t="shared" si="12"/>
        <v>43351.162705051131</v>
      </c>
      <c r="AB16" s="204">
        <f t="shared" si="12"/>
        <v>43351.162705051131</v>
      </c>
      <c r="AC16" s="204">
        <f t="shared" si="12"/>
        <v>43351.162705051131</v>
      </c>
      <c r="AD16" s="204">
        <f t="shared" si="12"/>
        <v>43351.162705051131</v>
      </c>
      <c r="AE16" s="204">
        <f t="shared" si="12"/>
        <v>43351.162705051131</v>
      </c>
      <c r="AF16" s="204">
        <f t="shared" si="12"/>
        <v>43351.162705051131</v>
      </c>
      <c r="AG16" s="204">
        <f t="shared" si="12"/>
        <v>43351.162705051131</v>
      </c>
      <c r="AH16" s="204">
        <f t="shared" si="12"/>
        <v>43351.162705051131</v>
      </c>
      <c r="AI16" s="204">
        <f t="shared" si="12"/>
        <v>43351.162705051131</v>
      </c>
      <c r="AJ16" s="204">
        <f t="shared" si="13"/>
        <v>43351.162705051131</v>
      </c>
      <c r="AK16" s="204">
        <f t="shared" si="13"/>
        <v>43351.162705051131</v>
      </c>
      <c r="AL16" s="204">
        <f t="shared" si="13"/>
        <v>43351.162705051131</v>
      </c>
      <c r="AM16" s="204">
        <f t="shared" si="13"/>
        <v>43351.162705051131</v>
      </c>
      <c r="AN16" s="204">
        <f t="shared" si="13"/>
        <v>43351.162705051131</v>
      </c>
      <c r="AO16" s="204">
        <f t="shared" si="13"/>
        <v>43351.162705051131</v>
      </c>
      <c r="AP16" s="204">
        <f t="shared" si="13"/>
        <v>43351.162705051131</v>
      </c>
      <c r="AQ16" s="204">
        <f t="shared" si="13"/>
        <v>43351.162705051131</v>
      </c>
      <c r="AR16" s="204">
        <f t="shared" si="13"/>
        <v>43351.162705051131</v>
      </c>
      <c r="AS16" s="204">
        <f t="shared" si="13"/>
        <v>63955.803032966454</v>
      </c>
      <c r="AT16" s="204">
        <f t="shared" si="14"/>
        <v>63955.803032966454</v>
      </c>
      <c r="AU16" s="204">
        <f t="shared" si="14"/>
        <v>63955.803032966454</v>
      </c>
      <c r="AV16" s="204">
        <f t="shared" si="14"/>
        <v>63955.803032966454</v>
      </c>
      <c r="AW16" s="204">
        <f t="shared" si="14"/>
        <v>63955.803032966454</v>
      </c>
      <c r="AX16" s="204">
        <f t="shared" si="14"/>
        <v>63955.803032966454</v>
      </c>
      <c r="AY16" s="204">
        <f t="shared" si="14"/>
        <v>63955.803032966454</v>
      </c>
      <c r="AZ16" s="204">
        <f t="shared" si="14"/>
        <v>63955.803032966454</v>
      </c>
      <c r="BA16" s="204">
        <f t="shared" si="14"/>
        <v>63955.803032966454</v>
      </c>
      <c r="BB16" s="204">
        <f t="shared" si="14"/>
        <v>63955.803032966454</v>
      </c>
      <c r="BC16" s="204">
        <f t="shared" si="14"/>
        <v>63955.803032966454</v>
      </c>
      <c r="BD16" s="204">
        <f t="shared" si="15"/>
        <v>63955.803032966454</v>
      </c>
      <c r="BE16" s="204">
        <f t="shared" si="15"/>
        <v>63955.803032966454</v>
      </c>
      <c r="BF16" s="204">
        <f t="shared" si="15"/>
        <v>63955.803032966454</v>
      </c>
      <c r="BG16" s="204">
        <f t="shared" si="15"/>
        <v>63955.803032966454</v>
      </c>
      <c r="BH16" s="204">
        <f t="shared" si="15"/>
        <v>63955.803032966454</v>
      </c>
      <c r="BI16" s="204">
        <f t="shared" si="15"/>
        <v>63955.803032966454</v>
      </c>
      <c r="BJ16" s="204">
        <f t="shared" si="15"/>
        <v>63955.803032966454</v>
      </c>
      <c r="BK16" s="204">
        <f t="shared" si="15"/>
        <v>63955.803032966454</v>
      </c>
      <c r="BL16" s="204">
        <f t="shared" si="15"/>
        <v>63955.803032966454</v>
      </c>
      <c r="BM16" s="204">
        <f t="shared" si="15"/>
        <v>63955.803032966454</v>
      </c>
      <c r="BN16" s="204">
        <f t="shared" si="16"/>
        <v>63955.803032966454</v>
      </c>
      <c r="BO16" s="204">
        <f t="shared" si="16"/>
        <v>63955.803032966454</v>
      </c>
      <c r="BP16" s="204">
        <f t="shared" si="16"/>
        <v>63955.803032966454</v>
      </c>
      <c r="BQ16" s="204">
        <f t="shared" si="16"/>
        <v>63955.803032966454</v>
      </c>
      <c r="BR16" s="204">
        <f t="shared" si="16"/>
        <v>63955.803032966454</v>
      </c>
      <c r="BS16" s="204">
        <f t="shared" si="16"/>
        <v>63955.803032966454</v>
      </c>
      <c r="BT16" s="204">
        <f t="shared" si="16"/>
        <v>63955.803032966454</v>
      </c>
      <c r="BU16" s="204">
        <f t="shared" si="16"/>
        <v>63955.803032966454</v>
      </c>
      <c r="BV16" s="204">
        <f t="shared" si="16"/>
        <v>63955.803032966454</v>
      </c>
      <c r="BW16" s="204">
        <f t="shared" si="16"/>
        <v>63955.803032966454</v>
      </c>
      <c r="BX16" s="204">
        <f t="shared" si="17"/>
        <v>63955.803032966454</v>
      </c>
      <c r="BY16" s="204">
        <f t="shared" si="17"/>
        <v>63955.803032966454</v>
      </c>
      <c r="BZ16" s="204">
        <f t="shared" si="17"/>
        <v>63955.803032966454</v>
      </c>
      <c r="CA16" s="204">
        <f t="shared" si="17"/>
        <v>144466.25089200071</v>
      </c>
      <c r="CB16" s="204">
        <f t="shared" si="17"/>
        <v>144466.25089200071</v>
      </c>
      <c r="CC16" s="204">
        <f t="shared" si="17"/>
        <v>144466.25089200071</v>
      </c>
      <c r="CD16" s="204">
        <f t="shared" si="17"/>
        <v>144466.25089200071</v>
      </c>
      <c r="CE16" s="204">
        <f t="shared" si="17"/>
        <v>144466.25089200071</v>
      </c>
      <c r="CF16" s="204">
        <f t="shared" si="17"/>
        <v>144466.25089200071</v>
      </c>
      <c r="CG16" s="204">
        <f t="shared" si="17"/>
        <v>144466.25089200071</v>
      </c>
      <c r="CH16" s="204">
        <f t="shared" si="18"/>
        <v>144466.25089200071</v>
      </c>
      <c r="CI16" s="204">
        <f t="shared" si="18"/>
        <v>144466.25089200071</v>
      </c>
      <c r="CJ16" s="204">
        <f t="shared" si="18"/>
        <v>144466.25089200071</v>
      </c>
      <c r="CK16" s="204">
        <f t="shared" si="18"/>
        <v>144466.25089200071</v>
      </c>
      <c r="CL16" s="204">
        <f t="shared" si="18"/>
        <v>144466.25089200071</v>
      </c>
      <c r="CM16" s="204">
        <f t="shared" si="18"/>
        <v>144466.25089200071</v>
      </c>
      <c r="CN16" s="204">
        <f t="shared" si="18"/>
        <v>144466.25089200071</v>
      </c>
      <c r="CO16" s="204">
        <f t="shared" si="18"/>
        <v>144466.25089200071</v>
      </c>
      <c r="CP16" s="204">
        <f t="shared" si="18"/>
        <v>144466.25089200071</v>
      </c>
      <c r="CQ16" s="204">
        <f t="shared" si="18"/>
        <v>307447.94455908786</v>
      </c>
      <c r="CR16" s="204">
        <f t="shared" si="19"/>
        <v>307447.94455908786</v>
      </c>
      <c r="CS16" s="204">
        <f t="shared" si="19"/>
        <v>307447.94455908786</v>
      </c>
      <c r="CT16" s="204">
        <f t="shared" si="19"/>
        <v>307447.94455908786</v>
      </c>
      <c r="CU16" s="204">
        <f t="shared" si="19"/>
        <v>307447.94455908786</v>
      </c>
      <c r="CV16" s="204">
        <f t="shared" si="19"/>
        <v>307447.94455908786</v>
      </c>
      <c r="CW16" s="204">
        <f t="shared" si="19"/>
        <v>307447.94455908786</v>
      </c>
      <c r="CX16" s="204">
        <f t="shared" si="19"/>
        <v>307447.94455908786</v>
      </c>
      <c r="CY16" s="204">
        <f t="shared" si="19"/>
        <v>307447.94455908786</v>
      </c>
      <c r="CZ16" s="204">
        <f t="shared" si="19"/>
        <v>307447.94455908786</v>
      </c>
      <c r="DA16" s="204">
        <f t="shared" si="19"/>
        <v>307447.94455908786</v>
      </c>
      <c r="DB16" s="204"/>
    </row>
    <row r="17" spans="1:105">
      <c r="A17" s="201" t="s">
        <v>101</v>
      </c>
      <c r="B17" s="203">
        <f>Income!B89</f>
        <v>31035.992491963734</v>
      </c>
      <c r="C17" s="203">
        <f>Income!C89</f>
        <v>31035.992491963734</v>
      </c>
      <c r="D17" s="203">
        <f>Income!D89</f>
        <v>31035.99249196376</v>
      </c>
      <c r="E17" s="203">
        <f>Income!E89</f>
        <v>31035.227765379786</v>
      </c>
      <c r="F17" s="204">
        <f t="shared" si="10"/>
        <v>31035.992491963734</v>
      </c>
      <c r="G17" s="204">
        <f t="shared" si="10"/>
        <v>31035.992491963734</v>
      </c>
      <c r="H17" s="204">
        <f t="shared" si="10"/>
        <v>31035.992491963734</v>
      </c>
      <c r="I17" s="204">
        <f t="shared" si="10"/>
        <v>31035.992491963734</v>
      </c>
      <c r="J17" s="204">
        <f t="shared" si="10"/>
        <v>31035.992491963734</v>
      </c>
      <c r="K17" s="204">
        <f t="shared" si="10"/>
        <v>31035.992491963734</v>
      </c>
      <c r="L17" s="204">
        <f t="shared" si="10"/>
        <v>31035.992491963734</v>
      </c>
      <c r="M17" s="204">
        <f t="shared" si="10"/>
        <v>31035.992491963734</v>
      </c>
      <c r="N17" s="204">
        <f t="shared" si="10"/>
        <v>31035.992491963734</v>
      </c>
      <c r="O17" s="204">
        <f t="shared" si="10"/>
        <v>31035.992491963734</v>
      </c>
      <c r="P17" s="204">
        <f t="shared" si="11"/>
        <v>31035.992491963734</v>
      </c>
      <c r="Q17" s="204">
        <f t="shared" si="11"/>
        <v>31035.992491963734</v>
      </c>
      <c r="R17" s="204">
        <f t="shared" si="11"/>
        <v>31035.992491963734</v>
      </c>
      <c r="S17" s="204">
        <f t="shared" si="11"/>
        <v>31035.992491963734</v>
      </c>
      <c r="T17" s="204">
        <f t="shared" si="11"/>
        <v>31035.992491963734</v>
      </c>
      <c r="U17" s="204">
        <f t="shared" si="11"/>
        <v>31035.992491963734</v>
      </c>
      <c r="V17" s="204">
        <f t="shared" si="11"/>
        <v>31035.992491963734</v>
      </c>
      <c r="W17" s="204">
        <f t="shared" si="11"/>
        <v>31035.992491963734</v>
      </c>
      <c r="X17" s="204">
        <f t="shared" si="11"/>
        <v>31035.992491963734</v>
      </c>
      <c r="Y17" s="204">
        <f t="shared" si="11"/>
        <v>31035.992491963734</v>
      </c>
      <c r="Z17" s="204">
        <f t="shared" si="12"/>
        <v>31035.992491963734</v>
      </c>
      <c r="AA17" s="204">
        <f t="shared" si="12"/>
        <v>31035.992491963734</v>
      </c>
      <c r="AB17" s="204">
        <f t="shared" si="12"/>
        <v>31035.992491963734</v>
      </c>
      <c r="AC17" s="204">
        <f t="shared" si="12"/>
        <v>31035.992491963734</v>
      </c>
      <c r="AD17" s="204">
        <f t="shared" si="12"/>
        <v>31035.992491963734</v>
      </c>
      <c r="AE17" s="204">
        <f t="shared" si="12"/>
        <v>31035.992491963734</v>
      </c>
      <c r="AF17" s="204">
        <f t="shared" si="12"/>
        <v>31035.992491963734</v>
      </c>
      <c r="AG17" s="204">
        <f t="shared" si="12"/>
        <v>31035.992491963734</v>
      </c>
      <c r="AH17" s="204">
        <f t="shared" si="12"/>
        <v>31035.992491963734</v>
      </c>
      <c r="AI17" s="204">
        <f t="shared" si="12"/>
        <v>31035.992491963734</v>
      </c>
      <c r="AJ17" s="204">
        <f t="shared" si="13"/>
        <v>31035.992491963734</v>
      </c>
      <c r="AK17" s="204">
        <f t="shared" si="13"/>
        <v>31035.992491963734</v>
      </c>
      <c r="AL17" s="204">
        <f t="shared" si="13"/>
        <v>31035.992491963734</v>
      </c>
      <c r="AM17" s="204">
        <f t="shared" si="13"/>
        <v>31035.992491963734</v>
      </c>
      <c r="AN17" s="204">
        <f t="shared" si="13"/>
        <v>31035.992491963734</v>
      </c>
      <c r="AO17" s="204">
        <f t="shared" si="13"/>
        <v>31035.992491963734</v>
      </c>
      <c r="AP17" s="204">
        <f t="shared" si="13"/>
        <v>31035.992491963734</v>
      </c>
      <c r="AQ17" s="204">
        <f t="shared" si="13"/>
        <v>31035.992491963734</v>
      </c>
      <c r="AR17" s="204">
        <f t="shared" si="13"/>
        <v>31035.992491963734</v>
      </c>
      <c r="AS17" s="204">
        <f t="shared" si="13"/>
        <v>31035.992491963734</v>
      </c>
      <c r="AT17" s="204">
        <f t="shared" si="14"/>
        <v>31035.992491963734</v>
      </c>
      <c r="AU17" s="204">
        <f t="shared" si="14"/>
        <v>31035.992491963734</v>
      </c>
      <c r="AV17" s="204">
        <f t="shared" si="14"/>
        <v>31035.992491963734</v>
      </c>
      <c r="AW17" s="204">
        <f t="shared" si="14"/>
        <v>31035.992491963734</v>
      </c>
      <c r="AX17" s="204">
        <f t="shared" si="14"/>
        <v>31035.992491963734</v>
      </c>
      <c r="AY17" s="204">
        <f t="shared" si="14"/>
        <v>31035.992491963734</v>
      </c>
      <c r="AZ17" s="204">
        <f t="shared" si="14"/>
        <v>31035.992491963734</v>
      </c>
      <c r="BA17" s="204">
        <f t="shared" si="14"/>
        <v>31035.992491963734</v>
      </c>
      <c r="BB17" s="204">
        <f t="shared" si="14"/>
        <v>31035.992491963734</v>
      </c>
      <c r="BC17" s="204">
        <f t="shared" si="14"/>
        <v>31035.992491963734</v>
      </c>
      <c r="BD17" s="204">
        <f t="shared" si="15"/>
        <v>31035.992491963734</v>
      </c>
      <c r="BE17" s="204">
        <f t="shared" si="15"/>
        <v>31035.992491963734</v>
      </c>
      <c r="BF17" s="204">
        <f t="shared" si="15"/>
        <v>31035.992491963734</v>
      </c>
      <c r="BG17" s="204">
        <f t="shared" si="15"/>
        <v>31035.992491963734</v>
      </c>
      <c r="BH17" s="204">
        <f t="shared" si="15"/>
        <v>31035.992491963734</v>
      </c>
      <c r="BI17" s="204">
        <f t="shared" si="15"/>
        <v>31035.992491963734</v>
      </c>
      <c r="BJ17" s="204">
        <f t="shared" si="15"/>
        <v>31035.992491963734</v>
      </c>
      <c r="BK17" s="204">
        <f t="shared" si="15"/>
        <v>31035.992491963734</v>
      </c>
      <c r="BL17" s="204">
        <f t="shared" si="15"/>
        <v>31035.992491963734</v>
      </c>
      <c r="BM17" s="204">
        <f t="shared" si="15"/>
        <v>31035.992491963734</v>
      </c>
      <c r="BN17" s="204">
        <f t="shared" si="16"/>
        <v>31035.992491963734</v>
      </c>
      <c r="BO17" s="204">
        <f t="shared" si="16"/>
        <v>31035.992491963734</v>
      </c>
      <c r="BP17" s="204">
        <f t="shared" si="16"/>
        <v>31035.992491963734</v>
      </c>
      <c r="BQ17" s="204">
        <f t="shared" si="16"/>
        <v>31035.992491963734</v>
      </c>
      <c r="BR17" s="204">
        <f t="shared" si="16"/>
        <v>31035.992491963734</v>
      </c>
      <c r="BS17" s="204">
        <f t="shared" si="16"/>
        <v>31035.992491963734</v>
      </c>
      <c r="BT17" s="204">
        <f t="shared" si="16"/>
        <v>31035.992491963734</v>
      </c>
      <c r="BU17" s="204">
        <f t="shared" si="16"/>
        <v>31035.992491963734</v>
      </c>
      <c r="BV17" s="204">
        <f t="shared" si="16"/>
        <v>31035.992491963734</v>
      </c>
      <c r="BW17" s="204">
        <f t="shared" si="16"/>
        <v>31035.992491963734</v>
      </c>
      <c r="BX17" s="204">
        <f t="shared" si="17"/>
        <v>31035.992491963734</v>
      </c>
      <c r="BY17" s="204">
        <f t="shared" si="17"/>
        <v>31035.992491963734</v>
      </c>
      <c r="BZ17" s="204">
        <f t="shared" si="17"/>
        <v>31035.992491963734</v>
      </c>
      <c r="CA17" s="204">
        <f t="shared" si="17"/>
        <v>31035.99249196376</v>
      </c>
      <c r="CB17" s="204">
        <f t="shared" si="17"/>
        <v>31035.99249196376</v>
      </c>
      <c r="CC17" s="204">
        <f t="shared" si="17"/>
        <v>31035.99249196376</v>
      </c>
      <c r="CD17" s="204">
        <f t="shared" si="17"/>
        <v>31035.99249196376</v>
      </c>
      <c r="CE17" s="204">
        <f t="shared" si="17"/>
        <v>31035.99249196376</v>
      </c>
      <c r="CF17" s="204">
        <f t="shared" si="17"/>
        <v>31035.99249196376</v>
      </c>
      <c r="CG17" s="204">
        <f t="shared" si="17"/>
        <v>31035.99249196376</v>
      </c>
      <c r="CH17" s="204">
        <f t="shared" si="18"/>
        <v>31035.99249196376</v>
      </c>
      <c r="CI17" s="204">
        <f t="shared" si="18"/>
        <v>31035.99249196376</v>
      </c>
      <c r="CJ17" s="204">
        <f t="shared" si="18"/>
        <v>31035.99249196376</v>
      </c>
      <c r="CK17" s="204">
        <f t="shared" si="18"/>
        <v>31035.99249196376</v>
      </c>
      <c r="CL17" s="204">
        <f t="shared" si="18"/>
        <v>31035.99249196376</v>
      </c>
      <c r="CM17" s="204">
        <f t="shared" si="18"/>
        <v>31035.99249196376</v>
      </c>
      <c r="CN17" s="204">
        <f t="shared" si="18"/>
        <v>31035.99249196376</v>
      </c>
      <c r="CO17" s="204">
        <f t="shared" si="18"/>
        <v>31035.99249196376</v>
      </c>
      <c r="CP17" s="204">
        <f t="shared" si="18"/>
        <v>31035.99249196376</v>
      </c>
      <c r="CQ17" s="204">
        <f t="shared" si="18"/>
        <v>31035.227765379786</v>
      </c>
      <c r="CR17" s="204">
        <f t="shared" si="19"/>
        <v>31035.227765379786</v>
      </c>
      <c r="CS17" s="204">
        <f t="shared" si="19"/>
        <v>31035.227765379786</v>
      </c>
      <c r="CT17" s="204">
        <f t="shared" si="19"/>
        <v>31035.227765379786</v>
      </c>
      <c r="CU17" s="204">
        <f t="shared" si="19"/>
        <v>31035.227765379786</v>
      </c>
      <c r="CV17" s="204">
        <f t="shared" si="19"/>
        <v>31035.227765379786</v>
      </c>
      <c r="CW17" s="204">
        <f t="shared" si="19"/>
        <v>31035.227765379786</v>
      </c>
      <c r="CX17" s="204">
        <f t="shared" si="19"/>
        <v>31035.227765379786</v>
      </c>
      <c r="CY17" s="204">
        <f t="shared" si="19"/>
        <v>31035.227765379786</v>
      </c>
      <c r="CZ17" s="204">
        <f t="shared" si="19"/>
        <v>31035.227765379786</v>
      </c>
      <c r="DA17" s="204">
        <f t="shared" si="19"/>
        <v>31035.227765379786</v>
      </c>
    </row>
    <row r="18" spans="1:105">
      <c r="A18" s="201" t="s">
        <v>85</v>
      </c>
      <c r="B18" s="203">
        <f>Income!B90</f>
        <v>47999.934714185954</v>
      </c>
      <c r="C18" s="203">
        <f>Income!C90</f>
        <v>47999.934714185954</v>
      </c>
      <c r="D18" s="203">
        <f>Income!D90</f>
        <v>47999.934714185954</v>
      </c>
      <c r="E18" s="203">
        <f>Income!E90</f>
        <v>47999.169987601977</v>
      </c>
      <c r="F18" s="204">
        <f t="shared" si="10"/>
        <v>47999.934714185954</v>
      </c>
      <c r="G18" s="204">
        <f t="shared" si="10"/>
        <v>47999.934714185954</v>
      </c>
      <c r="H18" s="204">
        <f t="shared" si="10"/>
        <v>47999.934714185954</v>
      </c>
      <c r="I18" s="204">
        <f t="shared" si="10"/>
        <v>47999.934714185954</v>
      </c>
      <c r="J18" s="204">
        <f t="shared" si="10"/>
        <v>47999.934714185954</v>
      </c>
      <c r="K18" s="204">
        <f t="shared" si="10"/>
        <v>47999.934714185954</v>
      </c>
      <c r="L18" s="204">
        <f t="shared" si="10"/>
        <v>47999.934714185954</v>
      </c>
      <c r="M18" s="204">
        <f t="shared" si="10"/>
        <v>47999.934714185954</v>
      </c>
      <c r="N18" s="204">
        <f t="shared" si="10"/>
        <v>47999.934714185954</v>
      </c>
      <c r="O18" s="204">
        <f t="shared" si="10"/>
        <v>47999.934714185954</v>
      </c>
      <c r="P18" s="204">
        <f t="shared" si="11"/>
        <v>47999.934714185954</v>
      </c>
      <c r="Q18" s="204">
        <f t="shared" si="11"/>
        <v>47999.934714185954</v>
      </c>
      <c r="R18" s="204">
        <f t="shared" si="11"/>
        <v>47999.934714185954</v>
      </c>
      <c r="S18" s="204">
        <f t="shared" si="11"/>
        <v>47999.934714185954</v>
      </c>
      <c r="T18" s="204">
        <f t="shared" si="11"/>
        <v>47999.934714185954</v>
      </c>
      <c r="U18" s="204">
        <f t="shared" si="11"/>
        <v>47999.934714185954</v>
      </c>
      <c r="V18" s="204">
        <f t="shared" si="11"/>
        <v>47999.934714185954</v>
      </c>
      <c r="W18" s="204">
        <f t="shared" si="11"/>
        <v>47999.934714185954</v>
      </c>
      <c r="X18" s="204">
        <f t="shared" si="11"/>
        <v>47999.934714185954</v>
      </c>
      <c r="Y18" s="204">
        <f t="shared" si="11"/>
        <v>47999.934714185954</v>
      </c>
      <c r="Z18" s="204">
        <f t="shared" si="12"/>
        <v>47999.934714185954</v>
      </c>
      <c r="AA18" s="204">
        <f t="shared" si="12"/>
        <v>47999.934714185954</v>
      </c>
      <c r="AB18" s="204">
        <f t="shared" si="12"/>
        <v>47999.934714185954</v>
      </c>
      <c r="AC18" s="204">
        <f t="shared" si="12"/>
        <v>47999.934714185954</v>
      </c>
      <c r="AD18" s="204">
        <f t="shared" si="12"/>
        <v>47999.934714185954</v>
      </c>
      <c r="AE18" s="204">
        <f t="shared" si="12"/>
        <v>47999.934714185954</v>
      </c>
      <c r="AF18" s="204">
        <f t="shared" si="12"/>
        <v>47999.934714185954</v>
      </c>
      <c r="AG18" s="204">
        <f t="shared" si="12"/>
        <v>47999.934714185954</v>
      </c>
      <c r="AH18" s="204">
        <f t="shared" si="12"/>
        <v>47999.934714185954</v>
      </c>
      <c r="AI18" s="204">
        <f t="shared" si="12"/>
        <v>47999.934714185954</v>
      </c>
      <c r="AJ18" s="204">
        <f t="shared" si="13"/>
        <v>47999.934714185954</v>
      </c>
      <c r="AK18" s="204">
        <f t="shared" si="13"/>
        <v>47999.934714185954</v>
      </c>
      <c r="AL18" s="204">
        <f t="shared" si="13"/>
        <v>47999.934714185954</v>
      </c>
      <c r="AM18" s="204">
        <f t="shared" si="13"/>
        <v>47999.934714185954</v>
      </c>
      <c r="AN18" s="204">
        <f t="shared" si="13"/>
        <v>47999.934714185954</v>
      </c>
      <c r="AO18" s="204">
        <f t="shared" si="13"/>
        <v>47999.934714185954</v>
      </c>
      <c r="AP18" s="204">
        <f t="shared" si="13"/>
        <v>47999.934714185954</v>
      </c>
      <c r="AQ18" s="204">
        <f t="shared" si="13"/>
        <v>47999.934714185954</v>
      </c>
      <c r="AR18" s="204">
        <f t="shared" si="13"/>
        <v>47999.934714185954</v>
      </c>
      <c r="AS18" s="204">
        <f t="shared" si="13"/>
        <v>47999.934714185954</v>
      </c>
      <c r="AT18" s="204">
        <f t="shared" si="14"/>
        <v>47999.934714185954</v>
      </c>
      <c r="AU18" s="204">
        <f t="shared" si="14"/>
        <v>47999.934714185954</v>
      </c>
      <c r="AV18" s="204">
        <f t="shared" si="14"/>
        <v>47999.934714185954</v>
      </c>
      <c r="AW18" s="204">
        <f t="shared" si="14"/>
        <v>47999.934714185954</v>
      </c>
      <c r="AX18" s="204">
        <f t="shared" si="14"/>
        <v>47999.934714185954</v>
      </c>
      <c r="AY18" s="204">
        <f t="shared" si="14"/>
        <v>47999.934714185954</v>
      </c>
      <c r="AZ18" s="204">
        <f t="shared" si="14"/>
        <v>47999.934714185954</v>
      </c>
      <c r="BA18" s="204">
        <f t="shared" si="14"/>
        <v>47999.934714185954</v>
      </c>
      <c r="BB18" s="204">
        <f t="shared" si="14"/>
        <v>47999.934714185954</v>
      </c>
      <c r="BC18" s="204">
        <f t="shared" si="14"/>
        <v>47999.934714185954</v>
      </c>
      <c r="BD18" s="204">
        <f t="shared" si="15"/>
        <v>47999.934714185954</v>
      </c>
      <c r="BE18" s="204">
        <f t="shared" si="15"/>
        <v>47999.934714185954</v>
      </c>
      <c r="BF18" s="204">
        <f t="shared" si="15"/>
        <v>47999.934714185954</v>
      </c>
      <c r="BG18" s="204">
        <f t="shared" si="15"/>
        <v>47999.934714185954</v>
      </c>
      <c r="BH18" s="204">
        <f t="shared" si="15"/>
        <v>47999.934714185954</v>
      </c>
      <c r="BI18" s="204">
        <f t="shared" si="15"/>
        <v>47999.934714185954</v>
      </c>
      <c r="BJ18" s="204">
        <f t="shared" si="15"/>
        <v>47999.934714185954</v>
      </c>
      <c r="BK18" s="204">
        <f t="shared" si="15"/>
        <v>47999.934714185954</v>
      </c>
      <c r="BL18" s="204">
        <f t="shared" si="15"/>
        <v>47999.934714185954</v>
      </c>
      <c r="BM18" s="204">
        <f t="shared" si="15"/>
        <v>47999.934714185954</v>
      </c>
      <c r="BN18" s="204">
        <f t="shared" si="16"/>
        <v>47999.934714185954</v>
      </c>
      <c r="BO18" s="204">
        <f t="shared" si="16"/>
        <v>47999.934714185954</v>
      </c>
      <c r="BP18" s="204">
        <f t="shared" si="16"/>
        <v>47999.934714185954</v>
      </c>
      <c r="BQ18" s="204">
        <f t="shared" si="16"/>
        <v>47999.934714185954</v>
      </c>
      <c r="BR18" s="204">
        <f t="shared" si="16"/>
        <v>47999.934714185954</v>
      </c>
      <c r="BS18" s="204">
        <f t="shared" si="16"/>
        <v>47999.934714185954</v>
      </c>
      <c r="BT18" s="204">
        <f t="shared" si="16"/>
        <v>47999.934714185954</v>
      </c>
      <c r="BU18" s="204">
        <f t="shared" si="16"/>
        <v>47999.934714185954</v>
      </c>
      <c r="BV18" s="204">
        <f t="shared" si="16"/>
        <v>47999.934714185954</v>
      </c>
      <c r="BW18" s="204">
        <f t="shared" si="16"/>
        <v>47999.934714185954</v>
      </c>
      <c r="BX18" s="204">
        <f t="shared" si="17"/>
        <v>47999.934714185954</v>
      </c>
      <c r="BY18" s="204">
        <f t="shared" si="17"/>
        <v>47999.934714185954</v>
      </c>
      <c r="BZ18" s="204">
        <f t="shared" si="17"/>
        <v>47999.934714185954</v>
      </c>
      <c r="CA18" s="204">
        <f t="shared" si="17"/>
        <v>47999.934714185954</v>
      </c>
      <c r="CB18" s="204">
        <f t="shared" si="17"/>
        <v>47999.934714185954</v>
      </c>
      <c r="CC18" s="204">
        <f t="shared" si="17"/>
        <v>47999.934714185954</v>
      </c>
      <c r="CD18" s="204">
        <f t="shared" si="17"/>
        <v>47999.934714185954</v>
      </c>
      <c r="CE18" s="204">
        <f t="shared" si="17"/>
        <v>47999.934714185954</v>
      </c>
      <c r="CF18" s="204">
        <f t="shared" si="17"/>
        <v>47999.934714185954</v>
      </c>
      <c r="CG18" s="204">
        <f t="shared" si="17"/>
        <v>47999.934714185954</v>
      </c>
      <c r="CH18" s="204">
        <f t="shared" si="18"/>
        <v>47999.934714185954</v>
      </c>
      <c r="CI18" s="204">
        <f t="shared" si="18"/>
        <v>47999.934714185954</v>
      </c>
      <c r="CJ18" s="204">
        <f t="shared" si="18"/>
        <v>47999.934714185954</v>
      </c>
      <c r="CK18" s="204">
        <f t="shared" si="18"/>
        <v>47999.934714185954</v>
      </c>
      <c r="CL18" s="204">
        <f t="shared" si="18"/>
        <v>47999.934714185954</v>
      </c>
      <c r="CM18" s="204">
        <f t="shared" si="18"/>
        <v>47999.934714185954</v>
      </c>
      <c r="CN18" s="204">
        <f t="shared" si="18"/>
        <v>47999.934714185954</v>
      </c>
      <c r="CO18" s="204">
        <f t="shared" si="18"/>
        <v>47999.934714185954</v>
      </c>
      <c r="CP18" s="204">
        <f t="shared" si="18"/>
        <v>47999.934714185954</v>
      </c>
      <c r="CQ18" s="204">
        <f t="shared" si="18"/>
        <v>47999.169987601977</v>
      </c>
      <c r="CR18" s="204">
        <f t="shared" si="19"/>
        <v>47999.169987601977</v>
      </c>
      <c r="CS18" s="204">
        <f t="shared" si="19"/>
        <v>47999.169987601977</v>
      </c>
      <c r="CT18" s="204">
        <f t="shared" si="19"/>
        <v>47999.169987601977</v>
      </c>
      <c r="CU18" s="204">
        <f t="shared" si="19"/>
        <v>47999.169987601977</v>
      </c>
      <c r="CV18" s="204">
        <f t="shared" si="19"/>
        <v>47999.169987601977</v>
      </c>
      <c r="CW18" s="204">
        <f t="shared" si="19"/>
        <v>47999.169987601977</v>
      </c>
      <c r="CX18" s="204">
        <f t="shared" si="19"/>
        <v>47999.169987601977</v>
      </c>
      <c r="CY18" s="204">
        <f t="shared" si="19"/>
        <v>47999.169987601977</v>
      </c>
      <c r="CZ18" s="204">
        <f t="shared" si="19"/>
        <v>47999.169987601977</v>
      </c>
      <c r="DA18" s="204">
        <f t="shared" si="19"/>
        <v>47999.169987601977</v>
      </c>
    </row>
    <row r="19" spans="1:105">
      <c r="A19" s="201" t="s">
        <v>116</v>
      </c>
      <c r="F19" s="201" t="str">
        <f>IF(F$22&lt;$E$24,IF(F$22&lt;$D$24,IF(F$22&lt;$C$24,IF(F$22&lt;$B$24,"",$B$16+(F$22-$B$24)*(($C$16-$B$16)/($C$24-$B$24))),$C$16+(F$22-$C$24)*(($D$16-$C$16)/($D$24-$C$24))),$D$16+(F$22-$D$24)*(($E$16-$D$16)/($E$24-$D$24))),"")</f>
        <v/>
      </c>
      <c r="G19" s="201" t="str">
        <f t="shared" ref="G19:BR19" si="20">IF(G$22&lt;$E$24,IF(G$22&lt;$D$24,IF(G$22&lt;$C$24,IF(G$22&lt;$B$24,"",$B$16+(G$22-$B$24)*(($C$16-$B$16)/($C$24-$B$24))),$C$16+(G$22-$C$24)*(($D$16-$C$16)/($D$24-$C$24))),$D$16+(G$22-$D$24)*(($E$16-$D$16)/($E$24-$D$24))),"")</f>
        <v/>
      </c>
      <c r="H19" s="201" t="str">
        <f t="shared" si="20"/>
        <v/>
      </c>
      <c r="I19" s="201" t="str">
        <f t="shared" si="20"/>
        <v/>
      </c>
      <c r="J19" s="201" t="str">
        <f t="shared" si="20"/>
        <v/>
      </c>
      <c r="K19" s="201" t="str">
        <f t="shared" si="20"/>
        <v/>
      </c>
      <c r="L19" s="201" t="str">
        <f t="shared" si="20"/>
        <v/>
      </c>
      <c r="M19" s="201" t="str">
        <f t="shared" si="20"/>
        <v/>
      </c>
      <c r="N19" s="201" t="str">
        <f t="shared" si="20"/>
        <v/>
      </c>
      <c r="O19" s="201" t="str">
        <f t="shared" si="20"/>
        <v/>
      </c>
      <c r="P19" s="201" t="str">
        <f t="shared" si="20"/>
        <v/>
      </c>
      <c r="Q19" s="201" t="str">
        <f t="shared" si="20"/>
        <v/>
      </c>
      <c r="R19" s="201" t="str">
        <f>IF(R$22&lt;$E$24,IF(R$22&lt;$D$24,IF(R$22&lt;$C$24,IF(R$22&lt;$B$24,"",$B$16+(R$22-$B$24)*(($C$16-$B$16)/($C$24-$B$24))),$C$16+(R$22-$C$24)*(($D$16-$C$16)/($D$24-$C$24))),$D$16+(R$22-$D$24)*(($E$16-$D$16)/($E$24-$D$24))),"")</f>
        <v/>
      </c>
      <c r="S19" s="201" t="str">
        <f>IF(S$22&lt;$E$24,IF(S$22&lt;$D$24,IF(S$22&lt;$C$24,IF(S$22&lt;$B$24,"",$B$16+(S$22-$B$24)*(($C$16-$B$16)/($C$24-$B$24))),$C$16+(S$22-$C$24)*(($D$16-$C$16)/($D$24-$C$24))),$D$16+(S$22-$D$24)*(($E$16-$D$16)/($E$24-$D$24))),"")</f>
        <v/>
      </c>
      <c r="T19" s="201" t="str">
        <f t="shared" si="20"/>
        <v/>
      </c>
      <c r="U19" s="201" t="str">
        <f t="shared" si="20"/>
        <v/>
      </c>
      <c r="V19" s="201" t="str">
        <f t="shared" si="20"/>
        <v/>
      </c>
      <c r="W19" s="201" t="str">
        <f t="shared" si="20"/>
        <v/>
      </c>
      <c r="X19" s="201" t="str">
        <f t="shared" si="20"/>
        <v/>
      </c>
      <c r="Y19" s="201" t="str">
        <f t="shared" si="20"/>
        <v/>
      </c>
      <c r="Z19" s="201">
        <f t="shared" si="20"/>
        <v>43492.29037853</v>
      </c>
      <c r="AA19" s="201">
        <f t="shared" si="20"/>
        <v>44056.801072445494</v>
      </c>
      <c r="AB19" s="201">
        <f t="shared" si="20"/>
        <v>44621.311766360981</v>
      </c>
      <c r="AC19" s="201">
        <f t="shared" si="20"/>
        <v>45185.822460276468</v>
      </c>
      <c r="AD19" s="201">
        <f t="shared" si="20"/>
        <v>45750.333154191954</v>
      </c>
      <c r="AE19" s="201">
        <f t="shared" si="20"/>
        <v>46314.843848107441</v>
      </c>
      <c r="AF19" s="201">
        <f t="shared" si="20"/>
        <v>46879.354542022935</v>
      </c>
      <c r="AG19" s="201">
        <f t="shared" si="20"/>
        <v>47443.865235938421</v>
      </c>
      <c r="AH19" s="201">
        <f t="shared" si="20"/>
        <v>48008.375929853908</v>
      </c>
      <c r="AI19" s="201">
        <f t="shared" si="20"/>
        <v>48572.886623769395</v>
      </c>
      <c r="AJ19" s="201">
        <f t="shared" si="20"/>
        <v>49137.397317684889</v>
      </c>
      <c r="AK19" s="201">
        <f t="shared" si="20"/>
        <v>49701.908011600375</v>
      </c>
      <c r="AL19" s="201">
        <f t="shared" si="20"/>
        <v>50266.418705515862</v>
      </c>
      <c r="AM19" s="201">
        <f t="shared" si="20"/>
        <v>50830.929399431348</v>
      </c>
      <c r="AN19" s="201">
        <f t="shared" si="20"/>
        <v>51395.440093346842</v>
      </c>
      <c r="AO19" s="201">
        <f t="shared" si="20"/>
        <v>51959.950787262329</v>
      </c>
      <c r="AP19" s="201">
        <f t="shared" si="20"/>
        <v>52524.461481177816</v>
      </c>
      <c r="AQ19" s="201">
        <f t="shared" si="20"/>
        <v>53088.972175093302</v>
      </c>
      <c r="AR19" s="201">
        <f t="shared" si="20"/>
        <v>53653.482869008789</v>
      </c>
      <c r="AS19" s="201">
        <f t="shared" si="20"/>
        <v>54217.993562924283</v>
      </c>
      <c r="AT19" s="201">
        <f t="shared" si="20"/>
        <v>54782.504256839769</v>
      </c>
      <c r="AU19" s="201">
        <f t="shared" si="20"/>
        <v>55347.014950755256</v>
      </c>
      <c r="AV19" s="201">
        <f t="shared" si="20"/>
        <v>55911.52564467075</v>
      </c>
      <c r="AW19" s="201">
        <f t="shared" si="20"/>
        <v>56476.036338586237</v>
      </c>
      <c r="AX19" s="201">
        <f t="shared" si="20"/>
        <v>57040.547032501723</v>
      </c>
      <c r="AY19" s="201">
        <f t="shared" si="20"/>
        <v>57605.05772641721</v>
      </c>
      <c r="AZ19" s="201">
        <f t="shared" si="20"/>
        <v>58169.568420332696</v>
      </c>
      <c r="BA19" s="201">
        <f t="shared" si="20"/>
        <v>58734.07911424819</v>
      </c>
      <c r="BB19" s="201">
        <f t="shared" si="20"/>
        <v>59298.589808163677</v>
      </c>
      <c r="BC19" s="201">
        <f t="shared" si="20"/>
        <v>59863.100502079164</v>
      </c>
      <c r="BD19" s="201">
        <f t="shared" si="20"/>
        <v>60427.611195994657</v>
      </c>
      <c r="BE19" s="201">
        <f t="shared" si="20"/>
        <v>60992.121889910137</v>
      </c>
      <c r="BF19" s="201">
        <f t="shared" si="20"/>
        <v>61556.632583825631</v>
      </c>
      <c r="BG19" s="201">
        <f t="shared" si="20"/>
        <v>62121.143277741117</v>
      </c>
      <c r="BH19" s="201">
        <f t="shared" si="20"/>
        <v>62685.653971656604</v>
      </c>
      <c r="BI19" s="201">
        <f t="shared" si="20"/>
        <v>63250.164665572098</v>
      </c>
      <c r="BJ19" s="201">
        <f t="shared" si="20"/>
        <v>63814.675359487577</v>
      </c>
      <c r="BK19" s="201">
        <f t="shared" si="20"/>
        <v>66371.116468737484</v>
      </c>
      <c r="BL19" s="201">
        <f t="shared" si="20"/>
        <v>69591.534383098857</v>
      </c>
      <c r="BM19" s="201">
        <f t="shared" si="20"/>
        <v>72811.95229746023</v>
      </c>
      <c r="BN19" s="201">
        <f t="shared" si="20"/>
        <v>76032.370211821588</v>
      </c>
      <c r="BO19" s="201">
        <f t="shared" si="20"/>
        <v>79252.788126182961</v>
      </c>
      <c r="BP19" s="201">
        <f t="shared" si="20"/>
        <v>82473.206040544334</v>
      </c>
      <c r="BQ19" s="201">
        <f t="shared" si="20"/>
        <v>85693.623954905706</v>
      </c>
      <c r="BR19" s="201">
        <f t="shared" si="20"/>
        <v>88914.041869267079</v>
      </c>
      <c r="BS19" s="201">
        <f t="shared" ref="BS19:DA19" si="21">IF(BS$22&lt;$E$24,IF(BS$22&lt;$D$24,IF(BS$22&lt;$C$24,IF(BS$22&lt;$B$24,"",$B$16+(BS$22-$B$24)*(($C$16-$B$16)/($C$24-$B$24))),$C$16+(BS$22-$C$24)*(($D$16-$C$16)/($D$24-$C$24))),$D$16+(BS$22-$D$24)*(($E$16-$D$16)/($E$24-$D$24))),"")</f>
        <v>92134.459783628452</v>
      </c>
      <c r="BT19" s="201">
        <f t="shared" si="21"/>
        <v>95354.87769798981</v>
      </c>
      <c r="BU19" s="201">
        <f t="shared" si="21"/>
        <v>98575.295612351183</v>
      </c>
      <c r="BV19" s="201">
        <f t="shared" si="21"/>
        <v>101795.71352671256</v>
      </c>
      <c r="BW19" s="201">
        <f t="shared" si="21"/>
        <v>105016.13144107393</v>
      </c>
      <c r="BX19" s="201">
        <f t="shared" si="21"/>
        <v>108236.5493554353</v>
      </c>
      <c r="BY19" s="201">
        <f t="shared" si="21"/>
        <v>111456.96726979667</v>
      </c>
      <c r="BZ19" s="201">
        <f t="shared" si="21"/>
        <v>114677.38518415805</v>
      </c>
      <c r="CA19" s="201">
        <f t="shared" si="21"/>
        <v>117897.80309851942</v>
      </c>
      <c r="CB19" s="201">
        <f t="shared" si="21"/>
        <v>121118.22101288078</v>
      </c>
      <c r="CC19" s="201">
        <f t="shared" si="21"/>
        <v>124338.63892724215</v>
      </c>
      <c r="CD19" s="201">
        <f t="shared" si="21"/>
        <v>127559.05684160352</v>
      </c>
      <c r="CE19" s="201">
        <f t="shared" si="21"/>
        <v>130779.47475596488</v>
      </c>
      <c r="CF19" s="201">
        <f t="shared" si="21"/>
        <v>133999.89267032626</v>
      </c>
      <c r="CG19" s="201">
        <f t="shared" si="21"/>
        <v>137220.31058468763</v>
      </c>
      <c r="CH19" s="201">
        <f t="shared" si="21"/>
        <v>140440.728499049</v>
      </c>
      <c r="CI19" s="201">
        <f t="shared" si="21"/>
        <v>143661.14641341037</v>
      </c>
      <c r="CJ19" s="201">
        <f t="shared" si="21"/>
        <v>153520.78942906111</v>
      </c>
      <c r="CK19" s="201">
        <f t="shared" si="21"/>
        <v>165593.50747847496</v>
      </c>
      <c r="CL19" s="201">
        <f t="shared" si="21"/>
        <v>177666.22552788883</v>
      </c>
      <c r="CM19" s="201">
        <f t="shared" si="21"/>
        <v>189738.94357730268</v>
      </c>
      <c r="CN19" s="201">
        <f t="shared" si="21"/>
        <v>201811.66162671655</v>
      </c>
      <c r="CO19" s="201">
        <f t="shared" si="21"/>
        <v>213884.37967613043</v>
      </c>
      <c r="CP19" s="201">
        <f t="shared" si="21"/>
        <v>225957.0977255443</v>
      </c>
      <c r="CQ19" s="201">
        <f t="shared" si="21"/>
        <v>238029.81577495814</v>
      </c>
      <c r="CR19" s="201">
        <f t="shared" si="21"/>
        <v>250102.53382437199</v>
      </c>
      <c r="CS19" s="201">
        <f t="shared" si="21"/>
        <v>262175.25187378586</v>
      </c>
      <c r="CT19" s="201">
        <f t="shared" si="21"/>
        <v>274247.96992319974</v>
      </c>
      <c r="CU19" s="201">
        <f t="shared" si="21"/>
        <v>286320.68797261361</v>
      </c>
      <c r="CV19" s="201">
        <f t="shared" si="21"/>
        <v>298393.40602202748</v>
      </c>
      <c r="CW19" s="201" t="str">
        <f t="shared" si="21"/>
        <v/>
      </c>
      <c r="CX19" s="201" t="str">
        <f t="shared" si="21"/>
        <v/>
      </c>
      <c r="CY19" s="201" t="str">
        <f t="shared" si="21"/>
        <v/>
      </c>
      <c r="CZ19" s="201" t="str">
        <f t="shared" si="21"/>
        <v/>
      </c>
      <c r="DA19" s="201" t="str">
        <f t="shared" si="21"/>
        <v/>
      </c>
    </row>
    <row r="21" spans="1:105">
      <c r="B21" s="201" t="s">
        <v>97</v>
      </c>
      <c r="C21" s="201" t="s">
        <v>96</v>
      </c>
      <c r="D21" s="201" t="s">
        <v>98</v>
      </c>
      <c r="E21" s="201" t="s">
        <v>99</v>
      </c>
    </row>
    <row r="22" spans="1:105">
      <c r="B22" s="205">
        <f>B2*100</f>
        <v>39.5</v>
      </c>
      <c r="C22" s="205">
        <f>C2*100</f>
        <v>33.5</v>
      </c>
      <c r="D22" s="205">
        <f>D2*100</f>
        <v>16.499999999999996</v>
      </c>
      <c r="E22" s="205">
        <f>E2*100</f>
        <v>10.500000000000002</v>
      </c>
      <c r="F22" s="205">
        <v>0</v>
      </c>
      <c r="G22" s="205">
        <v>1</v>
      </c>
      <c r="H22" s="205">
        <v>2</v>
      </c>
      <c r="I22" s="205">
        <v>3</v>
      </c>
      <c r="J22" s="205">
        <v>4</v>
      </c>
      <c r="K22" s="205">
        <v>5</v>
      </c>
      <c r="L22" s="205">
        <v>6</v>
      </c>
      <c r="M22" s="205">
        <v>7</v>
      </c>
      <c r="N22" s="205">
        <v>8</v>
      </c>
      <c r="O22" s="205">
        <v>9</v>
      </c>
      <c r="P22" s="205">
        <v>10</v>
      </c>
      <c r="Q22" s="205">
        <v>11</v>
      </c>
      <c r="R22" s="205">
        <v>12</v>
      </c>
      <c r="S22" s="205">
        <v>13</v>
      </c>
      <c r="T22" s="205">
        <v>14</v>
      </c>
      <c r="U22" s="205">
        <v>15</v>
      </c>
      <c r="V22" s="205">
        <v>16</v>
      </c>
      <c r="W22" s="205">
        <v>17</v>
      </c>
      <c r="X22" s="205">
        <v>18</v>
      </c>
      <c r="Y22" s="205">
        <v>19</v>
      </c>
      <c r="Z22" s="205">
        <v>20</v>
      </c>
      <c r="AA22" s="205">
        <v>21</v>
      </c>
      <c r="AB22" s="205">
        <v>22</v>
      </c>
      <c r="AC22" s="205">
        <v>23</v>
      </c>
      <c r="AD22" s="205">
        <v>24</v>
      </c>
      <c r="AE22" s="205">
        <v>25</v>
      </c>
      <c r="AF22" s="205">
        <v>26</v>
      </c>
      <c r="AG22" s="205">
        <v>27</v>
      </c>
      <c r="AH22" s="205">
        <v>28</v>
      </c>
      <c r="AI22" s="205">
        <v>29</v>
      </c>
      <c r="AJ22" s="205">
        <v>30</v>
      </c>
      <c r="AK22" s="205">
        <v>31</v>
      </c>
      <c r="AL22" s="205">
        <v>32</v>
      </c>
      <c r="AM22" s="205">
        <v>33</v>
      </c>
      <c r="AN22" s="205">
        <v>34</v>
      </c>
      <c r="AO22" s="205">
        <v>35</v>
      </c>
      <c r="AP22" s="205">
        <v>36</v>
      </c>
      <c r="AQ22" s="205">
        <v>37</v>
      </c>
      <c r="AR22" s="205">
        <v>38</v>
      </c>
      <c r="AS22" s="205">
        <v>39</v>
      </c>
      <c r="AT22" s="205">
        <v>40</v>
      </c>
      <c r="AU22" s="205">
        <v>41</v>
      </c>
      <c r="AV22" s="205">
        <v>42</v>
      </c>
      <c r="AW22" s="205">
        <v>43</v>
      </c>
      <c r="AX22" s="205">
        <v>44</v>
      </c>
      <c r="AY22" s="205">
        <v>45</v>
      </c>
      <c r="AZ22" s="205">
        <v>46</v>
      </c>
      <c r="BA22" s="205">
        <v>47</v>
      </c>
      <c r="BB22" s="205">
        <v>48</v>
      </c>
      <c r="BC22" s="205">
        <v>49</v>
      </c>
      <c r="BD22" s="205">
        <v>50</v>
      </c>
      <c r="BE22" s="205">
        <v>51</v>
      </c>
      <c r="BF22" s="205">
        <v>52</v>
      </c>
      <c r="BG22" s="205">
        <v>53</v>
      </c>
      <c r="BH22" s="205">
        <v>54</v>
      </c>
      <c r="BI22" s="205">
        <v>55</v>
      </c>
      <c r="BJ22" s="205">
        <v>56</v>
      </c>
      <c r="BK22" s="205">
        <v>57</v>
      </c>
      <c r="BL22" s="205">
        <v>58</v>
      </c>
      <c r="BM22" s="205">
        <v>59</v>
      </c>
      <c r="BN22" s="205">
        <v>60</v>
      </c>
      <c r="BO22" s="205">
        <v>61</v>
      </c>
      <c r="BP22" s="205">
        <v>62</v>
      </c>
      <c r="BQ22" s="205">
        <v>63</v>
      </c>
      <c r="BR22" s="205">
        <v>64</v>
      </c>
      <c r="BS22" s="205">
        <v>65</v>
      </c>
      <c r="BT22" s="205">
        <v>66</v>
      </c>
      <c r="BU22" s="205">
        <v>67</v>
      </c>
      <c r="BV22" s="205">
        <v>68</v>
      </c>
      <c r="BW22" s="205">
        <v>69</v>
      </c>
      <c r="BX22" s="205">
        <v>70</v>
      </c>
      <c r="BY22" s="205">
        <v>71</v>
      </c>
      <c r="BZ22" s="205">
        <v>72</v>
      </c>
      <c r="CA22" s="205">
        <v>73</v>
      </c>
      <c r="CB22" s="205">
        <v>74</v>
      </c>
      <c r="CC22" s="205">
        <v>75</v>
      </c>
      <c r="CD22" s="205">
        <v>76</v>
      </c>
      <c r="CE22" s="205">
        <v>77</v>
      </c>
      <c r="CF22" s="205">
        <v>78</v>
      </c>
      <c r="CG22" s="205">
        <v>79</v>
      </c>
      <c r="CH22" s="205">
        <v>80</v>
      </c>
      <c r="CI22" s="205">
        <v>81</v>
      </c>
      <c r="CJ22" s="205">
        <v>82</v>
      </c>
      <c r="CK22" s="205">
        <v>83</v>
      </c>
      <c r="CL22" s="205">
        <v>84</v>
      </c>
      <c r="CM22" s="205">
        <v>85</v>
      </c>
      <c r="CN22" s="205">
        <v>86</v>
      </c>
      <c r="CO22" s="205">
        <v>87</v>
      </c>
      <c r="CP22" s="205">
        <v>88</v>
      </c>
      <c r="CQ22" s="205">
        <v>89</v>
      </c>
      <c r="CR22" s="205">
        <v>90</v>
      </c>
      <c r="CS22" s="205">
        <v>91</v>
      </c>
      <c r="CT22" s="205">
        <v>92</v>
      </c>
      <c r="CU22" s="205">
        <v>93</v>
      </c>
      <c r="CV22" s="205">
        <v>94</v>
      </c>
      <c r="CW22" s="205">
        <v>95</v>
      </c>
      <c r="CX22" s="205">
        <v>96</v>
      </c>
      <c r="CY22" s="205">
        <v>97</v>
      </c>
      <c r="CZ22" s="205">
        <v>98</v>
      </c>
      <c r="DA22" s="205">
        <v>99</v>
      </c>
    </row>
    <row r="23" spans="1:105">
      <c r="B23" s="206">
        <f>SUM($B22:B22)</f>
        <v>39.5</v>
      </c>
      <c r="C23" s="206">
        <f>SUM($B22:C22)</f>
        <v>73</v>
      </c>
      <c r="D23" s="206">
        <f>SUM($B22:D22)</f>
        <v>89.5</v>
      </c>
      <c r="E23" s="206">
        <f>SUM($B22:E22)</f>
        <v>100</v>
      </c>
      <c r="F23" s="207"/>
      <c r="G23" s="207"/>
      <c r="H23" s="207"/>
      <c r="I23" s="207"/>
      <c r="J23" s="207"/>
      <c r="K23" s="207"/>
      <c r="L23" s="207"/>
      <c r="M23" s="207"/>
      <c r="N23" s="207"/>
      <c r="O23" s="207"/>
      <c r="P23" s="207"/>
      <c r="Q23" s="207"/>
      <c r="R23" s="207"/>
      <c r="S23" s="207"/>
      <c r="T23" s="207"/>
      <c r="U23" s="207"/>
      <c r="V23" s="207"/>
      <c r="W23" s="207"/>
      <c r="X23" s="207"/>
      <c r="Y23" s="207"/>
      <c r="Z23" s="207"/>
      <c r="AA23" s="207"/>
      <c r="AB23" s="207"/>
      <c r="AC23" s="207"/>
      <c r="AD23" s="207"/>
      <c r="AE23" s="207"/>
      <c r="AF23" s="207"/>
      <c r="AG23" s="207"/>
      <c r="AH23" s="207"/>
      <c r="AI23" s="207"/>
      <c r="AJ23" s="207"/>
      <c r="AK23" s="207"/>
      <c r="AL23" s="207"/>
      <c r="AM23" s="207"/>
      <c r="AN23" s="207"/>
      <c r="AO23" s="207"/>
      <c r="AP23" s="207"/>
      <c r="AQ23" s="207"/>
      <c r="AR23" s="207"/>
      <c r="AS23" s="207"/>
      <c r="AT23" s="207"/>
      <c r="AU23" s="207"/>
      <c r="AV23" s="207"/>
      <c r="AW23" s="207"/>
      <c r="AX23" s="207"/>
      <c r="AY23" s="207"/>
      <c r="AZ23" s="207"/>
      <c r="BA23" s="207"/>
      <c r="BB23" s="207"/>
      <c r="BC23" s="207"/>
      <c r="BD23" s="207"/>
      <c r="BE23" s="207"/>
      <c r="BF23" s="207"/>
      <c r="BG23" s="207"/>
      <c r="BH23" s="207"/>
      <c r="BI23" s="207"/>
      <c r="BJ23" s="207"/>
      <c r="BK23" s="207"/>
      <c r="BL23" s="207"/>
      <c r="BM23" s="207"/>
      <c r="BN23" s="207"/>
      <c r="BO23" s="207"/>
      <c r="BP23" s="207"/>
      <c r="BQ23" s="207"/>
      <c r="BR23" s="207"/>
      <c r="BS23" s="207"/>
      <c r="BT23" s="207"/>
      <c r="BU23" s="207"/>
      <c r="BV23" s="207"/>
      <c r="BW23" s="207"/>
      <c r="BX23" s="207"/>
      <c r="BY23" s="207"/>
      <c r="BZ23" s="207"/>
      <c r="CA23" s="207"/>
      <c r="CB23" s="207"/>
      <c r="CC23" s="207"/>
      <c r="CD23" s="207"/>
      <c r="CE23" s="207"/>
      <c r="CF23" s="207"/>
      <c r="CG23" s="207"/>
      <c r="CH23" s="207"/>
      <c r="CI23" s="207"/>
      <c r="CJ23" s="207"/>
      <c r="CK23" s="207"/>
      <c r="CL23" s="207"/>
      <c r="CM23" s="207"/>
      <c r="CN23" s="207"/>
      <c r="CO23" s="207"/>
      <c r="CP23" s="207"/>
      <c r="CQ23" s="207"/>
      <c r="CR23" s="207"/>
      <c r="CS23" s="207"/>
      <c r="CT23" s="207"/>
      <c r="CU23" s="207"/>
      <c r="CV23" s="207"/>
      <c r="CW23" s="207"/>
      <c r="CX23" s="207"/>
      <c r="CY23" s="207"/>
      <c r="CZ23" s="207"/>
      <c r="DA23" s="207"/>
    </row>
    <row r="24" spans="1:105">
      <c r="B24" s="208">
        <f>A23+(B23-A23)/2</f>
        <v>19.75</v>
      </c>
      <c r="C24" s="208">
        <f>B23+(C23-B23)/2</f>
        <v>56.25</v>
      </c>
      <c r="D24" s="208">
        <f>C23+(D23-C23)/2</f>
        <v>81.25</v>
      </c>
      <c r="E24" s="208">
        <f>D23+(E23-D23)/2</f>
        <v>94.75</v>
      </c>
      <c r="F24" s="209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09"/>
      <c r="AD24" s="209"/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  <c r="AP24" s="209"/>
      <c r="AQ24" s="209"/>
      <c r="AR24" s="209"/>
      <c r="AS24" s="209"/>
      <c r="AT24" s="209"/>
      <c r="AU24" s="209"/>
      <c r="AV24" s="209"/>
      <c r="AW24" s="209"/>
      <c r="AX24" s="209"/>
      <c r="AY24" s="209"/>
      <c r="AZ24" s="209"/>
      <c r="BA24" s="209"/>
      <c r="BB24" s="209"/>
      <c r="BC24" s="209"/>
      <c r="BD24" s="209"/>
      <c r="BE24" s="209"/>
      <c r="BF24" s="209"/>
      <c r="BG24" s="209"/>
      <c r="BH24" s="209"/>
      <c r="BI24" s="209"/>
      <c r="BJ24" s="209"/>
      <c r="BK24" s="209"/>
      <c r="BL24" s="209"/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09"/>
      <c r="CA24" s="209"/>
      <c r="CB24" s="209"/>
      <c r="CC24" s="209"/>
      <c r="CD24" s="209"/>
      <c r="CE24" s="209"/>
      <c r="CF24" s="209"/>
      <c r="CG24" s="209"/>
      <c r="CH24" s="209"/>
      <c r="CI24" s="209"/>
      <c r="CJ24" s="209"/>
      <c r="CK24" s="209"/>
      <c r="CL24" s="209"/>
      <c r="CM24" s="209"/>
      <c r="CN24" s="209"/>
      <c r="CO24" s="209"/>
      <c r="CP24" s="209"/>
      <c r="CQ24" s="209"/>
      <c r="CR24" s="209"/>
      <c r="CS24" s="209"/>
      <c r="CT24" s="209"/>
      <c r="CU24" s="209"/>
      <c r="CV24" s="209"/>
      <c r="CW24" s="209"/>
      <c r="CX24" s="209"/>
      <c r="CY24" s="209"/>
      <c r="CZ24" s="209"/>
      <c r="DA24" s="209"/>
    </row>
    <row r="25" spans="1:105">
      <c r="A25" s="201" t="str">
        <f>Income!A72</f>
        <v>Own crops Consumed</v>
      </c>
      <c r="B25" s="203">
        <f>Income!B72</f>
        <v>1637.8612483790453</v>
      </c>
      <c r="C25" s="203">
        <f>Income!C72</f>
        <v>3310.8818669346656</v>
      </c>
      <c r="D25" s="203">
        <f>Income!D72</f>
        <v>2890.7355865918666</v>
      </c>
      <c r="E25" s="203">
        <f>Income!E72</f>
        <v>1825.413865737894</v>
      </c>
      <c r="F25" s="210">
        <f>IF(F$22&lt;=$E$24,IF(F$22&lt;=$D$24,IF(F$22&lt;=$C$24,IF(F$22&lt;=$B$24,$B25,$B25+(F$22-$B$24)*($C25-$B25)/($C$24-$B$24)),$C25+(F$22-$C$24)*($D25-$C25)/($D$24-$C$24)),$D25+(F$22-$D$24)*($E25-$D25)/($E$24-$D$24)),$E25)</f>
        <v>1637.8612483790453</v>
      </c>
      <c r="G25" s="210">
        <f t="shared" ref="F25:U37" si="22">IF(G$22&lt;=$E$24,IF(G$22&lt;=$D$24,IF(G$22&lt;=$C$24,IF(G$22&lt;=$B$24,$B25,$B25+(G$22-$B$24)*($C25-$B25)/($C$24-$B$24)),$C25+(G$22-$C$24)*($D25-$C25)/($D$24-$C$24)),$D25+(G$22-$D$24)*($E25-$D25)/($E$24-$D$24)),$E25)</f>
        <v>1637.8612483790453</v>
      </c>
      <c r="H25" s="210">
        <f t="shared" si="22"/>
        <v>1637.8612483790453</v>
      </c>
      <c r="I25" s="210">
        <f t="shared" si="22"/>
        <v>1637.8612483790453</v>
      </c>
      <c r="J25" s="210">
        <f t="shared" si="22"/>
        <v>1637.8612483790453</v>
      </c>
      <c r="K25" s="210">
        <f t="shared" si="22"/>
        <v>1637.8612483790453</v>
      </c>
      <c r="L25" s="210">
        <f t="shared" si="22"/>
        <v>1637.8612483790453</v>
      </c>
      <c r="M25" s="210">
        <f t="shared" si="22"/>
        <v>1637.8612483790453</v>
      </c>
      <c r="N25" s="210">
        <f t="shared" si="22"/>
        <v>1637.8612483790453</v>
      </c>
      <c r="O25" s="210">
        <f t="shared" si="22"/>
        <v>1637.8612483790453</v>
      </c>
      <c r="P25" s="210">
        <f t="shared" ref="P25:AE37" si="23">IF(P$22&lt;=$E$24,IF(P$22&lt;=$D$24,IF(P$22&lt;=$C$24,IF(P$22&lt;=$B$24,$B25,$B25+(P$22-$B$24)*($C25-$B25)/($C$24-$B$24)),$C25+(P$22-$C$24)*($D25-$C25)/($D$24-$C$24)),$D25+(P$22-$D$24)*($E25-$D25)/($E$24-$D$24)),$E25)</f>
        <v>1637.8612483790453</v>
      </c>
      <c r="Q25" s="210">
        <f t="shared" si="23"/>
        <v>1637.8612483790453</v>
      </c>
      <c r="R25" s="210">
        <f t="shared" si="23"/>
        <v>1637.8612483790453</v>
      </c>
      <c r="S25" s="210">
        <f>IF(S$22&lt;=$E$24,IF(S$22&lt;=$D$24,IF(S$22&lt;=$C$24,IF(S$22&lt;=$B$24,$B25,$B25+(S$22-$B$24)*($C25-$B25)/($C$24-$B$24)),$C25+(S$22-$C$24)*($D25-$C25)/($D$24-$C$24)),$D25+(S$22-$D$24)*($E25-$D25)/($E$24-$D$24)),$E25)</f>
        <v>1637.8612483790453</v>
      </c>
      <c r="T25" s="210">
        <f t="shared" si="23"/>
        <v>1637.8612483790453</v>
      </c>
      <c r="U25" s="210">
        <f t="shared" si="23"/>
        <v>1637.8612483790453</v>
      </c>
      <c r="V25" s="210">
        <f t="shared" si="23"/>
        <v>1637.8612483790453</v>
      </c>
      <c r="W25" s="210">
        <f t="shared" si="23"/>
        <v>1637.8612483790453</v>
      </c>
      <c r="X25" s="210">
        <f t="shared" si="23"/>
        <v>1637.8612483790453</v>
      </c>
      <c r="Y25" s="210">
        <f t="shared" si="23"/>
        <v>1637.8612483790453</v>
      </c>
      <c r="Z25" s="210">
        <f t="shared" ref="Z25:AO37" si="24">IF(Z$22&lt;=$E$24,IF(Z$22&lt;=$D$24,IF(Z$22&lt;=$C$24,IF(Z$22&lt;=$B$24,$B25,$B25+(Z$22-$B$24)*($C25-$B25)/($C$24-$B$24)),$C25+(Z$22-$C$24)*($D25-$C25)/($D$24-$C$24)),$D25+(Z$22-$D$24)*($E25-$D25)/($E$24-$D$24)),$E25)</f>
        <v>1649.320293711618</v>
      </c>
      <c r="AA25" s="210">
        <f t="shared" si="24"/>
        <v>1695.1564750419091</v>
      </c>
      <c r="AB25" s="210">
        <f t="shared" si="24"/>
        <v>1740.9926563721999</v>
      </c>
      <c r="AC25" s="210">
        <f t="shared" si="24"/>
        <v>1786.828837702491</v>
      </c>
      <c r="AD25" s="210">
        <f t="shared" si="24"/>
        <v>1832.6650190327819</v>
      </c>
      <c r="AE25" s="210">
        <f t="shared" si="24"/>
        <v>1878.5012003630729</v>
      </c>
      <c r="AF25" s="210">
        <f t="shared" si="24"/>
        <v>1924.3373816933638</v>
      </c>
      <c r="AG25" s="210">
        <f t="shared" si="24"/>
        <v>1970.1735630236549</v>
      </c>
      <c r="AH25" s="210">
        <f t="shared" si="24"/>
        <v>2016.0097443539457</v>
      </c>
      <c r="AI25" s="210">
        <f t="shared" si="24"/>
        <v>2061.8459256842366</v>
      </c>
      <c r="AJ25" s="210">
        <f t="shared" ref="AJ25:AY37" si="25">IF(AJ$22&lt;=$E$24,IF(AJ$22&lt;=$D$24,IF(AJ$22&lt;=$C$24,IF(AJ$22&lt;=$B$24,$B25,$B25+(AJ$22-$B$24)*($C25-$B25)/($C$24-$B$24)),$C25+(AJ$22-$C$24)*($D25-$C25)/($D$24-$C$24)),$D25+(AJ$22-$D$24)*($E25-$D25)/($E$24-$D$24)),$E25)</f>
        <v>2107.6821070145279</v>
      </c>
      <c r="AK25" s="210">
        <f t="shared" si="25"/>
        <v>2153.5182883448188</v>
      </c>
      <c r="AL25" s="210">
        <f t="shared" si="25"/>
        <v>2199.3544696751096</v>
      </c>
      <c r="AM25" s="210">
        <f t="shared" si="25"/>
        <v>2245.1906510054005</v>
      </c>
      <c r="AN25" s="210">
        <f t="shared" si="25"/>
        <v>2291.0268323356913</v>
      </c>
      <c r="AO25" s="210">
        <f t="shared" si="25"/>
        <v>2336.8630136659826</v>
      </c>
      <c r="AP25" s="210">
        <f t="shared" si="25"/>
        <v>2382.6991949962735</v>
      </c>
      <c r="AQ25" s="210">
        <f t="shared" si="25"/>
        <v>2428.5353763265643</v>
      </c>
      <c r="AR25" s="210">
        <f t="shared" si="25"/>
        <v>2474.3715576568557</v>
      </c>
      <c r="AS25" s="210">
        <f t="shared" si="25"/>
        <v>2520.2077389871465</v>
      </c>
      <c r="AT25" s="210">
        <f t="shared" ref="AT25:BI37" si="26">IF(AT$22&lt;=$E$24,IF(AT$22&lt;=$D$24,IF(AT$22&lt;=$C$24,IF(AT$22&lt;=$B$24,$B25,$B25+(AT$22-$B$24)*($C25-$B25)/($C$24-$B$24)),$C25+(AT$22-$C$24)*($D25-$C25)/($D$24-$C$24)),$D25+(AT$22-$D$24)*($E25-$D25)/($E$24-$D$24)),$E25)</f>
        <v>2566.0439203174374</v>
      </c>
      <c r="AU25" s="210">
        <f t="shared" si="26"/>
        <v>2611.8801016477282</v>
      </c>
      <c r="AV25" s="210">
        <f t="shared" si="26"/>
        <v>2657.7162829780191</v>
      </c>
      <c r="AW25" s="210">
        <f t="shared" si="26"/>
        <v>2703.5524643083104</v>
      </c>
      <c r="AX25" s="210">
        <f t="shared" si="26"/>
        <v>2749.3886456386012</v>
      </c>
      <c r="AY25" s="210">
        <f t="shared" si="26"/>
        <v>2795.2248269688926</v>
      </c>
      <c r="AZ25" s="210">
        <f t="shared" si="26"/>
        <v>2841.0610082991834</v>
      </c>
      <c r="BA25" s="210">
        <f t="shared" si="26"/>
        <v>2886.8971896294743</v>
      </c>
      <c r="BB25" s="210">
        <f t="shared" si="26"/>
        <v>2932.7333709597651</v>
      </c>
      <c r="BC25" s="210">
        <f t="shared" si="26"/>
        <v>2978.569552290056</v>
      </c>
      <c r="BD25" s="210">
        <f t="shared" ref="BD25:BS37" si="27">IF(BD$22&lt;=$E$24,IF(BD$22&lt;=$D$24,IF(BD$22&lt;=$C$24,IF(BD$22&lt;=$B$24,$B25,$B25+(BD$22-$B$24)*($C25-$B25)/($C$24-$B$24)),$C25+(BD$22-$C$24)*($D25-$C25)/($D$24-$C$24)),$D25+(BD$22-$D$24)*($E25-$D25)/($E$24-$D$24)),$E25)</f>
        <v>3024.4057336203468</v>
      </c>
      <c r="BE25" s="210">
        <f t="shared" si="27"/>
        <v>3070.2419149506377</v>
      </c>
      <c r="BF25" s="210">
        <f t="shared" si="27"/>
        <v>3116.078096280929</v>
      </c>
      <c r="BG25" s="210">
        <f t="shared" si="27"/>
        <v>3161.9142776112199</v>
      </c>
      <c r="BH25" s="210">
        <f t="shared" si="27"/>
        <v>3207.7504589415112</v>
      </c>
      <c r="BI25" s="210">
        <f t="shared" si="27"/>
        <v>3253.586640271802</v>
      </c>
      <c r="BJ25" s="210">
        <f t="shared" si="27"/>
        <v>3299.4228216020929</v>
      </c>
      <c r="BK25" s="210">
        <f t="shared" si="27"/>
        <v>3298.2774785243814</v>
      </c>
      <c r="BL25" s="210">
        <f t="shared" si="27"/>
        <v>3281.4716273106696</v>
      </c>
      <c r="BM25" s="210">
        <f t="shared" si="27"/>
        <v>3264.6657760969579</v>
      </c>
      <c r="BN25" s="210">
        <f t="shared" ref="BN25:CC37" si="28">IF(BN$22&lt;=$E$24,IF(BN$22&lt;=$D$24,IF(BN$22&lt;=$C$24,IF(BN$22&lt;=$B$24,$B25,$B25+(BN$22-$B$24)*($C25-$B25)/($C$24-$B$24)),$C25+(BN$22-$C$24)*($D25-$C25)/($D$24-$C$24)),$D25+(BN$22-$D$24)*($E25-$D25)/($E$24-$D$24)),$E25)</f>
        <v>3247.8599248832456</v>
      </c>
      <c r="BO25" s="210">
        <f t="shared" si="28"/>
        <v>3231.0540736695339</v>
      </c>
      <c r="BP25" s="210">
        <f t="shared" si="28"/>
        <v>3214.2482224558216</v>
      </c>
      <c r="BQ25" s="210">
        <f t="shared" si="28"/>
        <v>3197.4423712421099</v>
      </c>
      <c r="BR25" s="210">
        <f t="shared" si="28"/>
        <v>3180.6365200283981</v>
      </c>
      <c r="BS25" s="210">
        <f t="shared" si="28"/>
        <v>3163.8306688146859</v>
      </c>
      <c r="BT25" s="210">
        <f t="shared" si="28"/>
        <v>3147.0248176009741</v>
      </c>
      <c r="BU25" s="210">
        <f t="shared" si="28"/>
        <v>3130.2189663872618</v>
      </c>
      <c r="BV25" s="210">
        <f t="shared" si="28"/>
        <v>3113.4131151735501</v>
      </c>
      <c r="BW25" s="210">
        <f t="shared" si="28"/>
        <v>3096.6072639598383</v>
      </c>
      <c r="BX25" s="210">
        <f t="shared" ref="BX25:CM37" si="29">IF(BX$22&lt;=$E$24,IF(BX$22&lt;=$D$24,IF(BX$22&lt;=$C$24,IF(BX$22&lt;=$B$24,$B25,$B25+(BX$22-$B$24)*($C25-$B25)/($C$24-$B$24)),$C25+(BX$22-$C$24)*($D25-$C25)/($D$24-$C$24)),$D25+(BX$22-$D$24)*($E25-$D25)/($E$24-$D$24)),$E25)</f>
        <v>3079.8014127461261</v>
      </c>
      <c r="BY25" s="210">
        <f t="shared" si="29"/>
        <v>3062.9955615324143</v>
      </c>
      <c r="BZ25" s="210">
        <f t="shared" si="29"/>
        <v>3046.1897103187021</v>
      </c>
      <c r="CA25" s="210">
        <f t="shared" si="29"/>
        <v>3029.3838591049903</v>
      </c>
      <c r="CB25" s="210">
        <f t="shared" si="29"/>
        <v>3012.5780078912785</v>
      </c>
      <c r="CC25" s="210">
        <f t="shared" si="29"/>
        <v>2995.7721566775663</v>
      </c>
      <c r="CD25" s="210">
        <f t="shared" si="29"/>
        <v>2978.9663054638545</v>
      </c>
      <c r="CE25" s="210">
        <f t="shared" si="29"/>
        <v>2962.1604542501427</v>
      </c>
      <c r="CF25" s="210">
        <f t="shared" si="29"/>
        <v>2945.3546030364305</v>
      </c>
      <c r="CG25" s="210">
        <f t="shared" si="29"/>
        <v>2928.5487518227187</v>
      </c>
      <c r="CH25" s="210">
        <f t="shared" ref="CH25:CW37" si="30">IF(CH$22&lt;=$E$24,IF(CH$22&lt;=$D$24,IF(CH$22&lt;=$C$24,IF(CH$22&lt;=$B$24,$B25,$B25+(CH$22-$B$24)*($C25-$B25)/($C$24-$B$24)),$C25+(CH$22-$C$24)*($D25-$C25)/($D$24-$C$24)),$D25+(CH$22-$D$24)*($E25-$D25)/($E$24-$D$24)),$E25)</f>
        <v>2911.7429006090065</v>
      </c>
      <c r="CI25" s="210">
        <f t="shared" si="30"/>
        <v>2894.9370493952947</v>
      </c>
      <c r="CJ25" s="210">
        <f t="shared" si="30"/>
        <v>2831.5510465444236</v>
      </c>
      <c r="CK25" s="210">
        <f t="shared" si="30"/>
        <v>2752.6383264811666</v>
      </c>
      <c r="CL25" s="210">
        <f t="shared" si="30"/>
        <v>2673.7256064179091</v>
      </c>
      <c r="CM25" s="210">
        <f t="shared" si="30"/>
        <v>2594.8128863546522</v>
      </c>
      <c r="CN25" s="210">
        <f t="shared" si="30"/>
        <v>2515.9001662913947</v>
      </c>
      <c r="CO25" s="210">
        <f t="shared" si="30"/>
        <v>2436.9874462281377</v>
      </c>
      <c r="CP25" s="210">
        <f t="shared" si="30"/>
        <v>2358.0747261648803</v>
      </c>
      <c r="CQ25" s="210">
        <f t="shared" si="30"/>
        <v>2279.1620061016229</v>
      </c>
      <c r="CR25" s="210">
        <f t="shared" ref="CR25:DA37" si="31">IF(CR$22&lt;=$E$24,IF(CR$22&lt;=$D$24,IF(CR$22&lt;=$C$24,IF(CR$22&lt;=$B$24,$B25,$B25+(CR$22-$B$24)*($C25-$B25)/($C$24-$B$24)),$C25+(CR$22-$C$24)*($D25-$C25)/($D$24-$C$24)),$D25+(CR$22-$D$24)*($E25-$D25)/($E$24-$D$24)),$E25)</f>
        <v>2200.2492860383659</v>
      </c>
      <c r="CS25" s="210">
        <f t="shared" si="31"/>
        <v>2121.3365659751084</v>
      </c>
      <c r="CT25" s="210">
        <f t="shared" si="31"/>
        <v>2042.4238459118515</v>
      </c>
      <c r="CU25" s="210">
        <f t="shared" si="31"/>
        <v>1963.511125848594</v>
      </c>
      <c r="CV25" s="210">
        <f t="shared" si="31"/>
        <v>1884.598405785337</v>
      </c>
      <c r="CW25" s="210">
        <f t="shared" si="31"/>
        <v>1825.413865737894</v>
      </c>
      <c r="CX25" s="210">
        <f t="shared" si="31"/>
        <v>1825.413865737894</v>
      </c>
      <c r="CY25" s="210">
        <f t="shared" si="31"/>
        <v>1825.413865737894</v>
      </c>
      <c r="CZ25" s="210">
        <f t="shared" si="31"/>
        <v>1825.413865737894</v>
      </c>
      <c r="DA25" s="210">
        <f t="shared" si="31"/>
        <v>1825.413865737894</v>
      </c>
    </row>
    <row r="26" spans="1:105">
      <c r="A26" s="201" t="str">
        <f>Income!A73</f>
        <v>Own crops sold</v>
      </c>
      <c r="B26" s="203">
        <f>Income!B73</f>
        <v>25.840100024676357</v>
      </c>
      <c r="C26" s="203">
        <f>Income!C73</f>
        <v>1526.206542727313</v>
      </c>
      <c r="D26" s="203">
        <f>Income!D73</f>
        <v>10861.045216721113</v>
      </c>
      <c r="E26" s="203">
        <f>Income!E73</f>
        <v>22116.438696656045</v>
      </c>
      <c r="F26" s="210">
        <f t="shared" si="22"/>
        <v>25.840100024676357</v>
      </c>
      <c r="G26" s="210">
        <f t="shared" si="22"/>
        <v>25.840100024676357</v>
      </c>
      <c r="H26" s="210">
        <f t="shared" si="22"/>
        <v>25.840100024676357</v>
      </c>
      <c r="I26" s="210">
        <f t="shared" si="22"/>
        <v>25.840100024676357</v>
      </c>
      <c r="J26" s="210">
        <f t="shared" si="22"/>
        <v>25.840100024676357</v>
      </c>
      <c r="K26" s="210">
        <f t="shared" si="22"/>
        <v>25.840100024676357</v>
      </c>
      <c r="L26" s="210">
        <f t="shared" si="22"/>
        <v>25.840100024676357</v>
      </c>
      <c r="M26" s="210">
        <f t="shared" si="22"/>
        <v>25.840100024676357</v>
      </c>
      <c r="N26" s="210">
        <f t="shared" si="22"/>
        <v>25.840100024676357</v>
      </c>
      <c r="O26" s="210">
        <f t="shared" si="22"/>
        <v>25.840100024676357</v>
      </c>
      <c r="P26" s="210">
        <f t="shared" si="23"/>
        <v>25.840100024676357</v>
      </c>
      <c r="Q26" s="210">
        <f t="shared" si="23"/>
        <v>25.840100024676357</v>
      </c>
      <c r="R26" s="210">
        <f t="shared" si="23"/>
        <v>25.840100024676357</v>
      </c>
      <c r="S26" s="210">
        <f t="shared" si="23"/>
        <v>25.840100024676357</v>
      </c>
      <c r="T26" s="210">
        <f t="shared" si="23"/>
        <v>25.840100024676357</v>
      </c>
      <c r="U26" s="210">
        <f t="shared" si="23"/>
        <v>25.840100024676357</v>
      </c>
      <c r="V26" s="210">
        <f t="shared" si="23"/>
        <v>25.840100024676357</v>
      </c>
      <c r="W26" s="210">
        <f t="shared" si="23"/>
        <v>25.840100024676357</v>
      </c>
      <c r="X26" s="210">
        <f t="shared" si="23"/>
        <v>25.840100024676357</v>
      </c>
      <c r="Y26" s="210">
        <f t="shared" si="23"/>
        <v>25.840100024676357</v>
      </c>
      <c r="Z26" s="210">
        <f t="shared" si="24"/>
        <v>36.116582508940994</v>
      </c>
      <c r="AA26" s="210">
        <f t="shared" si="24"/>
        <v>77.222512445999527</v>
      </c>
      <c r="AB26" s="210">
        <f t="shared" si="24"/>
        <v>118.32844238305807</v>
      </c>
      <c r="AC26" s="210">
        <f t="shared" si="24"/>
        <v>159.43437232011661</v>
      </c>
      <c r="AD26" s="210">
        <f t="shared" si="24"/>
        <v>200.54030225717517</v>
      </c>
      <c r="AE26" s="210">
        <f t="shared" si="24"/>
        <v>241.64623219423368</v>
      </c>
      <c r="AF26" s="210">
        <f t="shared" si="24"/>
        <v>282.75216213129221</v>
      </c>
      <c r="AG26" s="210">
        <f t="shared" si="24"/>
        <v>323.85809206835074</v>
      </c>
      <c r="AH26" s="210">
        <f t="shared" si="24"/>
        <v>364.96402200540933</v>
      </c>
      <c r="AI26" s="210">
        <f t="shared" si="24"/>
        <v>406.06995194246787</v>
      </c>
      <c r="AJ26" s="210">
        <f t="shared" si="25"/>
        <v>447.1758818795264</v>
      </c>
      <c r="AK26" s="210">
        <f t="shared" si="25"/>
        <v>488.28181181658488</v>
      </c>
      <c r="AL26" s="210">
        <f t="shared" si="25"/>
        <v>529.38774175364347</v>
      </c>
      <c r="AM26" s="210">
        <f t="shared" si="25"/>
        <v>570.49367169070194</v>
      </c>
      <c r="AN26" s="210">
        <f t="shared" si="25"/>
        <v>611.59960162776053</v>
      </c>
      <c r="AO26" s="210">
        <f t="shared" si="25"/>
        <v>652.70553156481901</v>
      </c>
      <c r="AP26" s="210">
        <f t="shared" si="25"/>
        <v>693.8114615018776</v>
      </c>
      <c r="AQ26" s="210">
        <f t="shared" si="25"/>
        <v>734.91739143893619</v>
      </c>
      <c r="AR26" s="210">
        <f t="shared" si="25"/>
        <v>776.02332137599467</v>
      </c>
      <c r="AS26" s="210">
        <f t="shared" si="25"/>
        <v>817.12925131305326</v>
      </c>
      <c r="AT26" s="210">
        <f t="shared" si="26"/>
        <v>858.23518125011174</v>
      </c>
      <c r="AU26" s="210">
        <f t="shared" si="26"/>
        <v>899.34111118717021</v>
      </c>
      <c r="AV26" s="210">
        <f t="shared" si="26"/>
        <v>940.4470411242288</v>
      </c>
      <c r="AW26" s="210">
        <f t="shared" si="26"/>
        <v>981.55297106128739</v>
      </c>
      <c r="AX26" s="210">
        <f t="shared" si="26"/>
        <v>1022.658900998346</v>
      </c>
      <c r="AY26" s="210">
        <f t="shared" si="26"/>
        <v>1063.7648309354045</v>
      </c>
      <c r="AZ26" s="210">
        <f t="shared" si="26"/>
        <v>1104.8707608724628</v>
      </c>
      <c r="BA26" s="210">
        <f t="shared" si="26"/>
        <v>1145.9766908095214</v>
      </c>
      <c r="BB26" s="210">
        <f t="shared" si="26"/>
        <v>1187.08262074658</v>
      </c>
      <c r="BC26" s="210">
        <f t="shared" si="26"/>
        <v>1228.1885506836386</v>
      </c>
      <c r="BD26" s="210">
        <f t="shared" si="27"/>
        <v>1269.2944806206972</v>
      </c>
      <c r="BE26" s="210">
        <f t="shared" si="27"/>
        <v>1310.4004105577558</v>
      </c>
      <c r="BF26" s="210">
        <f t="shared" si="27"/>
        <v>1351.5063404948141</v>
      </c>
      <c r="BG26" s="210">
        <f t="shared" si="27"/>
        <v>1392.6122704318727</v>
      </c>
      <c r="BH26" s="210">
        <f t="shared" si="27"/>
        <v>1433.7182003689313</v>
      </c>
      <c r="BI26" s="210">
        <f t="shared" si="27"/>
        <v>1474.8241303059899</v>
      </c>
      <c r="BJ26" s="210">
        <f t="shared" si="27"/>
        <v>1515.9300602430485</v>
      </c>
      <c r="BK26" s="210">
        <f t="shared" si="27"/>
        <v>1806.2517029471269</v>
      </c>
      <c r="BL26" s="210">
        <f t="shared" si="27"/>
        <v>2179.6452499068791</v>
      </c>
      <c r="BM26" s="210">
        <f t="shared" si="27"/>
        <v>2553.0387968666309</v>
      </c>
      <c r="BN26" s="210">
        <f t="shared" si="28"/>
        <v>2926.4323438263827</v>
      </c>
      <c r="BO26" s="210">
        <f t="shared" si="28"/>
        <v>3299.825890786135</v>
      </c>
      <c r="BP26" s="210">
        <f t="shared" si="28"/>
        <v>3673.2194377458873</v>
      </c>
      <c r="BQ26" s="210">
        <f t="shared" si="28"/>
        <v>4046.6129847056391</v>
      </c>
      <c r="BR26" s="210">
        <f t="shared" si="28"/>
        <v>4420.0065316653909</v>
      </c>
      <c r="BS26" s="210">
        <f t="shared" si="28"/>
        <v>4793.4000786251427</v>
      </c>
      <c r="BT26" s="210">
        <f t="shared" si="28"/>
        <v>5166.7936255848945</v>
      </c>
      <c r="BU26" s="210">
        <f t="shared" si="28"/>
        <v>5540.1871725446463</v>
      </c>
      <c r="BV26" s="210">
        <f t="shared" si="28"/>
        <v>5913.5807195043981</v>
      </c>
      <c r="BW26" s="210">
        <f t="shared" si="28"/>
        <v>6286.9742664641499</v>
      </c>
      <c r="BX26" s="210">
        <f t="shared" si="29"/>
        <v>6660.3678134239026</v>
      </c>
      <c r="BY26" s="210">
        <f t="shared" si="29"/>
        <v>7033.7613603836544</v>
      </c>
      <c r="BZ26" s="210">
        <f t="shared" si="29"/>
        <v>7407.1549073434062</v>
      </c>
      <c r="CA26" s="210">
        <f t="shared" si="29"/>
        <v>7780.548454303158</v>
      </c>
      <c r="CB26" s="210">
        <f t="shared" si="29"/>
        <v>8153.9420012629098</v>
      </c>
      <c r="CC26" s="210">
        <f t="shared" si="29"/>
        <v>8527.3355482226634</v>
      </c>
      <c r="CD26" s="210">
        <f t="shared" si="29"/>
        <v>8900.7290951824143</v>
      </c>
      <c r="CE26" s="210">
        <f t="shared" si="29"/>
        <v>9274.122642142167</v>
      </c>
      <c r="CF26" s="210">
        <f t="shared" si="29"/>
        <v>9647.5161891019179</v>
      </c>
      <c r="CG26" s="210">
        <f t="shared" si="29"/>
        <v>10020.909736061671</v>
      </c>
      <c r="CH26" s="210">
        <f t="shared" si="30"/>
        <v>10394.303283021423</v>
      </c>
      <c r="CI26" s="210">
        <f t="shared" si="30"/>
        <v>10767.696829981174</v>
      </c>
      <c r="CJ26" s="210">
        <f t="shared" si="30"/>
        <v>11486.344854495277</v>
      </c>
      <c r="CK26" s="210">
        <f t="shared" si="30"/>
        <v>12320.077704860827</v>
      </c>
      <c r="CL26" s="210">
        <f t="shared" si="30"/>
        <v>13153.810555226377</v>
      </c>
      <c r="CM26" s="210">
        <f t="shared" si="30"/>
        <v>13987.543405591929</v>
      </c>
      <c r="CN26" s="210">
        <f t="shared" si="30"/>
        <v>14821.276255957478</v>
      </c>
      <c r="CO26" s="210">
        <f t="shared" si="30"/>
        <v>15655.009106323028</v>
      </c>
      <c r="CP26" s="210">
        <f t="shared" si="30"/>
        <v>16488.74195668858</v>
      </c>
      <c r="CQ26" s="210">
        <f t="shared" si="30"/>
        <v>17322.474807054128</v>
      </c>
      <c r="CR26" s="210">
        <f t="shared" si="31"/>
        <v>18156.20765741968</v>
      </c>
      <c r="CS26" s="210">
        <f t="shared" si="31"/>
        <v>18989.940507785232</v>
      </c>
      <c r="CT26" s="210">
        <f t="shared" si="31"/>
        <v>19823.67335815078</v>
      </c>
      <c r="CU26" s="210">
        <f t="shared" si="31"/>
        <v>20657.406208516331</v>
      </c>
      <c r="CV26" s="210">
        <f t="shared" si="31"/>
        <v>21491.139058881883</v>
      </c>
      <c r="CW26" s="210">
        <f t="shared" si="31"/>
        <v>22116.438696656045</v>
      </c>
      <c r="CX26" s="210">
        <f t="shared" si="31"/>
        <v>22116.438696656045</v>
      </c>
      <c r="CY26" s="210">
        <f t="shared" si="31"/>
        <v>22116.438696656045</v>
      </c>
      <c r="CZ26" s="210">
        <f t="shared" si="31"/>
        <v>22116.438696656045</v>
      </c>
      <c r="DA26" s="210">
        <f t="shared" si="31"/>
        <v>22116.438696656045</v>
      </c>
    </row>
    <row r="27" spans="1:105">
      <c r="A27" s="201" t="str">
        <f>Income!A74</f>
        <v>Animal products consumed</v>
      </c>
      <c r="B27" s="203">
        <f>Income!B74</f>
        <v>600.96174511333197</v>
      </c>
      <c r="C27" s="203">
        <f>Income!C74</f>
        <v>1095.5690994329716</v>
      </c>
      <c r="D27" s="203">
        <f>Income!D74</f>
        <v>1916.6340270102087</v>
      </c>
      <c r="E27" s="203">
        <f>Income!E74</f>
        <v>2192.2857565535119</v>
      </c>
      <c r="F27" s="210">
        <f t="shared" si="22"/>
        <v>600.96174511333197</v>
      </c>
      <c r="G27" s="210">
        <f t="shared" si="22"/>
        <v>600.96174511333197</v>
      </c>
      <c r="H27" s="210">
        <f t="shared" si="22"/>
        <v>600.96174511333197</v>
      </c>
      <c r="I27" s="210">
        <f t="shared" si="22"/>
        <v>600.96174511333197</v>
      </c>
      <c r="J27" s="210">
        <f t="shared" si="22"/>
        <v>600.96174511333197</v>
      </c>
      <c r="K27" s="210">
        <f t="shared" si="22"/>
        <v>600.96174511333197</v>
      </c>
      <c r="L27" s="210">
        <f t="shared" si="22"/>
        <v>600.96174511333197</v>
      </c>
      <c r="M27" s="210">
        <f t="shared" si="22"/>
        <v>600.96174511333197</v>
      </c>
      <c r="N27" s="210">
        <f t="shared" si="22"/>
        <v>600.96174511333197</v>
      </c>
      <c r="O27" s="210">
        <f t="shared" si="22"/>
        <v>600.96174511333197</v>
      </c>
      <c r="P27" s="210">
        <f t="shared" si="23"/>
        <v>600.96174511333197</v>
      </c>
      <c r="Q27" s="210">
        <f t="shared" si="23"/>
        <v>600.96174511333197</v>
      </c>
      <c r="R27" s="210">
        <f t="shared" si="23"/>
        <v>600.96174511333197</v>
      </c>
      <c r="S27" s="210">
        <f t="shared" si="23"/>
        <v>600.96174511333197</v>
      </c>
      <c r="T27" s="210">
        <f t="shared" si="23"/>
        <v>600.96174511333197</v>
      </c>
      <c r="U27" s="210">
        <f t="shared" si="23"/>
        <v>600.96174511333197</v>
      </c>
      <c r="V27" s="210">
        <f t="shared" si="23"/>
        <v>600.96174511333197</v>
      </c>
      <c r="W27" s="210">
        <f t="shared" si="23"/>
        <v>600.96174511333197</v>
      </c>
      <c r="X27" s="210">
        <f t="shared" si="23"/>
        <v>600.96174511333197</v>
      </c>
      <c r="Y27" s="210">
        <f t="shared" si="23"/>
        <v>600.96174511333197</v>
      </c>
      <c r="Z27" s="210">
        <f t="shared" si="24"/>
        <v>604.34946671826106</v>
      </c>
      <c r="AA27" s="210">
        <f t="shared" si="24"/>
        <v>617.90035313797716</v>
      </c>
      <c r="AB27" s="210">
        <f t="shared" si="24"/>
        <v>631.45123955769327</v>
      </c>
      <c r="AC27" s="210">
        <f t="shared" si="24"/>
        <v>645.00212597740949</v>
      </c>
      <c r="AD27" s="210">
        <f t="shared" si="24"/>
        <v>658.5530123971256</v>
      </c>
      <c r="AE27" s="210">
        <f t="shared" si="24"/>
        <v>672.10389881684182</v>
      </c>
      <c r="AF27" s="210">
        <f t="shared" si="24"/>
        <v>685.65478523655793</v>
      </c>
      <c r="AG27" s="210">
        <f t="shared" si="24"/>
        <v>699.20567165627403</v>
      </c>
      <c r="AH27" s="210">
        <f t="shared" si="24"/>
        <v>712.75655807599026</v>
      </c>
      <c r="AI27" s="210">
        <f t="shared" si="24"/>
        <v>726.30744449570636</v>
      </c>
      <c r="AJ27" s="210">
        <f t="shared" si="25"/>
        <v>739.85833091542258</v>
      </c>
      <c r="AK27" s="210">
        <f t="shared" si="25"/>
        <v>753.40921733513869</v>
      </c>
      <c r="AL27" s="210">
        <f t="shared" si="25"/>
        <v>766.9601037548548</v>
      </c>
      <c r="AM27" s="210">
        <f t="shared" si="25"/>
        <v>780.51099017457102</v>
      </c>
      <c r="AN27" s="210">
        <f t="shared" si="25"/>
        <v>794.06187659428713</v>
      </c>
      <c r="AO27" s="210">
        <f t="shared" si="25"/>
        <v>807.61276301400335</v>
      </c>
      <c r="AP27" s="210">
        <f t="shared" si="25"/>
        <v>821.16364943371946</v>
      </c>
      <c r="AQ27" s="210">
        <f t="shared" si="25"/>
        <v>834.71453585343568</v>
      </c>
      <c r="AR27" s="210">
        <f t="shared" si="25"/>
        <v>848.26542227315178</v>
      </c>
      <c r="AS27" s="210">
        <f t="shared" si="25"/>
        <v>861.81630869286801</v>
      </c>
      <c r="AT27" s="210">
        <f t="shared" si="26"/>
        <v>875.36719511258411</v>
      </c>
      <c r="AU27" s="210">
        <f t="shared" si="26"/>
        <v>888.91808153230022</v>
      </c>
      <c r="AV27" s="210">
        <f t="shared" si="26"/>
        <v>902.46896795201633</v>
      </c>
      <c r="AW27" s="210">
        <f t="shared" si="26"/>
        <v>916.01985437173255</v>
      </c>
      <c r="AX27" s="210">
        <f t="shared" si="26"/>
        <v>929.57074079144877</v>
      </c>
      <c r="AY27" s="210">
        <f t="shared" si="26"/>
        <v>943.12162721116488</v>
      </c>
      <c r="AZ27" s="210">
        <f t="shared" si="26"/>
        <v>956.67251363088099</v>
      </c>
      <c r="BA27" s="210">
        <f t="shared" si="26"/>
        <v>970.22340005059721</v>
      </c>
      <c r="BB27" s="210">
        <f t="shared" si="26"/>
        <v>983.77428647031331</v>
      </c>
      <c r="BC27" s="210">
        <f t="shared" si="26"/>
        <v>997.32517289002953</v>
      </c>
      <c r="BD27" s="210">
        <f t="shared" si="27"/>
        <v>1010.8760593097456</v>
      </c>
      <c r="BE27" s="210">
        <f t="shared" si="27"/>
        <v>1024.4269457294617</v>
      </c>
      <c r="BF27" s="210">
        <f t="shared" si="27"/>
        <v>1037.9778321491781</v>
      </c>
      <c r="BG27" s="210">
        <f t="shared" si="27"/>
        <v>1051.528718568894</v>
      </c>
      <c r="BH27" s="210">
        <f t="shared" si="27"/>
        <v>1065.0796049886103</v>
      </c>
      <c r="BI27" s="210">
        <f t="shared" si="27"/>
        <v>1078.6304914083264</v>
      </c>
      <c r="BJ27" s="210">
        <f t="shared" si="27"/>
        <v>1092.1813778280425</v>
      </c>
      <c r="BK27" s="210">
        <f t="shared" si="27"/>
        <v>1120.2010472602888</v>
      </c>
      <c r="BL27" s="210">
        <f t="shared" si="27"/>
        <v>1153.0436443633782</v>
      </c>
      <c r="BM27" s="210">
        <f t="shared" si="27"/>
        <v>1185.8862414664677</v>
      </c>
      <c r="BN27" s="210">
        <f t="shared" si="28"/>
        <v>1218.7288385695572</v>
      </c>
      <c r="BO27" s="210">
        <f t="shared" si="28"/>
        <v>1251.5714356726467</v>
      </c>
      <c r="BP27" s="210">
        <f t="shared" si="28"/>
        <v>1284.4140327757361</v>
      </c>
      <c r="BQ27" s="210">
        <f t="shared" si="28"/>
        <v>1317.2566298788256</v>
      </c>
      <c r="BR27" s="210">
        <f t="shared" si="28"/>
        <v>1350.0992269819151</v>
      </c>
      <c r="BS27" s="210">
        <f t="shared" si="28"/>
        <v>1382.9418240850046</v>
      </c>
      <c r="BT27" s="210">
        <f t="shared" si="28"/>
        <v>1415.784421188094</v>
      </c>
      <c r="BU27" s="210">
        <f t="shared" si="28"/>
        <v>1448.6270182911835</v>
      </c>
      <c r="BV27" s="210">
        <f t="shared" si="28"/>
        <v>1481.469615394273</v>
      </c>
      <c r="BW27" s="210">
        <f t="shared" si="28"/>
        <v>1514.3122124973625</v>
      </c>
      <c r="BX27" s="210">
        <f t="shared" si="29"/>
        <v>1547.1548096004522</v>
      </c>
      <c r="BY27" s="210">
        <f t="shared" si="29"/>
        <v>1579.9974067035414</v>
      </c>
      <c r="BZ27" s="210">
        <f t="shared" si="29"/>
        <v>1612.8400038066311</v>
      </c>
      <c r="CA27" s="210">
        <f t="shared" si="29"/>
        <v>1645.6826009097203</v>
      </c>
      <c r="CB27" s="210">
        <f t="shared" si="29"/>
        <v>1678.5251980128101</v>
      </c>
      <c r="CC27" s="210">
        <f t="shared" si="29"/>
        <v>1711.3677951158993</v>
      </c>
      <c r="CD27" s="210">
        <f t="shared" si="29"/>
        <v>1744.210392218989</v>
      </c>
      <c r="CE27" s="210">
        <f t="shared" si="29"/>
        <v>1777.0529893220782</v>
      </c>
      <c r="CF27" s="210">
        <f t="shared" si="29"/>
        <v>1809.8955864251679</v>
      </c>
      <c r="CG27" s="210">
        <f t="shared" si="29"/>
        <v>1842.7381835282574</v>
      </c>
      <c r="CH27" s="210">
        <f t="shared" si="30"/>
        <v>1875.5807806313469</v>
      </c>
      <c r="CI27" s="210">
        <f t="shared" si="30"/>
        <v>1908.4233777344361</v>
      </c>
      <c r="CJ27" s="210">
        <f t="shared" si="30"/>
        <v>1931.9480119848367</v>
      </c>
      <c r="CK27" s="210">
        <f t="shared" si="30"/>
        <v>1952.3666586176739</v>
      </c>
      <c r="CL27" s="210">
        <f t="shared" si="30"/>
        <v>1972.7853052505111</v>
      </c>
      <c r="CM27" s="210">
        <f t="shared" si="30"/>
        <v>1993.2039518833485</v>
      </c>
      <c r="CN27" s="210">
        <f t="shared" si="30"/>
        <v>2013.6225985161857</v>
      </c>
      <c r="CO27" s="210">
        <f t="shared" si="30"/>
        <v>2034.0412451490231</v>
      </c>
      <c r="CP27" s="210">
        <f t="shared" si="30"/>
        <v>2054.4598917818603</v>
      </c>
      <c r="CQ27" s="210">
        <f t="shared" si="30"/>
        <v>2074.8785384146977</v>
      </c>
      <c r="CR27" s="210">
        <f t="shared" si="31"/>
        <v>2095.2971850475346</v>
      </c>
      <c r="CS27" s="210">
        <f t="shared" si="31"/>
        <v>2115.715831680372</v>
      </c>
      <c r="CT27" s="210">
        <f t="shared" si="31"/>
        <v>2136.1344783132095</v>
      </c>
      <c r="CU27" s="210">
        <f t="shared" si="31"/>
        <v>2156.5531249460464</v>
      </c>
      <c r="CV27" s="210">
        <f t="shared" si="31"/>
        <v>2176.9717715788838</v>
      </c>
      <c r="CW27" s="210">
        <f t="shared" si="31"/>
        <v>2192.2857565535119</v>
      </c>
      <c r="CX27" s="210">
        <f t="shared" si="31"/>
        <v>2192.2857565535119</v>
      </c>
      <c r="CY27" s="210">
        <f t="shared" si="31"/>
        <v>2192.2857565535119</v>
      </c>
      <c r="CZ27" s="210">
        <f t="shared" si="31"/>
        <v>2192.2857565535119</v>
      </c>
      <c r="DA27" s="210">
        <f t="shared" si="31"/>
        <v>2192.2857565535119</v>
      </c>
    </row>
    <row r="28" spans="1:105">
      <c r="A28" s="201" t="str">
        <f>Income!A75</f>
        <v>Animal products sold</v>
      </c>
      <c r="B28" s="203">
        <f>Income!B75</f>
        <v>0</v>
      </c>
      <c r="C28" s="203">
        <f>Income!C75</f>
        <v>0</v>
      </c>
      <c r="D28" s="203">
        <f>Income!D75</f>
        <v>0</v>
      </c>
      <c r="E28" s="203">
        <f>Income!E75</f>
        <v>0</v>
      </c>
      <c r="F28" s="210">
        <f t="shared" si="22"/>
        <v>0</v>
      </c>
      <c r="G28" s="210">
        <f t="shared" si="22"/>
        <v>0</v>
      </c>
      <c r="H28" s="210">
        <f t="shared" si="22"/>
        <v>0</v>
      </c>
      <c r="I28" s="210">
        <f t="shared" si="22"/>
        <v>0</v>
      </c>
      <c r="J28" s="210">
        <f t="shared" si="22"/>
        <v>0</v>
      </c>
      <c r="K28" s="210">
        <f t="shared" si="22"/>
        <v>0</v>
      </c>
      <c r="L28" s="210">
        <f t="shared" si="22"/>
        <v>0</v>
      </c>
      <c r="M28" s="210">
        <f t="shared" si="22"/>
        <v>0</v>
      </c>
      <c r="N28" s="210">
        <f t="shared" si="22"/>
        <v>0</v>
      </c>
      <c r="O28" s="210">
        <f t="shared" si="22"/>
        <v>0</v>
      </c>
      <c r="P28" s="210">
        <f t="shared" si="23"/>
        <v>0</v>
      </c>
      <c r="Q28" s="210">
        <f t="shared" si="23"/>
        <v>0</v>
      </c>
      <c r="R28" s="210">
        <f t="shared" si="23"/>
        <v>0</v>
      </c>
      <c r="S28" s="210">
        <f t="shared" si="23"/>
        <v>0</v>
      </c>
      <c r="T28" s="210">
        <f t="shared" si="23"/>
        <v>0</v>
      </c>
      <c r="U28" s="210">
        <f t="shared" si="23"/>
        <v>0</v>
      </c>
      <c r="V28" s="210">
        <f t="shared" si="23"/>
        <v>0</v>
      </c>
      <c r="W28" s="210">
        <f t="shared" si="23"/>
        <v>0</v>
      </c>
      <c r="X28" s="210">
        <f t="shared" si="23"/>
        <v>0</v>
      </c>
      <c r="Y28" s="210">
        <f t="shared" si="23"/>
        <v>0</v>
      </c>
      <c r="Z28" s="210">
        <f t="shared" si="24"/>
        <v>0</v>
      </c>
      <c r="AA28" s="210">
        <f t="shared" si="24"/>
        <v>0</v>
      </c>
      <c r="AB28" s="210">
        <f t="shared" si="24"/>
        <v>0</v>
      </c>
      <c r="AC28" s="210">
        <f t="shared" si="24"/>
        <v>0</v>
      </c>
      <c r="AD28" s="210">
        <f t="shared" si="24"/>
        <v>0</v>
      </c>
      <c r="AE28" s="210">
        <f t="shared" si="24"/>
        <v>0</v>
      </c>
      <c r="AF28" s="210">
        <f t="shared" si="24"/>
        <v>0</v>
      </c>
      <c r="AG28" s="210">
        <f t="shared" si="24"/>
        <v>0</v>
      </c>
      <c r="AH28" s="210">
        <f t="shared" si="24"/>
        <v>0</v>
      </c>
      <c r="AI28" s="210">
        <f t="shared" si="24"/>
        <v>0</v>
      </c>
      <c r="AJ28" s="210">
        <f t="shared" si="25"/>
        <v>0</v>
      </c>
      <c r="AK28" s="210">
        <f t="shared" si="25"/>
        <v>0</v>
      </c>
      <c r="AL28" s="210">
        <f t="shared" si="25"/>
        <v>0</v>
      </c>
      <c r="AM28" s="210">
        <f t="shared" si="25"/>
        <v>0</v>
      </c>
      <c r="AN28" s="210">
        <f t="shared" si="25"/>
        <v>0</v>
      </c>
      <c r="AO28" s="210">
        <f t="shared" si="25"/>
        <v>0</v>
      </c>
      <c r="AP28" s="210">
        <f t="shared" si="25"/>
        <v>0</v>
      </c>
      <c r="AQ28" s="210">
        <f t="shared" si="25"/>
        <v>0</v>
      </c>
      <c r="AR28" s="210">
        <f t="shared" si="25"/>
        <v>0</v>
      </c>
      <c r="AS28" s="210">
        <f t="shared" si="25"/>
        <v>0</v>
      </c>
      <c r="AT28" s="210">
        <f t="shared" si="26"/>
        <v>0</v>
      </c>
      <c r="AU28" s="210">
        <f t="shared" si="26"/>
        <v>0</v>
      </c>
      <c r="AV28" s="210">
        <f t="shared" si="26"/>
        <v>0</v>
      </c>
      <c r="AW28" s="210">
        <f t="shared" si="26"/>
        <v>0</v>
      </c>
      <c r="AX28" s="210">
        <f t="shared" si="26"/>
        <v>0</v>
      </c>
      <c r="AY28" s="210">
        <f t="shared" si="26"/>
        <v>0</v>
      </c>
      <c r="AZ28" s="210">
        <f t="shared" si="26"/>
        <v>0</v>
      </c>
      <c r="BA28" s="210">
        <f t="shared" si="26"/>
        <v>0</v>
      </c>
      <c r="BB28" s="210">
        <f t="shared" si="26"/>
        <v>0</v>
      </c>
      <c r="BC28" s="210">
        <f t="shared" si="26"/>
        <v>0</v>
      </c>
      <c r="BD28" s="210">
        <f t="shared" si="27"/>
        <v>0</v>
      </c>
      <c r="BE28" s="210">
        <f t="shared" si="27"/>
        <v>0</v>
      </c>
      <c r="BF28" s="210">
        <f t="shared" si="27"/>
        <v>0</v>
      </c>
      <c r="BG28" s="210">
        <f t="shared" si="27"/>
        <v>0</v>
      </c>
      <c r="BH28" s="210">
        <f t="shared" si="27"/>
        <v>0</v>
      </c>
      <c r="BI28" s="210">
        <f t="shared" si="27"/>
        <v>0</v>
      </c>
      <c r="BJ28" s="210">
        <f t="shared" si="27"/>
        <v>0</v>
      </c>
      <c r="BK28" s="210">
        <f t="shared" si="27"/>
        <v>0</v>
      </c>
      <c r="BL28" s="210">
        <f t="shared" si="27"/>
        <v>0</v>
      </c>
      <c r="BM28" s="210">
        <f t="shared" si="27"/>
        <v>0</v>
      </c>
      <c r="BN28" s="210">
        <f t="shared" si="28"/>
        <v>0</v>
      </c>
      <c r="BO28" s="210">
        <f t="shared" si="28"/>
        <v>0</v>
      </c>
      <c r="BP28" s="210">
        <f t="shared" si="28"/>
        <v>0</v>
      </c>
      <c r="BQ28" s="210">
        <f t="shared" si="28"/>
        <v>0</v>
      </c>
      <c r="BR28" s="210">
        <f t="shared" si="28"/>
        <v>0</v>
      </c>
      <c r="BS28" s="210">
        <f t="shared" si="28"/>
        <v>0</v>
      </c>
      <c r="BT28" s="210">
        <f t="shared" si="28"/>
        <v>0</v>
      </c>
      <c r="BU28" s="210">
        <f t="shared" si="28"/>
        <v>0</v>
      </c>
      <c r="BV28" s="210">
        <f t="shared" si="28"/>
        <v>0</v>
      </c>
      <c r="BW28" s="210">
        <f t="shared" si="28"/>
        <v>0</v>
      </c>
      <c r="BX28" s="210">
        <f t="shared" si="29"/>
        <v>0</v>
      </c>
      <c r="BY28" s="210">
        <f t="shared" si="29"/>
        <v>0</v>
      </c>
      <c r="BZ28" s="210">
        <f t="shared" si="29"/>
        <v>0</v>
      </c>
      <c r="CA28" s="210">
        <f t="shared" si="29"/>
        <v>0</v>
      </c>
      <c r="CB28" s="210">
        <f t="shared" si="29"/>
        <v>0</v>
      </c>
      <c r="CC28" s="210">
        <f t="shared" si="29"/>
        <v>0</v>
      </c>
      <c r="CD28" s="210">
        <f t="shared" si="29"/>
        <v>0</v>
      </c>
      <c r="CE28" s="210">
        <f t="shared" si="29"/>
        <v>0</v>
      </c>
      <c r="CF28" s="210">
        <f t="shared" si="29"/>
        <v>0</v>
      </c>
      <c r="CG28" s="210">
        <f t="shared" si="29"/>
        <v>0</v>
      </c>
      <c r="CH28" s="210">
        <f t="shared" si="30"/>
        <v>0</v>
      </c>
      <c r="CI28" s="210">
        <f t="shared" si="30"/>
        <v>0</v>
      </c>
      <c r="CJ28" s="210">
        <f t="shared" si="30"/>
        <v>0</v>
      </c>
      <c r="CK28" s="210">
        <f t="shared" si="30"/>
        <v>0</v>
      </c>
      <c r="CL28" s="210">
        <f t="shared" si="30"/>
        <v>0</v>
      </c>
      <c r="CM28" s="210">
        <f t="shared" si="30"/>
        <v>0</v>
      </c>
      <c r="CN28" s="210">
        <f t="shared" si="30"/>
        <v>0</v>
      </c>
      <c r="CO28" s="210">
        <f t="shared" si="30"/>
        <v>0</v>
      </c>
      <c r="CP28" s="210">
        <f t="shared" si="30"/>
        <v>0</v>
      </c>
      <c r="CQ28" s="210">
        <f t="shared" si="30"/>
        <v>0</v>
      </c>
      <c r="CR28" s="210">
        <f t="shared" si="31"/>
        <v>0</v>
      </c>
      <c r="CS28" s="210">
        <f t="shared" si="31"/>
        <v>0</v>
      </c>
      <c r="CT28" s="210">
        <f t="shared" si="31"/>
        <v>0</v>
      </c>
      <c r="CU28" s="210">
        <f t="shared" si="31"/>
        <v>0</v>
      </c>
      <c r="CV28" s="210">
        <f t="shared" si="31"/>
        <v>0</v>
      </c>
      <c r="CW28" s="210">
        <f t="shared" si="31"/>
        <v>0</v>
      </c>
      <c r="CX28" s="210">
        <f t="shared" si="31"/>
        <v>0</v>
      </c>
      <c r="CY28" s="210">
        <f t="shared" si="31"/>
        <v>0</v>
      </c>
      <c r="CZ28" s="210">
        <f t="shared" si="31"/>
        <v>0</v>
      </c>
      <c r="DA28" s="210">
        <f t="shared" si="31"/>
        <v>0</v>
      </c>
    </row>
    <row r="29" spans="1:105">
      <c r="A29" s="201" t="str">
        <f>Income!A76</f>
        <v>Animals sold</v>
      </c>
      <c r="B29" s="203">
        <f>Income!B76</f>
        <v>3045.4403600511423</v>
      </c>
      <c r="C29" s="203">
        <f>Income!C76</f>
        <v>10048.517627056288</v>
      </c>
      <c r="D29" s="203">
        <f>Income!D76</f>
        <v>21797.091177278024</v>
      </c>
      <c r="E29" s="203">
        <f>Income!E76</f>
        <v>31324.70731659016</v>
      </c>
      <c r="F29" s="210">
        <f t="shared" si="22"/>
        <v>3045.4403600511423</v>
      </c>
      <c r="G29" s="210">
        <f t="shared" si="22"/>
        <v>3045.4403600511423</v>
      </c>
      <c r="H29" s="210">
        <f t="shared" si="22"/>
        <v>3045.4403600511423</v>
      </c>
      <c r="I29" s="210">
        <f t="shared" si="22"/>
        <v>3045.4403600511423</v>
      </c>
      <c r="J29" s="210">
        <f t="shared" si="22"/>
        <v>3045.4403600511423</v>
      </c>
      <c r="K29" s="210">
        <f t="shared" si="22"/>
        <v>3045.4403600511423</v>
      </c>
      <c r="L29" s="210">
        <f t="shared" si="22"/>
        <v>3045.4403600511423</v>
      </c>
      <c r="M29" s="210">
        <f t="shared" si="22"/>
        <v>3045.4403600511423</v>
      </c>
      <c r="N29" s="210">
        <f t="shared" si="22"/>
        <v>3045.4403600511423</v>
      </c>
      <c r="O29" s="210">
        <f t="shared" si="22"/>
        <v>3045.4403600511423</v>
      </c>
      <c r="P29" s="210">
        <f t="shared" si="23"/>
        <v>3045.4403600511423</v>
      </c>
      <c r="Q29" s="210">
        <f t="shared" si="23"/>
        <v>3045.4403600511423</v>
      </c>
      <c r="R29" s="210">
        <f t="shared" si="23"/>
        <v>3045.4403600511423</v>
      </c>
      <c r="S29" s="210">
        <f t="shared" si="23"/>
        <v>3045.4403600511423</v>
      </c>
      <c r="T29" s="210">
        <f t="shared" si="23"/>
        <v>3045.4403600511423</v>
      </c>
      <c r="U29" s="210">
        <f t="shared" si="23"/>
        <v>3045.4403600511423</v>
      </c>
      <c r="V29" s="210">
        <f t="shared" si="23"/>
        <v>3045.4403600511423</v>
      </c>
      <c r="W29" s="210">
        <f t="shared" si="23"/>
        <v>3045.4403600511423</v>
      </c>
      <c r="X29" s="210">
        <f t="shared" si="23"/>
        <v>3045.4403600511423</v>
      </c>
      <c r="Y29" s="210">
        <f t="shared" si="23"/>
        <v>3045.4403600511423</v>
      </c>
      <c r="Z29" s="210">
        <f t="shared" si="24"/>
        <v>3093.4066427018624</v>
      </c>
      <c r="AA29" s="210">
        <f t="shared" si="24"/>
        <v>3285.271773304743</v>
      </c>
      <c r="AB29" s="210">
        <f t="shared" si="24"/>
        <v>3477.1369039076239</v>
      </c>
      <c r="AC29" s="210">
        <f t="shared" si="24"/>
        <v>3669.0020345105045</v>
      </c>
      <c r="AD29" s="210">
        <f t="shared" si="24"/>
        <v>3860.8671651133855</v>
      </c>
      <c r="AE29" s="210">
        <f t="shared" si="24"/>
        <v>4052.732295716266</v>
      </c>
      <c r="AF29" s="210">
        <f t="shared" si="24"/>
        <v>4244.5974263191465</v>
      </c>
      <c r="AG29" s="210">
        <f t="shared" si="24"/>
        <v>4436.462556922027</v>
      </c>
      <c r="AH29" s="210">
        <f t="shared" si="24"/>
        <v>4628.3276875249085</v>
      </c>
      <c r="AI29" s="210">
        <f t="shared" si="24"/>
        <v>4820.192818127789</v>
      </c>
      <c r="AJ29" s="210">
        <f t="shared" si="25"/>
        <v>5012.0579487306695</v>
      </c>
      <c r="AK29" s="210">
        <f t="shared" si="25"/>
        <v>5203.92307933355</v>
      </c>
      <c r="AL29" s="210">
        <f t="shared" si="25"/>
        <v>5395.7882099364306</v>
      </c>
      <c r="AM29" s="210">
        <f t="shared" si="25"/>
        <v>5587.6533405393111</v>
      </c>
      <c r="AN29" s="210">
        <f t="shared" si="25"/>
        <v>5779.5184711421925</v>
      </c>
      <c r="AO29" s="210">
        <f t="shared" si="25"/>
        <v>5971.3836017450731</v>
      </c>
      <c r="AP29" s="210">
        <f t="shared" si="25"/>
        <v>6163.2487323479545</v>
      </c>
      <c r="AQ29" s="210">
        <f t="shared" si="25"/>
        <v>6355.1138629508341</v>
      </c>
      <c r="AR29" s="210">
        <f t="shared" si="25"/>
        <v>6546.9789935537156</v>
      </c>
      <c r="AS29" s="210">
        <f t="shared" si="25"/>
        <v>6738.8441241565961</v>
      </c>
      <c r="AT29" s="210">
        <f t="shared" si="26"/>
        <v>6930.7092547594766</v>
      </c>
      <c r="AU29" s="210">
        <f t="shared" si="26"/>
        <v>7122.5743853623571</v>
      </c>
      <c r="AV29" s="210">
        <f t="shared" si="26"/>
        <v>7314.4395159652386</v>
      </c>
      <c r="AW29" s="210">
        <f t="shared" si="26"/>
        <v>7506.3046465681191</v>
      </c>
      <c r="AX29" s="210">
        <f t="shared" si="26"/>
        <v>7698.1697771709996</v>
      </c>
      <c r="AY29" s="210">
        <f t="shared" si="26"/>
        <v>7890.0349077738801</v>
      </c>
      <c r="AZ29" s="210">
        <f t="shared" si="26"/>
        <v>8081.9000383767607</v>
      </c>
      <c r="BA29" s="210">
        <f t="shared" si="26"/>
        <v>8273.7651689796403</v>
      </c>
      <c r="BB29" s="210">
        <f t="shared" si="26"/>
        <v>8465.6302995825208</v>
      </c>
      <c r="BC29" s="210">
        <f t="shared" si="26"/>
        <v>8657.4954301854013</v>
      </c>
      <c r="BD29" s="210">
        <f t="shared" si="27"/>
        <v>8849.3605607882837</v>
      </c>
      <c r="BE29" s="210">
        <f t="shared" si="27"/>
        <v>9041.2256913911642</v>
      </c>
      <c r="BF29" s="210">
        <f t="shared" si="27"/>
        <v>9233.0908219940447</v>
      </c>
      <c r="BG29" s="210">
        <f t="shared" si="27"/>
        <v>9424.9559525969271</v>
      </c>
      <c r="BH29" s="210">
        <f t="shared" si="27"/>
        <v>9616.8210831998076</v>
      </c>
      <c r="BI29" s="210">
        <f t="shared" si="27"/>
        <v>9808.6862138026881</v>
      </c>
      <c r="BJ29" s="210">
        <f t="shared" si="27"/>
        <v>10000.551344405569</v>
      </c>
      <c r="BK29" s="210">
        <f t="shared" si="27"/>
        <v>10400.974833562939</v>
      </c>
      <c r="BL29" s="210">
        <f t="shared" si="27"/>
        <v>10870.91777557181</v>
      </c>
      <c r="BM29" s="210">
        <f t="shared" si="27"/>
        <v>11340.860717580679</v>
      </c>
      <c r="BN29" s="210">
        <f t="shared" si="28"/>
        <v>11810.803659589548</v>
      </c>
      <c r="BO29" s="210">
        <f t="shared" si="28"/>
        <v>12280.746601598417</v>
      </c>
      <c r="BP29" s="210">
        <f t="shared" si="28"/>
        <v>12750.689543607286</v>
      </c>
      <c r="BQ29" s="210">
        <f t="shared" si="28"/>
        <v>13220.632485616157</v>
      </c>
      <c r="BR29" s="210">
        <f t="shared" si="28"/>
        <v>13690.575427625026</v>
      </c>
      <c r="BS29" s="210">
        <f t="shared" si="28"/>
        <v>14160.518369633895</v>
      </c>
      <c r="BT29" s="210">
        <f t="shared" si="28"/>
        <v>14630.461311642764</v>
      </c>
      <c r="BU29" s="210">
        <f t="shared" si="28"/>
        <v>15100.404253651635</v>
      </c>
      <c r="BV29" s="210">
        <f t="shared" si="28"/>
        <v>15570.347195660503</v>
      </c>
      <c r="BW29" s="210">
        <f t="shared" si="28"/>
        <v>16040.290137669374</v>
      </c>
      <c r="BX29" s="210">
        <f t="shared" si="29"/>
        <v>16510.233079678244</v>
      </c>
      <c r="BY29" s="210">
        <f t="shared" si="29"/>
        <v>16980.176021687112</v>
      </c>
      <c r="BZ29" s="210">
        <f t="shared" si="29"/>
        <v>17450.118963695983</v>
      </c>
      <c r="CA29" s="210">
        <f t="shared" si="29"/>
        <v>17920.06190570485</v>
      </c>
      <c r="CB29" s="210">
        <f t="shared" si="29"/>
        <v>18390.004847713721</v>
      </c>
      <c r="CC29" s="210">
        <f t="shared" si="29"/>
        <v>18859.947789722588</v>
      </c>
      <c r="CD29" s="210">
        <f t="shared" si="29"/>
        <v>19329.890731731459</v>
      </c>
      <c r="CE29" s="210">
        <f t="shared" si="29"/>
        <v>19799.83367374033</v>
      </c>
      <c r="CF29" s="210">
        <f t="shared" si="29"/>
        <v>20269.776615749201</v>
      </c>
      <c r="CG29" s="210">
        <f t="shared" si="29"/>
        <v>20739.719557758068</v>
      </c>
      <c r="CH29" s="210">
        <f t="shared" si="30"/>
        <v>21209.662499766935</v>
      </c>
      <c r="CI29" s="210">
        <f t="shared" si="30"/>
        <v>21679.605441775806</v>
      </c>
      <c r="CJ29" s="210">
        <f t="shared" si="30"/>
        <v>22326.403185017585</v>
      </c>
      <c r="CK29" s="210">
        <f t="shared" si="30"/>
        <v>23032.152528670336</v>
      </c>
      <c r="CL29" s="210">
        <f t="shared" si="30"/>
        <v>23737.901872323087</v>
      </c>
      <c r="CM29" s="210">
        <f t="shared" si="30"/>
        <v>24443.651215975839</v>
      </c>
      <c r="CN29" s="210">
        <f t="shared" si="30"/>
        <v>25149.40055962859</v>
      </c>
      <c r="CO29" s="210">
        <f t="shared" si="30"/>
        <v>25855.149903281341</v>
      </c>
      <c r="CP29" s="210">
        <f t="shared" si="30"/>
        <v>26560.899246934092</v>
      </c>
      <c r="CQ29" s="210">
        <f t="shared" si="30"/>
        <v>27266.648590586843</v>
      </c>
      <c r="CR29" s="210">
        <f t="shared" si="31"/>
        <v>27972.397934239594</v>
      </c>
      <c r="CS29" s="210">
        <f t="shared" si="31"/>
        <v>28678.147277892345</v>
      </c>
      <c r="CT29" s="210">
        <f t="shared" si="31"/>
        <v>29383.896621545096</v>
      </c>
      <c r="CU29" s="210">
        <f t="shared" si="31"/>
        <v>30089.645965197844</v>
      </c>
      <c r="CV29" s="210">
        <f t="shared" si="31"/>
        <v>30795.395308850595</v>
      </c>
      <c r="CW29" s="210">
        <f t="shared" si="31"/>
        <v>31324.70731659016</v>
      </c>
      <c r="CX29" s="210">
        <f t="shared" si="31"/>
        <v>31324.70731659016</v>
      </c>
      <c r="CY29" s="210">
        <f t="shared" si="31"/>
        <v>31324.70731659016</v>
      </c>
      <c r="CZ29" s="210">
        <f t="shared" si="31"/>
        <v>31324.70731659016</v>
      </c>
      <c r="DA29" s="210">
        <f t="shared" si="31"/>
        <v>31324.70731659016</v>
      </c>
    </row>
    <row r="30" spans="1:105">
      <c r="A30" s="201" t="str">
        <f>Income!A77</f>
        <v>Wild foods consumed and sold</v>
      </c>
      <c r="B30" s="203">
        <f>Income!B77</f>
        <v>0</v>
      </c>
      <c r="C30" s="203">
        <f>Income!C77</f>
        <v>121.2080495528232</v>
      </c>
      <c r="D30" s="203">
        <f>Income!D77</f>
        <v>85.117058498518091</v>
      </c>
      <c r="E30" s="203">
        <f>Income!E77</f>
        <v>0</v>
      </c>
      <c r="F30" s="210">
        <f t="shared" si="22"/>
        <v>0</v>
      </c>
      <c r="G30" s="210">
        <f t="shared" si="22"/>
        <v>0</v>
      </c>
      <c r="H30" s="210">
        <f t="shared" si="22"/>
        <v>0</v>
      </c>
      <c r="I30" s="210">
        <f t="shared" si="22"/>
        <v>0</v>
      </c>
      <c r="J30" s="210">
        <f t="shared" si="22"/>
        <v>0</v>
      </c>
      <c r="K30" s="210">
        <f t="shared" si="22"/>
        <v>0</v>
      </c>
      <c r="L30" s="210">
        <f t="shared" si="22"/>
        <v>0</v>
      </c>
      <c r="M30" s="210">
        <f t="shared" si="22"/>
        <v>0</v>
      </c>
      <c r="N30" s="210">
        <f t="shared" si="22"/>
        <v>0</v>
      </c>
      <c r="O30" s="210">
        <f t="shared" si="22"/>
        <v>0</v>
      </c>
      <c r="P30" s="210">
        <f t="shared" si="23"/>
        <v>0</v>
      </c>
      <c r="Q30" s="210">
        <f t="shared" si="23"/>
        <v>0</v>
      </c>
      <c r="R30" s="210">
        <f t="shared" si="23"/>
        <v>0</v>
      </c>
      <c r="S30" s="210">
        <f t="shared" si="23"/>
        <v>0</v>
      </c>
      <c r="T30" s="210">
        <f t="shared" si="23"/>
        <v>0</v>
      </c>
      <c r="U30" s="210">
        <f t="shared" si="23"/>
        <v>0</v>
      </c>
      <c r="V30" s="210">
        <f t="shared" si="23"/>
        <v>0</v>
      </c>
      <c r="W30" s="210">
        <f t="shared" si="23"/>
        <v>0</v>
      </c>
      <c r="X30" s="210">
        <f t="shared" si="23"/>
        <v>0</v>
      </c>
      <c r="Y30" s="210">
        <f t="shared" si="23"/>
        <v>0</v>
      </c>
      <c r="Z30" s="210">
        <f t="shared" si="24"/>
        <v>0.83019212022481648</v>
      </c>
      <c r="AA30" s="210">
        <f t="shared" si="24"/>
        <v>4.1509606011240816</v>
      </c>
      <c r="AB30" s="210">
        <f t="shared" si="24"/>
        <v>7.4717290820233471</v>
      </c>
      <c r="AC30" s="210">
        <f t="shared" si="24"/>
        <v>10.792497562922614</v>
      </c>
      <c r="AD30" s="210">
        <f t="shared" si="24"/>
        <v>14.113266043821879</v>
      </c>
      <c r="AE30" s="210">
        <f t="shared" si="24"/>
        <v>17.434034524721145</v>
      </c>
      <c r="AF30" s="210">
        <f t="shared" si="24"/>
        <v>20.75480300562041</v>
      </c>
      <c r="AG30" s="210">
        <f t="shared" si="24"/>
        <v>24.075571486519678</v>
      </c>
      <c r="AH30" s="210">
        <f t="shared" si="24"/>
        <v>27.396339967418939</v>
      </c>
      <c r="AI30" s="210">
        <f t="shared" si="24"/>
        <v>30.717108448318207</v>
      </c>
      <c r="AJ30" s="210">
        <f t="shared" si="25"/>
        <v>34.037876929217475</v>
      </c>
      <c r="AK30" s="210">
        <f t="shared" si="25"/>
        <v>37.358645410116743</v>
      </c>
      <c r="AL30" s="210">
        <f t="shared" si="25"/>
        <v>40.679413891016004</v>
      </c>
      <c r="AM30" s="210">
        <f t="shared" si="25"/>
        <v>44.000182371915265</v>
      </c>
      <c r="AN30" s="210">
        <f t="shared" si="25"/>
        <v>47.320950852814534</v>
      </c>
      <c r="AO30" s="210">
        <f t="shared" si="25"/>
        <v>50.641719333713802</v>
      </c>
      <c r="AP30" s="210">
        <f t="shared" si="25"/>
        <v>53.96248781461307</v>
      </c>
      <c r="AQ30" s="210">
        <f t="shared" si="25"/>
        <v>57.283256295512331</v>
      </c>
      <c r="AR30" s="210">
        <f t="shared" si="25"/>
        <v>60.604024776411606</v>
      </c>
      <c r="AS30" s="210">
        <f t="shared" si="25"/>
        <v>63.924793257310867</v>
      </c>
      <c r="AT30" s="210">
        <f t="shared" si="26"/>
        <v>67.245561738210128</v>
      </c>
      <c r="AU30" s="210">
        <f t="shared" si="26"/>
        <v>70.566330219109403</v>
      </c>
      <c r="AV30" s="210">
        <f t="shared" si="26"/>
        <v>73.887098700008664</v>
      </c>
      <c r="AW30" s="210">
        <f t="shared" si="26"/>
        <v>77.207867180907925</v>
      </c>
      <c r="AX30" s="210">
        <f t="shared" si="26"/>
        <v>80.528635661807186</v>
      </c>
      <c r="AY30" s="210">
        <f t="shared" si="26"/>
        <v>83.849404142706462</v>
      </c>
      <c r="AZ30" s="210">
        <f t="shared" si="26"/>
        <v>87.170172623605723</v>
      </c>
      <c r="BA30" s="210">
        <f t="shared" si="26"/>
        <v>90.490941104504984</v>
      </c>
      <c r="BB30" s="210">
        <f t="shared" si="26"/>
        <v>93.811709585404259</v>
      </c>
      <c r="BC30" s="210">
        <f t="shared" si="26"/>
        <v>97.13247806630352</v>
      </c>
      <c r="BD30" s="210">
        <f t="shared" si="27"/>
        <v>100.4532465472028</v>
      </c>
      <c r="BE30" s="210">
        <f t="shared" si="27"/>
        <v>103.77401502810206</v>
      </c>
      <c r="BF30" s="210">
        <f t="shared" si="27"/>
        <v>107.09478350900132</v>
      </c>
      <c r="BG30" s="210">
        <f t="shared" si="27"/>
        <v>110.41555198990059</v>
      </c>
      <c r="BH30" s="210">
        <f t="shared" si="27"/>
        <v>113.73632047079985</v>
      </c>
      <c r="BI30" s="210">
        <f t="shared" si="27"/>
        <v>117.05708895169911</v>
      </c>
      <c r="BJ30" s="210">
        <f t="shared" si="27"/>
        <v>120.37785743259838</v>
      </c>
      <c r="BK30" s="210">
        <f t="shared" si="27"/>
        <v>120.12531982119404</v>
      </c>
      <c r="BL30" s="210">
        <f t="shared" si="27"/>
        <v>118.68168017902184</v>
      </c>
      <c r="BM30" s="210">
        <f t="shared" si="27"/>
        <v>117.23804053684964</v>
      </c>
      <c r="BN30" s="210">
        <f t="shared" si="28"/>
        <v>115.79440089467744</v>
      </c>
      <c r="BO30" s="210">
        <f t="shared" si="28"/>
        <v>114.35076125250522</v>
      </c>
      <c r="BP30" s="210">
        <f t="shared" si="28"/>
        <v>112.90712161033302</v>
      </c>
      <c r="BQ30" s="210">
        <f t="shared" si="28"/>
        <v>111.46348196816082</v>
      </c>
      <c r="BR30" s="210">
        <f t="shared" si="28"/>
        <v>110.01984232598862</v>
      </c>
      <c r="BS30" s="210">
        <f t="shared" si="28"/>
        <v>108.5762026838164</v>
      </c>
      <c r="BT30" s="210">
        <f t="shared" si="28"/>
        <v>107.1325630416442</v>
      </c>
      <c r="BU30" s="210">
        <f t="shared" si="28"/>
        <v>105.688923399472</v>
      </c>
      <c r="BV30" s="210">
        <f t="shared" si="28"/>
        <v>104.2452837572998</v>
      </c>
      <c r="BW30" s="210">
        <f t="shared" si="28"/>
        <v>102.8016441151276</v>
      </c>
      <c r="BX30" s="210">
        <f t="shared" si="29"/>
        <v>101.35800447295539</v>
      </c>
      <c r="BY30" s="210">
        <f t="shared" si="29"/>
        <v>99.914364830783185</v>
      </c>
      <c r="BZ30" s="210">
        <f t="shared" si="29"/>
        <v>98.470725188610984</v>
      </c>
      <c r="CA30" s="210">
        <f t="shared" si="29"/>
        <v>97.027085546438769</v>
      </c>
      <c r="CB30" s="210">
        <f t="shared" si="29"/>
        <v>95.583445904266569</v>
      </c>
      <c r="CC30" s="210">
        <f t="shared" si="29"/>
        <v>94.139806262094368</v>
      </c>
      <c r="CD30" s="210">
        <f t="shared" si="29"/>
        <v>92.696166619922167</v>
      </c>
      <c r="CE30" s="210">
        <f t="shared" si="29"/>
        <v>91.252526977749966</v>
      </c>
      <c r="CF30" s="210">
        <f t="shared" si="29"/>
        <v>89.808887335577751</v>
      </c>
      <c r="CG30" s="210">
        <f t="shared" si="29"/>
        <v>88.36524769340555</v>
      </c>
      <c r="CH30" s="210">
        <f t="shared" si="30"/>
        <v>86.921608051233349</v>
      </c>
      <c r="CI30" s="210">
        <f t="shared" si="30"/>
        <v>85.477968409061134</v>
      </c>
      <c r="CJ30" s="210">
        <f t="shared" si="30"/>
        <v>80.388333026378191</v>
      </c>
      <c r="CK30" s="210">
        <f t="shared" si="30"/>
        <v>74.083365730191673</v>
      </c>
      <c r="CL30" s="210">
        <f t="shared" si="30"/>
        <v>67.77839843400514</v>
      </c>
      <c r="CM30" s="210">
        <f t="shared" si="30"/>
        <v>61.473431137818622</v>
      </c>
      <c r="CN30" s="210">
        <f t="shared" si="30"/>
        <v>55.168463841632089</v>
      </c>
      <c r="CO30" s="210">
        <f t="shared" si="30"/>
        <v>48.863496545445571</v>
      </c>
      <c r="CP30" s="210">
        <f t="shared" si="30"/>
        <v>42.558529249259045</v>
      </c>
      <c r="CQ30" s="210">
        <f t="shared" si="30"/>
        <v>36.25356195307252</v>
      </c>
      <c r="CR30" s="210">
        <f t="shared" si="31"/>
        <v>29.948594656885994</v>
      </c>
      <c r="CS30" s="210">
        <f t="shared" si="31"/>
        <v>23.643627360699469</v>
      </c>
      <c r="CT30" s="210">
        <f t="shared" si="31"/>
        <v>17.33866006451295</v>
      </c>
      <c r="CU30" s="210">
        <f t="shared" si="31"/>
        <v>11.033692768326418</v>
      </c>
      <c r="CV30" s="210">
        <f t="shared" si="31"/>
        <v>4.7287254721398853</v>
      </c>
      <c r="CW30" s="210">
        <f t="shared" si="31"/>
        <v>0</v>
      </c>
      <c r="CX30" s="210">
        <f t="shared" si="31"/>
        <v>0</v>
      </c>
      <c r="CY30" s="210">
        <f t="shared" si="31"/>
        <v>0</v>
      </c>
      <c r="CZ30" s="210">
        <f t="shared" si="31"/>
        <v>0</v>
      </c>
      <c r="DA30" s="210">
        <f t="shared" si="31"/>
        <v>0</v>
      </c>
    </row>
    <row r="31" spans="1:105">
      <c r="A31" s="201" t="str">
        <f>Income!A78</f>
        <v>Labour - casual</v>
      </c>
      <c r="B31" s="203">
        <f>Income!B78</f>
        <v>5317.1555759881148</v>
      </c>
      <c r="C31" s="203">
        <f>Income!C78</f>
        <v>2477.3683198261147</v>
      </c>
      <c r="D31" s="203">
        <f>Income!D78</f>
        <v>59625.591349457311</v>
      </c>
      <c r="E31" s="203">
        <f>Income!E78</f>
        <v>0</v>
      </c>
      <c r="F31" s="210">
        <f t="shared" si="22"/>
        <v>5317.1555759881148</v>
      </c>
      <c r="G31" s="210">
        <f t="shared" si="22"/>
        <v>5317.1555759881148</v>
      </c>
      <c r="H31" s="210">
        <f t="shared" si="22"/>
        <v>5317.1555759881148</v>
      </c>
      <c r="I31" s="210">
        <f t="shared" si="22"/>
        <v>5317.1555759881148</v>
      </c>
      <c r="J31" s="210">
        <f t="shared" si="22"/>
        <v>5317.1555759881148</v>
      </c>
      <c r="K31" s="210">
        <f t="shared" si="22"/>
        <v>5317.1555759881148</v>
      </c>
      <c r="L31" s="210">
        <f t="shared" si="22"/>
        <v>5317.1555759881148</v>
      </c>
      <c r="M31" s="210">
        <f t="shared" si="22"/>
        <v>5317.1555759881148</v>
      </c>
      <c r="N31" s="210">
        <f t="shared" si="22"/>
        <v>5317.1555759881148</v>
      </c>
      <c r="O31" s="210">
        <f t="shared" si="22"/>
        <v>5317.1555759881148</v>
      </c>
      <c r="P31" s="210">
        <f t="shared" si="23"/>
        <v>5317.1555759881148</v>
      </c>
      <c r="Q31" s="210">
        <f t="shared" si="23"/>
        <v>5317.1555759881148</v>
      </c>
      <c r="R31" s="210">
        <f t="shared" si="23"/>
        <v>5317.1555759881148</v>
      </c>
      <c r="S31" s="210">
        <f t="shared" si="23"/>
        <v>5317.1555759881148</v>
      </c>
      <c r="T31" s="210">
        <f t="shared" si="23"/>
        <v>5317.1555759881148</v>
      </c>
      <c r="U31" s="210">
        <f t="shared" si="23"/>
        <v>5317.1555759881148</v>
      </c>
      <c r="V31" s="210">
        <f t="shared" si="23"/>
        <v>5317.1555759881148</v>
      </c>
      <c r="W31" s="210">
        <f t="shared" si="23"/>
        <v>5317.1555759881148</v>
      </c>
      <c r="X31" s="210">
        <f t="shared" si="23"/>
        <v>5317.1555759881148</v>
      </c>
      <c r="Y31" s="210">
        <f t="shared" si="23"/>
        <v>5317.1555759881148</v>
      </c>
      <c r="Z31" s="210">
        <f t="shared" si="24"/>
        <v>5297.7049783431694</v>
      </c>
      <c r="AA31" s="210">
        <f t="shared" si="24"/>
        <v>5219.9025877633885</v>
      </c>
      <c r="AB31" s="210">
        <f t="shared" si="24"/>
        <v>5142.1001971836076</v>
      </c>
      <c r="AC31" s="210">
        <f t="shared" si="24"/>
        <v>5064.2978066038268</v>
      </c>
      <c r="AD31" s="210">
        <f t="shared" si="24"/>
        <v>4986.4954160240459</v>
      </c>
      <c r="AE31" s="210">
        <f t="shared" si="24"/>
        <v>4908.6930254442659</v>
      </c>
      <c r="AF31" s="210">
        <f t="shared" si="24"/>
        <v>4830.890634864485</v>
      </c>
      <c r="AG31" s="210">
        <f t="shared" si="24"/>
        <v>4753.0882442847042</v>
      </c>
      <c r="AH31" s="210">
        <f t="shared" si="24"/>
        <v>4675.2858537049233</v>
      </c>
      <c r="AI31" s="210">
        <f t="shared" si="24"/>
        <v>4597.4834631251424</v>
      </c>
      <c r="AJ31" s="210">
        <f t="shared" si="25"/>
        <v>4519.6810725453615</v>
      </c>
      <c r="AK31" s="210">
        <f t="shared" si="25"/>
        <v>4441.8786819655807</v>
      </c>
      <c r="AL31" s="210">
        <f t="shared" si="25"/>
        <v>4364.0762913857998</v>
      </c>
      <c r="AM31" s="210">
        <f t="shared" si="25"/>
        <v>4286.2739008060189</v>
      </c>
      <c r="AN31" s="210">
        <f t="shared" si="25"/>
        <v>4208.471510226238</v>
      </c>
      <c r="AO31" s="210">
        <f t="shared" si="25"/>
        <v>4130.6691196464571</v>
      </c>
      <c r="AP31" s="210">
        <f t="shared" si="25"/>
        <v>4052.8667290666763</v>
      </c>
      <c r="AQ31" s="210">
        <f t="shared" si="25"/>
        <v>3975.0643384868954</v>
      </c>
      <c r="AR31" s="210">
        <f t="shared" si="25"/>
        <v>3897.2619479071145</v>
      </c>
      <c r="AS31" s="210">
        <f t="shared" si="25"/>
        <v>3819.4595573273336</v>
      </c>
      <c r="AT31" s="210">
        <f t="shared" si="26"/>
        <v>3741.6571667475528</v>
      </c>
      <c r="AU31" s="210">
        <f t="shared" si="26"/>
        <v>3663.8547761677723</v>
      </c>
      <c r="AV31" s="210">
        <f t="shared" si="26"/>
        <v>3586.0523855879915</v>
      </c>
      <c r="AW31" s="210">
        <f t="shared" si="26"/>
        <v>3508.2499950082106</v>
      </c>
      <c r="AX31" s="210">
        <f t="shared" si="26"/>
        <v>3430.4476044284297</v>
      </c>
      <c r="AY31" s="210">
        <f t="shared" si="26"/>
        <v>3352.6452138486488</v>
      </c>
      <c r="AZ31" s="210">
        <f t="shared" si="26"/>
        <v>3274.8428232688684</v>
      </c>
      <c r="BA31" s="210">
        <f t="shared" si="26"/>
        <v>3197.0404326890875</v>
      </c>
      <c r="BB31" s="210">
        <f t="shared" si="26"/>
        <v>3119.2380421093067</v>
      </c>
      <c r="BC31" s="210">
        <f t="shared" si="26"/>
        <v>3041.4356515295258</v>
      </c>
      <c r="BD31" s="210">
        <f t="shared" si="27"/>
        <v>2963.6332609497449</v>
      </c>
      <c r="BE31" s="210">
        <f t="shared" si="27"/>
        <v>2885.830870369964</v>
      </c>
      <c r="BF31" s="210">
        <f t="shared" si="27"/>
        <v>2808.0284797901832</v>
      </c>
      <c r="BG31" s="210">
        <f t="shared" si="27"/>
        <v>2730.2260892104023</v>
      </c>
      <c r="BH31" s="210">
        <f t="shared" si="27"/>
        <v>2652.4236986306214</v>
      </c>
      <c r="BI31" s="210">
        <f t="shared" si="27"/>
        <v>2574.6213080508405</v>
      </c>
      <c r="BJ31" s="210">
        <f t="shared" si="27"/>
        <v>2496.8189174710596</v>
      </c>
      <c r="BK31" s="210">
        <f t="shared" si="27"/>
        <v>4191.8150107150504</v>
      </c>
      <c r="BL31" s="210">
        <f t="shared" si="27"/>
        <v>6477.7439319002988</v>
      </c>
      <c r="BM31" s="210">
        <f t="shared" si="27"/>
        <v>8763.6728530855471</v>
      </c>
      <c r="BN31" s="210">
        <f t="shared" si="28"/>
        <v>11049.601774270795</v>
      </c>
      <c r="BO31" s="210">
        <f t="shared" si="28"/>
        <v>13335.530695456044</v>
      </c>
      <c r="BP31" s="210">
        <f t="shared" si="28"/>
        <v>15621.45961664129</v>
      </c>
      <c r="BQ31" s="210">
        <f t="shared" si="28"/>
        <v>17907.388537826537</v>
      </c>
      <c r="BR31" s="210">
        <f t="shared" si="28"/>
        <v>20193.317459011785</v>
      </c>
      <c r="BS31" s="210">
        <f t="shared" si="28"/>
        <v>22479.246380197033</v>
      </c>
      <c r="BT31" s="210">
        <f t="shared" si="28"/>
        <v>24765.175301382282</v>
      </c>
      <c r="BU31" s="210">
        <f t="shared" si="28"/>
        <v>27051.10422256753</v>
      </c>
      <c r="BV31" s="210">
        <f t="shared" si="28"/>
        <v>29337.033143752778</v>
      </c>
      <c r="BW31" s="210">
        <f t="shared" si="28"/>
        <v>31622.962064938023</v>
      </c>
      <c r="BX31" s="210">
        <f t="shared" si="29"/>
        <v>33908.890986123275</v>
      </c>
      <c r="BY31" s="210">
        <f t="shared" si="29"/>
        <v>36194.81990730852</v>
      </c>
      <c r="BZ31" s="210">
        <f t="shared" si="29"/>
        <v>38480.748828493764</v>
      </c>
      <c r="CA31" s="210">
        <f t="shared" si="29"/>
        <v>40766.677749679016</v>
      </c>
      <c r="CB31" s="210">
        <f t="shared" si="29"/>
        <v>43052.606670864261</v>
      </c>
      <c r="CC31" s="210">
        <f t="shared" si="29"/>
        <v>45338.535592049513</v>
      </c>
      <c r="CD31" s="210">
        <f t="shared" si="29"/>
        <v>47624.464513234765</v>
      </c>
      <c r="CE31" s="210">
        <f t="shared" si="29"/>
        <v>49910.39343442001</v>
      </c>
      <c r="CF31" s="210">
        <f t="shared" si="29"/>
        <v>52196.322355605254</v>
      </c>
      <c r="CG31" s="210">
        <f t="shared" si="29"/>
        <v>54482.251276790506</v>
      </c>
      <c r="CH31" s="210">
        <f t="shared" si="30"/>
        <v>56768.180197975751</v>
      </c>
      <c r="CI31" s="210">
        <f t="shared" si="30"/>
        <v>59054.109119161003</v>
      </c>
      <c r="CJ31" s="210">
        <f t="shared" si="30"/>
        <v>56313.05849670968</v>
      </c>
      <c r="CK31" s="210">
        <f t="shared" si="30"/>
        <v>51896.348026379514</v>
      </c>
      <c r="CL31" s="210">
        <f t="shared" si="30"/>
        <v>47479.63755604934</v>
      </c>
      <c r="CM31" s="210">
        <f t="shared" si="30"/>
        <v>43062.927085719173</v>
      </c>
      <c r="CN31" s="210">
        <f t="shared" si="30"/>
        <v>38646.216615388999</v>
      </c>
      <c r="CO31" s="210">
        <f t="shared" si="30"/>
        <v>34229.506145058825</v>
      </c>
      <c r="CP31" s="210">
        <f t="shared" si="30"/>
        <v>29812.795674728655</v>
      </c>
      <c r="CQ31" s="210">
        <f t="shared" si="30"/>
        <v>25396.085204398485</v>
      </c>
      <c r="CR31" s="210">
        <f t="shared" si="31"/>
        <v>20979.374734068311</v>
      </c>
      <c r="CS31" s="210">
        <f t="shared" si="31"/>
        <v>16562.664263738145</v>
      </c>
      <c r="CT31" s="210">
        <f t="shared" si="31"/>
        <v>12145.953793407971</v>
      </c>
      <c r="CU31" s="210">
        <f t="shared" si="31"/>
        <v>7729.243323077797</v>
      </c>
      <c r="CV31" s="210">
        <f t="shared" si="31"/>
        <v>3312.5328527476304</v>
      </c>
      <c r="CW31" s="210">
        <f t="shared" si="31"/>
        <v>0</v>
      </c>
      <c r="CX31" s="210">
        <f t="shared" si="31"/>
        <v>0</v>
      </c>
      <c r="CY31" s="210">
        <f t="shared" si="31"/>
        <v>0</v>
      </c>
      <c r="CZ31" s="210">
        <f t="shared" si="31"/>
        <v>0</v>
      </c>
      <c r="DA31" s="210">
        <f t="shared" si="31"/>
        <v>0</v>
      </c>
    </row>
    <row r="32" spans="1:105">
      <c r="A32" s="201" t="str">
        <f>Income!A79</f>
        <v>Labour - formal emp</v>
      </c>
      <c r="B32" s="203">
        <f>Income!B79</f>
        <v>0</v>
      </c>
      <c r="C32" s="203">
        <f>Income!C79</f>
        <v>0</v>
      </c>
      <c r="D32" s="203">
        <f>Income!D79</f>
        <v>28209.654775238527</v>
      </c>
      <c r="E32" s="203">
        <f>Income!E79</f>
        <v>154408.65828783836</v>
      </c>
      <c r="F32" s="210">
        <f t="shared" si="22"/>
        <v>0</v>
      </c>
      <c r="G32" s="210">
        <f t="shared" si="22"/>
        <v>0</v>
      </c>
      <c r="H32" s="210">
        <f t="shared" si="22"/>
        <v>0</v>
      </c>
      <c r="I32" s="210">
        <f t="shared" si="22"/>
        <v>0</v>
      </c>
      <c r="J32" s="210">
        <f t="shared" si="22"/>
        <v>0</v>
      </c>
      <c r="K32" s="210">
        <f t="shared" si="22"/>
        <v>0</v>
      </c>
      <c r="L32" s="210">
        <f t="shared" si="22"/>
        <v>0</v>
      </c>
      <c r="M32" s="210">
        <f t="shared" si="22"/>
        <v>0</v>
      </c>
      <c r="N32" s="210">
        <f t="shared" si="22"/>
        <v>0</v>
      </c>
      <c r="O32" s="210">
        <f t="shared" si="22"/>
        <v>0</v>
      </c>
      <c r="P32" s="210">
        <f t="shared" si="23"/>
        <v>0</v>
      </c>
      <c r="Q32" s="210">
        <f t="shared" si="23"/>
        <v>0</v>
      </c>
      <c r="R32" s="210">
        <f t="shared" si="23"/>
        <v>0</v>
      </c>
      <c r="S32" s="210">
        <f t="shared" si="23"/>
        <v>0</v>
      </c>
      <c r="T32" s="210">
        <f t="shared" si="23"/>
        <v>0</v>
      </c>
      <c r="U32" s="210">
        <f t="shared" si="23"/>
        <v>0</v>
      </c>
      <c r="V32" s="210">
        <f t="shared" si="23"/>
        <v>0</v>
      </c>
      <c r="W32" s="210">
        <f t="shared" si="23"/>
        <v>0</v>
      </c>
      <c r="X32" s="210">
        <f t="shared" si="23"/>
        <v>0</v>
      </c>
      <c r="Y32" s="210">
        <f t="shared" si="23"/>
        <v>0</v>
      </c>
      <c r="Z32" s="210">
        <f t="shared" si="24"/>
        <v>0</v>
      </c>
      <c r="AA32" s="210">
        <f t="shared" si="24"/>
        <v>0</v>
      </c>
      <c r="AB32" s="210">
        <f t="shared" si="24"/>
        <v>0</v>
      </c>
      <c r="AC32" s="210">
        <f t="shared" si="24"/>
        <v>0</v>
      </c>
      <c r="AD32" s="210">
        <f t="shared" si="24"/>
        <v>0</v>
      </c>
      <c r="AE32" s="210">
        <f t="shared" si="24"/>
        <v>0</v>
      </c>
      <c r="AF32" s="210">
        <f t="shared" si="24"/>
        <v>0</v>
      </c>
      <c r="AG32" s="210">
        <f t="shared" si="24"/>
        <v>0</v>
      </c>
      <c r="AH32" s="210">
        <f t="shared" si="24"/>
        <v>0</v>
      </c>
      <c r="AI32" s="210">
        <f t="shared" si="24"/>
        <v>0</v>
      </c>
      <c r="AJ32" s="210">
        <f t="shared" si="25"/>
        <v>0</v>
      </c>
      <c r="AK32" s="210">
        <f t="shared" si="25"/>
        <v>0</v>
      </c>
      <c r="AL32" s="210">
        <f t="shared" si="25"/>
        <v>0</v>
      </c>
      <c r="AM32" s="210">
        <f t="shared" si="25"/>
        <v>0</v>
      </c>
      <c r="AN32" s="210">
        <f t="shared" si="25"/>
        <v>0</v>
      </c>
      <c r="AO32" s="210">
        <f t="shared" si="25"/>
        <v>0</v>
      </c>
      <c r="AP32" s="210">
        <f t="shared" si="25"/>
        <v>0</v>
      </c>
      <c r="AQ32" s="210">
        <f t="shared" si="25"/>
        <v>0</v>
      </c>
      <c r="AR32" s="210">
        <f t="shared" si="25"/>
        <v>0</v>
      </c>
      <c r="AS32" s="210">
        <f t="shared" si="25"/>
        <v>0</v>
      </c>
      <c r="AT32" s="210">
        <f t="shared" si="26"/>
        <v>0</v>
      </c>
      <c r="AU32" s="210">
        <f t="shared" si="26"/>
        <v>0</v>
      </c>
      <c r="AV32" s="210">
        <f t="shared" si="26"/>
        <v>0</v>
      </c>
      <c r="AW32" s="210">
        <f t="shared" si="26"/>
        <v>0</v>
      </c>
      <c r="AX32" s="210">
        <f t="shared" si="26"/>
        <v>0</v>
      </c>
      <c r="AY32" s="210">
        <f t="shared" si="26"/>
        <v>0</v>
      </c>
      <c r="AZ32" s="210">
        <f t="shared" si="26"/>
        <v>0</v>
      </c>
      <c r="BA32" s="210">
        <f t="shared" si="26"/>
        <v>0</v>
      </c>
      <c r="BB32" s="210">
        <f t="shared" si="26"/>
        <v>0</v>
      </c>
      <c r="BC32" s="210">
        <f t="shared" si="26"/>
        <v>0</v>
      </c>
      <c r="BD32" s="210">
        <f t="shared" si="27"/>
        <v>0</v>
      </c>
      <c r="BE32" s="210">
        <f t="shared" si="27"/>
        <v>0</v>
      </c>
      <c r="BF32" s="210">
        <f t="shared" si="27"/>
        <v>0</v>
      </c>
      <c r="BG32" s="210">
        <f t="shared" si="27"/>
        <v>0</v>
      </c>
      <c r="BH32" s="210">
        <f t="shared" si="27"/>
        <v>0</v>
      </c>
      <c r="BI32" s="210">
        <f t="shared" si="27"/>
        <v>0</v>
      </c>
      <c r="BJ32" s="210">
        <f t="shared" si="27"/>
        <v>0</v>
      </c>
      <c r="BK32" s="210">
        <f t="shared" si="27"/>
        <v>846.28964325715583</v>
      </c>
      <c r="BL32" s="210">
        <f t="shared" si="27"/>
        <v>1974.6758342666967</v>
      </c>
      <c r="BM32" s="210">
        <f t="shared" si="27"/>
        <v>3103.0620252762378</v>
      </c>
      <c r="BN32" s="210">
        <f t="shared" si="28"/>
        <v>4231.4482162857785</v>
      </c>
      <c r="BO32" s="210">
        <f t="shared" si="28"/>
        <v>5359.8344072953205</v>
      </c>
      <c r="BP32" s="210">
        <f t="shared" si="28"/>
        <v>6488.2205983048607</v>
      </c>
      <c r="BQ32" s="210">
        <f t="shared" si="28"/>
        <v>7616.6067893144027</v>
      </c>
      <c r="BR32" s="210">
        <f t="shared" si="28"/>
        <v>8744.9929803239429</v>
      </c>
      <c r="BS32" s="210">
        <f t="shared" si="28"/>
        <v>9873.3791713334849</v>
      </c>
      <c r="BT32" s="210">
        <f t="shared" si="28"/>
        <v>11001.765362343025</v>
      </c>
      <c r="BU32" s="210">
        <f t="shared" si="28"/>
        <v>12130.151553352565</v>
      </c>
      <c r="BV32" s="210">
        <f t="shared" si="28"/>
        <v>13258.537744362107</v>
      </c>
      <c r="BW32" s="210">
        <f t="shared" si="28"/>
        <v>14386.923935371649</v>
      </c>
      <c r="BX32" s="210">
        <f t="shared" si="29"/>
        <v>15515.310126381191</v>
      </c>
      <c r="BY32" s="210">
        <f t="shared" si="29"/>
        <v>16643.696317390728</v>
      </c>
      <c r="BZ32" s="210">
        <f t="shared" si="29"/>
        <v>17772.082508400272</v>
      </c>
      <c r="CA32" s="210">
        <f t="shared" si="29"/>
        <v>18900.468699409812</v>
      </c>
      <c r="CB32" s="210">
        <f t="shared" si="29"/>
        <v>20028.854890419356</v>
      </c>
      <c r="CC32" s="210">
        <f t="shared" si="29"/>
        <v>21157.241081428896</v>
      </c>
      <c r="CD32" s="210">
        <f t="shared" si="29"/>
        <v>22285.627272438436</v>
      </c>
      <c r="CE32" s="210">
        <f t="shared" si="29"/>
        <v>23414.01346344798</v>
      </c>
      <c r="CF32" s="210">
        <f t="shared" si="29"/>
        <v>24542.399654457517</v>
      </c>
      <c r="CG32" s="210">
        <f t="shared" si="29"/>
        <v>25670.785845467057</v>
      </c>
      <c r="CH32" s="210">
        <f t="shared" si="30"/>
        <v>26799.172036476601</v>
      </c>
      <c r="CI32" s="210">
        <f t="shared" si="30"/>
        <v>27927.558227486141</v>
      </c>
      <c r="CJ32" s="210">
        <f t="shared" si="30"/>
        <v>35220.710525938521</v>
      </c>
      <c r="CK32" s="210">
        <f t="shared" si="30"/>
        <v>44568.784860205174</v>
      </c>
      <c r="CL32" s="210">
        <f t="shared" si="30"/>
        <v>53916.859194471828</v>
      </c>
      <c r="CM32" s="210">
        <f t="shared" si="30"/>
        <v>63264.933528738489</v>
      </c>
      <c r="CN32" s="210">
        <f t="shared" si="30"/>
        <v>72613.007863005143</v>
      </c>
      <c r="CO32" s="210">
        <f t="shared" si="30"/>
        <v>81961.082197271797</v>
      </c>
      <c r="CP32" s="210">
        <f t="shared" si="30"/>
        <v>91309.156531538451</v>
      </c>
      <c r="CQ32" s="210">
        <f t="shared" si="30"/>
        <v>100657.23086580509</v>
      </c>
      <c r="CR32" s="210">
        <f t="shared" si="31"/>
        <v>110005.30520007176</v>
      </c>
      <c r="CS32" s="210">
        <f t="shared" si="31"/>
        <v>119353.37953433841</v>
      </c>
      <c r="CT32" s="210">
        <f t="shared" si="31"/>
        <v>128701.45386860505</v>
      </c>
      <c r="CU32" s="210">
        <f t="shared" si="31"/>
        <v>138049.52820287173</v>
      </c>
      <c r="CV32" s="210">
        <f t="shared" si="31"/>
        <v>147397.60253713839</v>
      </c>
      <c r="CW32" s="210">
        <f t="shared" si="31"/>
        <v>154408.65828783836</v>
      </c>
      <c r="CX32" s="210">
        <f t="shared" si="31"/>
        <v>154408.65828783836</v>
      </c>
      <c r="CY32" s="210">
        <f t="shared" si="31"/>
        <v>154408.65828783836</v>
      </c>
      <c r="CZ32" s="210">
        <f t="shared" si="31"/>
        <v>154408.65828783836</v>
      </c>
      <c r="DA32" s="210">
        <f t="shared" si="31"/>
        <v>154408.65828783836</v>
      </c>
    </row>
    <row r="33" spans="1:105">
      <c r="A33" s="201" t="str">
        <f>Income!A81</f>
        <v>Self - employment</v>
      </c>
      <c r="B33" s="203">
        <f>Income!B81</f>
        <v>0</v>
      </c>
      <c r="C33" s="203">
        <f>Income!C81</f>
        <v>0</v>
      </c>
      <c r="D33" s="203">
        <f>Income!D81</f>
        <v>0</v>
      </c>
      <c r="E33" s="203">
        <f>Income!E81</f>
        <v>0</v>
      </c>
      <c r="F33" s="210">
        <f t="shared" si="22"/>
        <v>0</v>
      </c>
      <c r="G33" s="210">
        <f t="shared" si="22"/>
        <v>0</v>
      </c>
      <c r="H33" s="210">
        <f t="shared" si="22"/>
        <v>0</v>
      </c>
      <c r="I33" s="210">
        <f t="shared" si="22"/>
        <v>0</v>
      </c>
      <c r="J33" s="210">
        <f t="shared" si="22"/>
        <v>0</v>
      </c>
      <c r="K33" s="210">
        <f t="shared" si="22"/>
        <v>0</v>
      </c>
      <c r="L33" s="210">
        <f t="shared" si="22"/>
        <v>0</v>
      </c>
      <c r="M33" s="210">
        <f t="shared" si="22"/>
        <v>0</v>
      </c>
      <c r="N33" s="210">
        <f t="shared" si="22"/>
        <v>0</v>
      </c>
      <c r="O33" s="210">
        <f t="shared" si="22"/>
        <v>0</v>
      </c>
      <c r="P33" s="210">
        <f t="shared" si="23"/>
        <v>0</v>
      </c>
      <c r="Q33" s="210">
        <f t="shared" si="23"/>
        <v>0</v>
      </c>
      <c r="R33" s="210">
        <f t="shared" si="23"/>
        <v>0</v>
      </c>
      <c r="S33" s="210">
        <f t="shared" si="23"/>
        <v>0</v>
      </c>
      <c r="T33" s="210">
        <f t="shared" si="23"/>
        <v>0</v>
      </c>
      <c r="U33" s="210">
        <f t="shared" si="23"/>
        <v>0</v>
      </c>
      <c r="V33" s="210">
        <f t="shared" si="23"/>
        <v>0</v>
      </c>
      <c r="W33" s="210">
        <f t="shared" si="23"/>
        <v>0</v>
      </c>
      <c r="X33" s="210">
        <f t="shared" si="23"/>
        <v>0</v>
      </c>
      <c r="Y33" s="210">
        <f t="shared" si="23"/>
        <v>0</v>
      </c>
      <c r="Z33" s="210">
        <f t="shared" si="24"/>
        <v>0</v>
      </c>
      <c r="AA33" s="210">
        <f t="shared" si="24"/>
        <v>0</v>
      </c>
      <c r="AB33" s="210">
        <f t="shared" si="24"/>
        <v>0</v>
      </c>
      <c r="AC33" s="210">
        <f t="shared" si="24"/>
        <v>0</v>
      </c>
      <c r="AD33" s="210">
        <f t="shared" si="24"/>
        <v>0</v>
      </c>
      <c r="AE33" s="210">
        <f t="shared" si="24"/>
        <v>0</v>
      </c>
      <c r="AF33" s="210">
        <f t="shared" si="24"/>
        <v>0</v>
      </c>
      <c r="AG33" s="210">
        <f t="shared" si="24"/>
        <v>0</v>
      </c>
      <c r="AH33" s="210">
        <f t="shared" si="24"/>
        <v>0</v>
      </c>
      <c r="AI33" s="210">
        <f t="shared" si="24"/>
        <v>0</v>
      </c>
      <c r="AJ33" s="210">
        <f t="shared" si="25"/>
        <v>0</v>
      </c>
      <c r="AK33" s="210">
        <f t="shared" si="25"/>
        <v>0</v>
      </c>
      <c r="AL33" s="210">
        <f t="shared" si="25"/>
        <v>0</v>
      </c>
      <c r="AM33" s="210">
        <f t="shared" si="25"/>
        <v>0</v>
      </c>
      <c r="AN33" s="210">
        <f t="shared" si="25"/>
        <v>0</v>
      </c>
      <c r="AO33" s="210">
        <f t="shared" si="25"/>
        <v>0</v>
      </c>
      <c r="AP33" s="210">
        <f t="shared" si="25"/>
        <v>0</v>
      </c>
      <c r="AQ33" s="210">
        <f t="shared" si="25"/>
        <v>0</v>
      </c>
      <c r="AR33" s="210">
        <f t="shared" si="25"/>
        <v>0</v>
      </c>
      <c r="AS33" s="210">
        <f t="shared" si="25"/>
        <v>0</v>
      </c>
      <c r="AT33" s="210">
        <f t="shared" si="26"/>
        <v>0</v>
      </c>
      <c r="AU33" s="210">
        <f t="shared" si="26"/>
        <v>0</v>
      </c>
      <c r="AV33" s="210">
        <f t="shared" si="26"/>
        <v>0</v>
      </c>
      <c r="AW33" s="210">
        <f t="shared" si="26"/>
        <v>0</v>
      </c>
      <c r="AX33" s="210">
        <f t="shared" si="26"/>
        <v>0</v>
      </c>
      <c r="AY33" s="210">
        <f t="shared" si="26"/>
        <v>0</v>
      </c>
      <c r="AZ33" s="210">
        <f t="shared" si="26"/>
        <v>0</v>
      </c>
      <c r="BA33" s="210">
        <f t="shared" si="26"/>
        <v>0</v>
      </c>
      <c r="BB33" s="210">
        <f t="shared" si="26"/>
        <v>0</v>
      </c>
      <c r="BC33" s="210">
        <f t="shared" si="26"/>
        <v>0</v>
      </c>
      <c r="BD33" s="210">
        <f t="shared" si="27"/>
        <v>0</v>
      </c>
      <c r="BE33" s="210">
        <f t="shared" si="27"/>
        <v>0</v>
      </c>
      <c r="BF33" s="210">
        <f t="shared" si="27"/>
        <v>0</v>
      </c>
      <c r="BG33" s="210">
        <f t="shared" si="27"/>
        <v>0</v>
      </c>
      <c r="BH33" s="210">
        <f t="shared" si="27"/>
        <v>0</v>
      </c>
      <c r="BI33" s="210">
        <f t="shared" si="27"/>
        <v>0</v>
      </c>
      <c r="BJ33" s="210">
        <f t="shared" si="27"/>
        <v>0</v>
      </c>
      <c r="BK33" s="210">
        <f t="shared" si="27"/>
        <v>0</v>
      </c>
      <c r="BL33" s="210">
        <f t="shared" si="27"/>
        <v>0</v>
      </c>
      <c r="BM33" s="210">
        <f t="shared" si="27"/>
        <v>0</v>
      </c>
      <c r="BN33" s="210">
        <f t="shared" si="28"/>
        <v>0</v>
      </c>
      <c r="BO33" s="210">
        <f t="shared" si="28"/>
        <v>0</v>
      </c>
      <c r="BP33" s="210">
        <f t="shared" si="28"/>
        <v>0</v>
      </c>
      <c r="BQ33" s="210">
        <f t="shared" si="28"/>
        <v>0</v>
      </c>
      <c r="BR33" s="210">
        <f t="shared" si="28"/>
        <v>0</v>
      </c>
      <c r="BS33" s="210">
        <f t="shared" si="28"/>
        <v>0</v>
      </c>
      <c r="BT33" s="210">
        <f t="shared" si="28"/>
        <v>0</v>
      </c>
      <c r="BU33" s="210">
        <f t="shared" si="28"/>
        <v>0</v>
      </c>
      <c r="BV33" s="210">
        <f t="shared" si="28"/>
        <v>0</v>
      </c>
      <c r="BW33" s="210">
        <f t="shared" si="28"/>
        <v>0</v>
      </c>
      <c r="BX33" s="210">
        <f t="shared" si="29"/>
        <v>0</v>
      </c>
      <c r="BY33" s="210">
        <f t="shared" si="29"/>
        <v>0</v>
      </c>
      <c r="BZ33" s="210">
        <f t="shared" si="29"/>
        <v>0</v>
      </c>
      <c r="CA33" s="210">
        <f t="shared" si="29"/>
        <v>0</v>
      </c>
      <c r="CB33" s="210">
        <f t="shared" si="29"/>
        <v>0</v>
      </c>
      <c r="CC33" s="210">
        <f t="shared" si="29"/>
        <v>0</v>
      </c>
      <c r="CD33" s="210">
        <f t="shared" si="29"/>
        <v>0</v>
      </c>
      <c r="CE33" s="210">
        <f t="shared" si="29"/>
        <v>0</v>
      </c>
      <c r="CF33" s="210">
        <f t="shared" si="29"/>
        <v>0</v>
      </c>
      <c r="CG33" s="210">
        <f t="shared" si="29"/>
        <v>0</v>
      </c>
      <c r="CH33" s="210">
        <f t="shared" si="30"/>
        <v>0</v>
      </c>
      <c r="CI33" s="210">
        <f t="shared" si="30"/>
        <v>0</v>
      </c>
      <c r="CJ33" s="210">
        <f t="shared" si="30"/>
        <v>0</v>
      </c>
      <c r="CK33" s="210">
        <f t="shared" si="30"/>
        <v>0</v>
      </c>
      <c r="CL33" s="210">
        <f t="shared" si="30"/>
        <v>0</v>
      </c>
      <c r="CM33" s="210">
        <f t="shared" si="30"/>
        <v>0</v>
      </c>
      <c r="CN33" s="210">
        <f t="shared" si="30"/>
        <v>0</v>
      </c>
      <c r="CO33" s="210">
        <f t="shared" si="30"/>
        <v>0</v>
      </c>
      <c r="CP33" s="210">
        <f t="shared" si="30"/>
        <v>0</v>
      </c>
      <c r="CQ33" s="210">
        <f t="shared" si="30"/>
        <v>0</v>
      </c>
      <c r="CR33" s="210">
        <f t="shared" si="31"/>
        <v>0</v>
      </c>
      <c r="CS33" s="210">
        <f t="shared" si="31"/>
        <v>0</v>
      </c>
      <c r="CT33" s="210">
        <f t="shared" si="31"/>
        <v>0</v>
      </c>
      <c r="CU33" s="210">
        <f t="shared" si="31"/>
        <v>0</v>
      </c>
      <c r="CV33" s="210">
        <f t="shared" si="31"/>
        <v>0</v>
      </c>
      <c r="CW33" s="210">
        <f t="shared" si="31"/>
        <v>0</v>
      </c>
      <c r="CX33" s="210">
        <f t="shared" si="31"/>
        <v>0</v>
      </c>
      <c r="CY33" s="210">
        <f t="shared" si="31"/>
        <v>0</v>
      </c>
      <c r="CZ33" s="210">
        <f t="shared" si="31"/>
        <v>0</v>
      </c>
      <c r="DA33" s="210">
        <f t="shared" si="31"/>
        <v>0</v>
      </c>
    </row>
    <row r="34" spans="1:105">
      <c r="A34" s="201" t="str">
        <f>Income!A82</f>
        <v>Small business/petty trading</v>
      </c>
      <c r="B34" s="203">
        <f>Income!B82</f>
        <v>1575.0156205517019</v>
      </c>
      <c r="C34" s="203">
        <f>Income!C82</f>
        <v>1148.448889985616</v>
      </c>
      <c r="D34" s="203">
        <f>Income!D82</f>
        <v>0</v>
      </c>
      <c r="E34" s="203">
        <f>Income!E82</f>
        <v>60961.888313094656</v>
      </c>
      <c r="F34" s="210">
        <f t="shared" si="22"/>
        <v>1575.0156205517019</v>
      </c>
      <c r="G34" s="210">
        <f t="shared" si="22"/>
        <v>1575.0156205517019</v>
      </c>
      <c r="H34" s="210">
        <f t="shared" si="22"/>
        <v>1575.0156205517019</v>
      </c>
      <c r="I34" s="210">
        <f t="shared" si="22"/>
        <v>1575.0156205517019</v>
      </c>
      <c r="J34" s="210">
        <f t="shared" si="22"/>
        <v>1575.0156205517019</v>
      </c>
      <c r="K34" s="210">
        <f t="shared" si="22"/>
        <v>1575.0156205517019</v>
      </c>
      <c r="L34" s="210">
        <f t="shared" si="22"/>
        <v>1575.0156205517019</v>
      </c>
      <c r="M34" s="210">
        <f t="shared" si="22"/>
        <v>1575.0156205517019</v>
      </c>
      <c r="N34" s="210">
        <f t="shared" si="22"/>
        <v>1575.0156205517019</v>
      </c>
      <c r="O34" s="210">
        <f t="shared" si="22"/>
        <v>1575.0156205517019</v>
      </c>
      <c r="P34" s="210">
        <f t="shared" si="23"/>
        <v>1575.0156205517019</v>
      </c>
      <c r="Q34" s="210">
        <f t="shared" si="23"/>
        <v>1575.0156205517019</v>
      </c>
      <c r="R34" s="210">
        <f t="shared" si="23"/>
        <v>1575.0156205517019</v>
      </c>
      <c r="S34" s="210">
        <f t="shared" si="23"/>
        <v>1575.0156205517019</v>
      </c>
      <c r="T34" s="210">
        <f t="shared" si="23"/>
        <v>1575.0156205517019</v>
      </c>
      <c r="U34" s="210">
        <f t="shared" si="23"/>
        <v>1575.0156205517019</v>
      </c>
      <c r="V34" s="210">
        <f t="shared" si="23"/>
        <v>1575.0156205517019</v>
      </c>
      <c r="W34" s="210">
        <f t="shared" si="23"/>
        <v>1575.0156205517019</v>
      </c>
      <c r="X34" s="210">
        <f t="shared" si="23"/>
        <v>1575.0156205517019</v>
      </c>
      <c r="Y34" s="210">
        <f t="shared" si="23"/>
        <v>1575.0156205517019</v>
      </c>
      <c r="Z34" s="210">
        <f t="shared" si="24"/>
        <v>1572.0939306163177</v>
      </c>
      <c r="AA34" s="210">
        <f t="shared" si="24"/>
        <v>1560.4071708747811</v>
      </c>
      <c r="AB34" s="210">
        <f t="shared" si="24"/>
        <v>1548.7204111332446</v>
      </c>
      <c r="AC34" s="210">
        <f t="shared" si="24"/>
        <v>1537.033651391708</v>
      </c>
      <c r="AD34" s="210">
        <f t="shared" si="24"/>
        <v>1525.3468916501713</v>
      </c>
      <c r="AE34" s="210">
        <f t="shared" si="24"/>
        <v>1513.6601319086346</v>
      </c>
      <c r="AF34" s="210">
        <f t="shared" si="24"/>
        <v>1501.9733721670982</v>
      </c>
      <c r="AG34" s="210">
        <f t="shared" si="24"/>
        <v>1490.2866124255615</v>
      </c>
      <c r="AH34" s="210">
        <f t="shared" si="24"/>
        <v>1478.5998526840249</v>
      </c>
      <c r="AI34" s="210">
        <f t="shared" si="24"/>
        <v>1466.9130929424882</v>
      </c>
      <c r="AJ34" s="210">
        <f t="shared" si="25"/>
        <v>1455.2263332009518</v>
      </c>
      <c r="AK34" s="210">
        <f t="shared" si="25"/>
        <v>1443.5395734594151</v>
      </c>
      <c r="AL34" s="210">
        <f t="shared" si="25"/>
        <v>1431.8528137178785</v>
      </c>
      <c r="AM34" s="210">
        <f t="shared" si="25"/>
        <v>1420.166053976342</v>
      </c>
      <c r="AN34" s="210">
        <f t="shared" si="25"/>
        <v>1408.4792942348054</v>
      </c>
      <c r="AO34" s="210">
        <f t="shared" si="25"/>
        <v>1396.7925344932687</v>
      </c>
      <c r="AP34" s="210">
        <f t="shared" si="25"/>
        <v>1385.105774751732</v>
      </c>
      <c r="AQ34" s="210">
        <f t="shared" si="25"/>
        <v>1373.4190150101956</v>
      </c>
      <c r="AR34" s="210">
        <f t="shared" si="25"/>
        <v>1361.7322552686589</v>
      </c>
      <c r="AS34" s="210">
        <f t="shared" si="25"/>
        <v>1350.0454955271223</v>
      </c>
      <c r="AT34" s="210">
        <f t="shared" si="26"/>
        <v>1338.3587357855858</v>
      </c>
      <c r="AU34" s="210">
        <f t="shared" si="26"/>
        <v>1326.6719760440492</v>
      </c>
      <c r="AV34" s="210">
        <f t="shared" si="26"/>
        <v>1314.9852163025125</v>
      </c>
      <c r="AW34" s="210">
        <f t="shared" si="26"/>
        <v>1303.2984565609759</v>
      </c>
      <c r="AX34" s="210">
        <f t="shared" si="26"/>
        <v>1291.6116968194394</v>
      </c>
      <c r="AY34" s="210">
        <f t="shared" si="26"/>
        <v>1279.9249370779028</v>
      </c>
      <c r="AZ34" s="210">
        <f t="shared" si="26"/>
        <v>1268.2381773363661</v>
      </c>
      <c r="BA34" s="210">
        <f t="shared" si="26"/>
        <v>1256.5514175948297</v>
      </c>
      <c r="BB34" s="210">
        <f t="shared" si="26"/>
        <v>1244.864657853293</v>
      </c>
      <c r="BC34" s="210">
        <f t="shared" si="26"/>
        <v>1233.1778981117563</v>
      </c>
      <c r="BD34" s="210">
        <f t="shared" si="27"/>
        <v>1221.4911383702197</v>
      </c>
      <c r="BE34" s="210">
        <f t="shared" si="27"/>
        <v>1209.804378628683</v>
      </c>
      <c r="BF34" s="210">
        <f t="shared" si="27"/>
        <v>1198.1176188871466</v>
      </c>
      <c r="BG34" s="210">
        <f t="shared" si="27"/>
        <v>1186.4308591456099</v>
      </c>
      <c r="BH34" s="210">
        <f t="shared" si="27"/>
        <v>1174.7440994040733</v>
      </c>
      <c r="BI34" s="210">
        <f t="shared" si="27"/>
        <v>1163.0573396625368</v>
      </c>
      <c r="BJ34" s="210">
        <f t="shared" si="27"/>
        <v>1151.3705799210002</v>
      </c>
      <c r="BK34" s="210">
        <f t="shared" si="27"/>
        <v>1113.9954232860475</v>
      </c>
      <c r="BL34" s="210">
        <f t="shared" si="27"/>
        <v>1068.0574676866229</v>
      </c>
      <c r="BM34" s="210">
        <f t="shared" si="27"/>
        <v>1022.1195120871982</v>
      </c>
      <c r="BN34" s="210">
        <f t="shared" si="28"/>
        <v>976.18155648777361</v>
      </c>
      <c r="BO34" s="210">
        <f t="shared" si="28"/>
        <v>930.24360088834896</v>
      </c>
      <c r="BP34" s="210">
        <f t="shared" si="28"/>
        <v>884.30564528892432</v>
      </c>
      <c r="BQ34" s="210">
        <f t="shared" si="28"/>
        <v>838.36768968949968</v>
      </c>
      <c r="BR34" s="210">
        <f t="shared" si="28"/>
        <v>792.42973409007504</v>
      </c>
      <c r="BS34" s="210">
        <f t="shared" si="28"/>
        <v>746.4917784906504</v>
      </c>
      <c r="BT34" s="210">
        <f t="shared" si="28"/>
        <v>700.55382289122576</v>
      </c>
      <c r="BU34" s="210">
        <f t="shared" si="28"/>
        <v>654.61586729180112</v>
      </c>
      <c r="BV34" s="210">
        <f t="shared" si="28"/>
        <v>608.67791169237648</v>
      </c>
      <c r="BW34" s="210">
        <f t="shared" si="28"/>
        <v>562.73995609295184</v>
      </c>
      <c r="BX34" s="210">
        <f t="shared" si="29"/>
        <v>516.8020004935272</v>
      </c>
      <c r="BY34" s="210">
        <f t="shared" si="29"/>
        <v>470.86404489410256</v>
      </c>
      <c r="BZ34" s="210">
        <f t="shared" si="29"/>
        <v>424.92608929467804</v>
      </c>
      <c r="CA34" s="210">
        <f t="shared" si="29"/>
        <v>378.98813369525328</v>
      </c>
      <c r="CB34" s="210">
        <f t="shared" si="29"/>
        <v>333.05017809582864</v>
      </c>
      <c r="CC34" s="210">
        <f t="shared" si="29"/>
        <v>287.112222496404</v>
      </c>
      <c r="CD34" s="210">
        <f t="shared" si="29"/>
        <v>241.17426689697947</v>
      </c>
      <c r="CE34" s="210">
        <f t="shared" si="29"/>
        <v>195.23631129755472</v>
      </c>
      <c r="CF34" s="210">
        <f t="shared" si="29"/>
        <v>149.29835569813008</v>
      </c>
      <c r="CG34" s="210">
        <f t="shared" si="29"/>
        <v>103.36040009870544</v>
      </c>
      <c r="CH34" s="210">
        <f t="shared" si="30"/>
        <v>57.4224444992808</v>
      </c>
      <c r="CI34" s="210">
        <f t="shared" si="30"/>
        <v>11.48448889985616</v>
      </c>
      <c r="CJ34" s="210">
        <f t="shared" si="30"/>
        <v>3386.7715729497031</v>
      </c>
      <c r="CK34" s="210">
        <f t="shared" si="30"/>
        <v>7902.4670035493073</v>
      </c>
      <c r="CL34" s="210">
        <f t="shared" si="30"/>
        <v>12418.16243414891</v>
      </c>
      <c r="CM34" s="210">
        <f t="shared" si="30"/>
        <v>16933.857864748516</v>
      </c>
      <c r="CN34" s="210">
        <f t="shared" si="30"/>
        <v>21449.55329534812</v>
      </c>
      <c r="CO34" s="210">
        <f t="shared" si="30"/>
        <v>25965.248725947724</v>
      </c>
      <c r="CP34" s="210">
        <f t="shared" si="30"/>
        <v>30480.944156547328</v>
      </c>
      <c r="CQ34" s="210">
        <f t="shared" si="30"/>
        <v>34996.639587146936</v>
      </c>
      <c r="CR34" s="210">
        <f t="shared" si="31"/>
        <v>39512.33501774654</v>
      </c>
      <c r="CS34" s="210">
        <f t="shared" si="31"/>
        <v>44028.030448346137</v>
      </c>
      <c r="CT34" s="210">
        <f t="shared" si="31"/>
        <v>48543.725878945741</v>
      </c>
      <c r="CU34" s="210">
        <f t="shared" si="31"/>
        <v>53059.421309545352</v>
      </c>
      <c r="CV34" s="210">
        <f t="shared" si="31"/>
        <v>57575.116740144957</v>
      </c>
      <c r="CW34" s="210">
        <f t="shared" si="31"/>
        <v>60961.888313094656</v>
      </c>
      <c r="CX34" s="210">
        <f t="shared" si="31"/>
        <v>60961.888313094656</v>
      </c>
      <c r="CY34" s="210">
        <f t="shared" si="31"/>
        <v>60961.888313094656</v>
      </c>
      <c r="CZ34" s="210">
        <f t="shared" si="31"/>
        <v>60961.888313094656</v>
      </c>
      <c r="DA34" s="210">
        <f t="shared" si="31"/>
        <v>60961.888313094656</v>
      </c>
    </row>
    <row r="35" spans="1:105">
      <c r="A35" s="201" t="str">
        <f>Income!A83</f>
        <v>Food transfer - official</v>
      </c>
      <c r="B35" s="203">
        <f>Income!B83</f>
        <v>2542.6668466728388</v>
      </c>
      <c r="C35" s="203">
        <f>Income!C83</f>
        <v>2592.6389326114268</v>
      </c>
      <c r="D35" s="203">
        <f>Income!D83</f>
        <v>2307.4028516274425</v>
      </c>
      <c r="E35" s="203">
        <f>Income!E83</f>
        <v>403.95618288041288</v>
      </c>
      <c r="F35" s="210">
        <f t="shared" si="22"/>
        <v>2542.6668466728388</v>
      </c>
      <c r="G35" s="210">
        <f t="shared" si="22"/>
        <v>2542.6668466728388</v>
      </c>
      <c r="H35" s="210">
        <f t="shared" si="22"/>
        <v>2542.6668466728388</v>
      </c>
      <c r="I35" s="210">
        <f t="shared" si="22"/>
        <v>2542.6668466728388</v>
      </c>
      <c r="J35" s="210">
        <f t="shared" si="22"/>
        <v>2542.6668466728388</v>
      </c>
      <c r="K35" s="210">
        <f t="shared" si="22"/>
        <v>2542.6668466728388</v>
      </c>
      <c r="L35" s="210">
        <f t="shared" si="22"/>
        <v>2542.6668466728388</v>
      </c>
      <c r="M35" s="210">
        <f t="shared" si="22"/>
        <v>2542.6668466728388</v>
      </c>
      <c r="N35" s="210">
        <f t="shared" si="22"/>
        <v>2542.6668466728388</v>
      </c>
      <c r="O35" s="210">
        <f t="shared" si="22"/>
        <v>2542.6668466728388</v>
      </c>
      <c r="P35" s="210">
        <f t="shared" si="23"/>
        <v>2542.6668466728388</v>
      </c>
      <c r="Q35" s="210">
        <f t="shared" si="23"/>
        <v>2542.6668466728388</v>
      </c>
      <c r="R35" s="210">
        <f t="shared" si="23"/>
        <v>2542.6668466728388</v>
      </c>
      <c r="S35" s="210">
        <f t="shared" si="23"/>
        <v>2542.6668466728388</v>
      </c>
      <c r="T35" s="210">
        <f t="shared" si="23"/>
        <v>2542.6668466728388</v>
      </c>
      <c r="U35" s="210">
        <f t="shared" si="23"/>
        <v>2542.6668466728388</v>
      </c>
      <c r="V35" s="210">
        <f t="shared" si="23"/>
        <v>2542.6668466728388</v>
      </c>
      <c r="W35" s="210">
        <f t="shared" si="23"/>
        <v>2542.6668466728388</v>
      </c>
      <c r="X35" s="210">
        <f t="shared" si="23"/>
        <v>2542.6668466728388</v>
      </c>
      <c r="Y35" s="210">
        <f t="shared" si="23"/>
        <v>2542.6668466728388</v>
      </c>
      <c r="Z35" s="210">
        <f t="shared" si="24"/>
        <v>2543.0091212340621</v>
      </c>
      <c r="AA35" s="210">
        <f t="shared" si="24"/>
        <v>2544.3782194789546</v>
      </c>
      <c r="AB35" s="210">
        <f t="shared" si="24"/>
        <v>2545.7473177238476</v>
      </c>
      <c r="AC35" s="210">
        <f t="shared" si="24"/>
        <v>2547.1164159687405</v>
      </c>
      <c r="AD35" s="210">
        <f t="shared" si="24"/>
        <v>2548.4855142136335</v>
      </c>
      <c r="AE35" s="210">
        <f t="shared" si="24"/>
        <v>2549.8546124585259</v>
      </c>
      <c r="AF35" s="210">
        <f t="shared" si="24"/>
        <v>2551.2237107034189</v>
      </c>
      <c r="AG35" s="210">
        <f t="shared" si="24"/>
        <v>2552.5928089483118</v>
      </c>
      <c r="AH35" s="210">
        <f t="shared" si="24"/>
        <v>2553.9619071932048</v>
      </c>
      <c r="AI35" s="210">
        <f t="shared" si="24"/>
        <v>2555.3310054380972</v>
      </c>
      <c r="AJ35" s="210">
        <f t="shared" si="25"/>
        <v>2556.7001036829902</v>
      </c>
      <c r="AK35" s="210">
        <f t="shared" si="25"/>
        <v>2558.0692019278831</v>
      </c>
      <c r="AL35" s="210">
        <f t="shared" si="25"/>
        <v>2559.4383001727761</v>
      </c>
      <c r="AM35" s="210">
        <f t="shared" si="25"/>
        <v>2560.8073984176685</v>
      </c>
      <c r="AN35" s="210">
        <f t="shared" si="25"/>
        <v>2562.1764966625615</v>
      </c>
      <c r="AO35" s="210">
        <f t="shared" si="25"/>
        <v>2563.5455949074544</v>
      </c>
      <c r="AP35" s="210">
        <f t="shared" si="25"/>
        <v>2564.9146931523474</v>
      </c>
      <c r="AQ35" s="210">
        <f t="shared" si="25"/>
        <v>2566.2837913972398</v>
      </c>
      <c r="AR35" s="210">
        <f t="shared" si="25"/>
        <v>2567.6528896421328</v>
      </c>
      <c r="AS35" s="210">
        <f t="shared" si="25"/>
        <v>2569.0219878870257</v>
      </c>
      <c r="AT35" s="210">
        <f t="shared" si="26"/>
        <v>2570.3910861319182</v>
      </c>
      <c r="AU35" s="210">
        <f t="shared" si="26"/>
        <v>2571.7601843768111</v>
      </c>
      <c r="AV35" s="210">
        <f t="shared" si="26"/>
        <v>2573.1292826217041</v>
      </c>
      <c r="AW35" s="210">
        <f t="shared" si="26"/>
        <v>2574.498380866597</v>
      </c>
      <c r="AX35" s="210">
        <f t="shared" si="26"/>
        <v>2575.8674791114895</v>
      </c>
      <c r="AY35" s="210">
        <f t="shared" si="26"/>
        <v>2577.2365773563824</v>
      </c>
      <c r="AZ35" s="210">
        <f t="shared" si="26"/>
        <v>2578.6056756012754</v>
      </c>
      <c r="BA35" s="210">
        <f t="shared" si="26"/>
        <v>2579.9747738461683</v>
      </c>
      <c r="BB35" s="210">
        <f t="shared" si="26"/>
        <v>2581.3438720910608</v>
      </c>
      <c r="BC35" s="210">
        <f t="shared" si="26"/>
        <v>2582.7129703359537</v>
      </c>
      <c r="BD35" s="210">
        <f t="shared" si="27"/>
        <v>2584.0820685808467</v>
      </c>
      <c r="BE35" s="210">
        <f t="shared" si="27"/>
        <v>2585.4511668257396</v>
      </c>
      <c r="BF35" s="210">
        <f t="shared" si="27"/>
        <v>2586.8202650706321</v>
      </c>
      <c r="BG35" s="210">
        <f t="shared" si="27"/>
        <v>2588.189363315525</v>
      </c>
      <c r="BH35" s="210">
        <f t="shared" si="27"/>
        <v>2589.558461560418</v>
      </c>
      <c r="BI35" s="210">
        <f t="shared" si="27"/>
        <v>2590.9275598053109</v>
      </c>
      <c r="BJ35" s="210">
        <f t="shared" si="27"/>
        <v>2592.2966580502034</v>
      </c>
      <c r="BK35" s="210">
        <f t="shared" si="27"/>
        <v>2584.0818501819072</v>
      </c>
      <c r="BL35" s="210">
        <f t="shared" si="27"/>
        <v>2572.6724069425477</v>
      </c>
      <c r="BM35" s="210">
        <f t="shared" si="27"/>
        <v>2561.2629637031887</v>
      </c>
      <c r="BN35" s="210">
        <f t="shared" si="28"/>
        <v>2549.8535204638292</v>
      </c>
      <c r="BO35" s="210">
        <f t="shared" si="28"/>
        <v>2538.4440772244698</v>
      </c>
      <c r="BP35" s="210">
        <f t="shared" si="28"/>
        <v>2527.0346339851103</v>
      </c>
      <c r="BQ35" s="210">
        <f t="shared" si="28"/>
        <v>2515.6251907457508</v>
      </c>
      <c r="BR35" s="210">
        <f t="shared" si="28"/>
        <v>2504.2157475063918</v>
      </c>
      <c r="BS35" s="210">
        <f t="shared" si="28"/>
        <v>2492.8063042670324</v>
      </c>
      <c r="BT35" s="210">
        <f t="shared" si="28"/>
        <v>2481.3968610276729</v>
      </c>
      <c r="BU35" s="210">
        <f t="shared" si="28"/>
        <v>2469.9874177883135</v>
      </c>
      <c r="BV35" s="210">
        <f t="shared" si="28"/>
        <v>2458.577974548954</v>
      </c>
      <c r="BW35" s="210">
        <f t="shared" si="28"/>
        <v>2447.168531309595</v>
      </c>
      <c r="BX35" s="210">
        <f t="shared" si="29"/>
        <v>2435.7590880702355</v>
      </c>
      <c r="BY35" s="210">
        <f t="shared" si="29"/>
        <v>2424.3496448308761</v>
      </c>
      <c r="BZ35" s="210">
        <f t="shared" si="29"/>
        <v>2412.9402015915166</v>
      </c>
      <c r="CA35" s="210">
        <f t="shared" si="29"/>
        <v>2401.5307583521571</v>
      </c>
      <c r="CB35" s="210">
        <f t="shared" si="29"/>
        <v>2390.1213151127981</v>
      </c>
      <c r="CC35" s="210">
        <f t="shared" si="29"/>
        <v>2378.7118718734387</v>
      </c>
      <c r="CD35" s="210">
        <f t="shared" si="29"/>
        <v>2367.3024286340792</v>
      </c>
      <c r="CE35" s="210">
        <f t="shared" si="29"/>
        <v>2355.8929853947197</v>
      </c>
      <c r="CF35" s="210">
        <f t="shared" si="29"/>
        <v>2344.4835421553603</v>
      </c>
      <c r="CG35" s="210">
        <f t="shared" si="29"/>
        <v>2333.0740989160013</v>
      </c>
      <c r="CH35" s="210">
        <f t="shared" si="30"/>
        <v>2321.6646556766418</v>
      </c>
      <c r="CI35" s="210">
        <f t="shared" si="30"/>
        <v>2310.2552124372824</v>
      </c>
      <c r="CJ35" s="210">
        <f t="shared" si="30"/>
        <v>2201.6558144748296</v>
      </c>
      <c r="CK35" s="210">
        <f t="shared" si="30"/>
        <v>2060.6597649380128</v>
      </c>
      <c r="CL35" s="210">
        <f t="shared" si="30"/>
        <v>1919.6637154011958</v>
      </c>
      <c r="CM35" s="210">
        <f t="shared" si="30"/>
        <v>1778.6676658643787</v>
      </c>
      <c r="CN35" s="210">
        <f t="shared" si="30"/>
        <v>1637.6716163275617</v>
      </c>
      <c r="CO35" s="210">
        <f t="shared" si="30"/>
        <v>1496.6755667907446</v>
      </c>
      <c r="CP35" s="210">
        <f t="shared" si="30"/>
        <v>1355.6795172539278</v>
      </c>
      <c r="CQ35" s="210">
        <f t="shared" si="30"/>
        <v>1214.6834677171105</v>
      </c>
      <c r="CR35" s="210">
        <f t="shared" si="31"/>
        <v>1073.6874181802937</v>
      </c>
      <c r="CS35" s="210">
        <f t="shared" si="31"/>
        <v>932.69136864347661</v>
      </c>
      <c r="CT35" s="210">
        <f t="shared" si="31"/>
        <v>791.69531910665955</v>
      </c>
      <c r="CU35" s="210">
        <f t="shared" si="31"/>
        <v>650.6992695698425</v>
      </c>
      <c r="CV35" s="210">
        <f t="shared" si="31"/>
        <v>509.70322003302567</v>
      </c>
      <c r="CW35" s="210">
        <f t="shared" si="31"/>
        <v>403.95618288041288</v>
      </c>
      <c r="CX35" s="210">
        <f t="shared" si="31"/>
        <v>403.95618288041288</v>
      </c>
      <c r="CY35" s="210">
        <f t="shared" si="31"/>
        <v>403.95618288041288</v>
      </c>
      <c r="CZ35" s="210">
        <f t="shared" si="31"/>
        <v>403.95618288041288</v>
      </c>
      <c r="DA35" s="210">
        <f t="shared" si="31"/>
        <v>403.95618288041288</v>
      </c>
    </row>
    <row r="36" spans="1:105">
      <c r="A36" s="201" t="str">
        <f>Income!A85</f>
        <v>Cash transfer - official</v>
      </c>
      <c r="B36" s="203">
        <f>Income!B85</f>
        <v>23585.858917761736</v>
      </c>
      <c r="C36" s="203">
        <f>Income!C85</f>
        <v>31271.442953672617</v>
      </c>
      <c r="D36" s="203">
        <f>Income!D85</f>
        <v>9343.217663344205</v>
      </c>
      <c r="E36" s="203">
        <f>Income!E85</f>
        <v>11264.238186571814</v>
      </c>
      <c r="F36" s="210">
        <f t="shared" si="22"/>
        <v>23585.858917761736</v>
      </c>
      <c r="G36" s="210">
        <f t="shared" si="22"/>
        <v>23585.858917761736</v>
      </c>
      <c r="H36" s="210">
        <f t="shared" si="22"/>
        <v>23585.858917761736</v>
      </c>
      <c r="I36" s="210">
        <f t="shared" si="22"/>
        <v>23585.858917761736</v>
      </c>
      <c r="J36" s="210">
        <f t="shared" si="22"/>
        <v>23585.858917761736</v>
      </c>
      <c r="K36" s="210">
        <f t="shared" si="22"/>
        <v>23585.858917761736</v>
      </c>
      <c r="L36" s="210">
        <f t="shared" si="22"/>
        <v>23585.858917761736</v>
      </c>
      <c r="M36" s="210">
        <f t="shared" si="22"/>
        <v>23585.858917761736</v>
      </c>
      <c r="N36" s="210">
        <f t="shared" si="22"/>
        <v>23585.858917761736</v>
      </c>
      <c r="O36" s="210">
        <f t="shared" si="22"/>
        <v>23585.858917761736</v>
      </c>
      <c r="P36" s="210">
        <f t="shared" si="22"/>
        <v>23585.858917761736</v>
      </c>
      <c r="Q36" s="210">
        <f t="shared" si="22"/>
        <v>23585.858917761736</v>
      </c>
      <c r="R36" s="210">
        <f t="shared" si="22"/>
        <v>23585.858917761736</v>
      </c>
      <c r="S36" s="210">
        <f t="shared" si="22"/>
        <v>23585.858917761736</v>
      </c>
      <c r="T36" s="210">
        <f t="shared" si="22"/>
        <v>23585.858917761736</v>
      </c>
      <c r="U36" s="210">
        <f t="shared" si="22"/>
        <v>23585.858917761736</v>
      </c>
      <c r="V36" s="210">
        <f t="shared" si="23"/>
        <v>23585.858917761736</v>
      </c>
      <c r="W36" s="210">
        <f t="shared" si="23"/>
        <v>23585.858917761736</v>
      </c>
      <c r="X36" s="210">
        <f t="shared" si="23"/>
        <v>23585.858917761736</v>
      </c>
      <c r="Y36" s="210">
        <f t="shared" si="23"/>
        <v>23585.858917761736</v>
      </c>
      <c r="Z36" s="210">
        <f t="shared" si="23"/>
        <v>23638.499904309072</v>
      </c>
      <c r="AA36" s="210">
        <f t="shared" si="23"/>
        <v>23849.063850498409</v>
      </c>
      <c r="AB36" s="210">
        <f t="shared" si="23"/>
        <v>24059.62779668775</v>
      </c>
      <c r="AC36" s="210">
        <f t="shared" si="23"/>
        <v>24270.191742877087</v>
      </c>
      <c r="AD36" s="210">
        <f t="shared" si="23"/>
        <v>24480.755689066427</v>
      </c>
      <c r="AE36" s="210">
        <f t="shared" si="23"/>
        <v>24691.319635255768</v>
      </c>
      <c r="AF36" s="210">
        <f t="shared" si="24"/>
        <v>24901.883581445105</v>
      </c>
      <c r="AG36" s="210">
        <f t="shared" si="24"/>
        <v>25112.447527634446</v>
      </c>
      <c r="AH36" s="210">
        <f t="shared" si="24"/>
        <v>25323.011473823783</v>
      </c>
      <c r="AI36" s="210">
        <f t="shared" si="24"/>
        <v>25533.575420013123</v>
      </c>
      <c r="AJ36" s="210">
        <f t="shared" si="24"/>
        <v>25744.139366202464</v>
      </c>
      <c r="AK36" s="210">
        <f t="shared" si="24"/>
        <v>25954.703312391801</v>
      </c>
      <c r="AL36" s="210">
        <f t="shared" si="24"/>
        <v>26165.267258581142</v>
      </c>
      <c r="AM36" s="210">
        <f t="shared" si="24"/>
        <v>26375.831204770482</v>
      </c>
      <c r="AN36" s="210">
        <f t="shared" si="24"/>
        <v>26586.395150959819</v>
      </c>
      <c r="AO36" s="210">
        <f t="shared" si="24"/>
        <v>26796.95909714916</v>
      </c>
      <c r="AP36" s="210">
        <f t="shared" si="25"/>
        <v>27007.523043338497</v>
      </c>
      <c r="AQ36" s="210">
        <f t="shared" si="25"/>
        <v>27218.086989527837</v>
      </c>
      <c r="AR36" s="210">
        <f t="shared" si="25"/>
        <v>27428.650935717178</v>
      </c>
      <c r="AS36" s="210">
        <f t="shared" si="25"/>
        <v>27639.214881906515</v>
      </c>
      <c r="AT36" s="210">
        <f t="shared" si="25"/>
        <v>27849.778828095856</v>
      </c>
      <c r="AU36" s="210">
        <f t="shared" si="25"/>
        <v>28060.342774285193</v>
      </c>
      <c r="AV36" s="210">
        <f t="shared" si="25"/>
        <v>28270.906720474533</v>
      </c>
      <c r="AW36" s="210">
        <f t="shared" si="25"/>
        <v>28481.470666663874</v>
      </c>
      <c r="AX36" s="210">
        <f t="shared" si="25"/>
        <v>28692.034612853211</v>
      </c>
      <c r="AY36" s="210">
        <f t="shared" si="25"/>
        <v>28902.598559042552</v>
      </c>
      <c r="AZ36" s="210">
        <f t="shared" si="26"/>
        <v>29113.162505231892</v>
      </c>
      <c r="BA36" s="210">
        <f t="shared" si="26"/>
        <v>29323.726451421229</v>
      </c>
      <c r="BB36" s="210">
        <f t="shared" si="26"/>
        <v>29534.290397610566</v>
      </c>
      <c r="BC36" s="210">
        <f t="shared" si="26"/>
        <v>29744.854343799907</v>
      </c>
      <c r="BD36" s="210">
        <f t="shared" si="26"/>
        <v>29955.418289989248</v>
      </c>
      <c r="BE36" s="210">
        <f t="shared" si="26"/>
        <v>30165.982236178585</v>
      </c>
      <c r="BF36" s="210">
        <f t="shared" si="26"/>
        <v>30376.546182367925</v>
      </c>
      <c r="BG36" s="210">
        <f t="shared" si="26"/>
        <v>30587.110128557266</v>
      </c>
      <c r="BH36" s="210">
        <f t="shared" si="26"/>
        <v>30797.674074746603</v>
      </c>
      <c r="BI36" s="210">
        <f t="shared" si="26"/>
        <v>31008.238020935943</v>
      </c>
      <c r="BJ36" s="210">
        <f t="shared" si="27"/>
        <v>31218.801967125284</v>
      </c>
      <c r="BK36" s="210">
        <f t="shared" si="27"/>
        <v>30613.596194962764</v>
      </c>
      <c r="BL36" s="210">
        <f t="shared" si="27"/>
        <v>29736.467183349629</v>
      </c>
      <c r="BM36" s="210">
        <f t="shared" si="27"/>
        <v>28859.33817173649</v>
      </c>
      <c r="BN36" s="210">
        <f t="shared" si="27"/>
        <v>27982.209160123355</v>
      </c>
      <c r="BO36" s="210">
        <f t="shared" si="27"/>
        <v>27105.08014851022</v>
      </c>
      <c r="BP36" s="210">
        <f t="shared" si="27"/>
        <v>26227.951136897082</v>
      </c>
      <c r="BQ36" s="210">
        <f t="shared" si="27"/>
        <v>25350.822125283947</v>
      </c>
      <c r="BR36" s="210">
        <f t="shared" si="27"/>
        <v>24473.693113670808</v>
      </c>
      <c r="BS36" s="210">
        <f t="shared" si="27"/>
        <v>23596.564102057673</v>
      </c>
      <c r="BT36" s="210">
        <f t="shared" si="28"/>
        <v>22719.435090444538</v>
      </c>
      <c r="BU36" s="210">
        <f t="shared" si="28"/>
        <v>21842.3060788314</v>
      </c>
      <c r="BV36" s="210">
        <f t="shared" si="28"/>
        <v>20965.177067218261</v>
      </c>
      <c r="BW36" s="210">
        <f t="shared" si="28"/>
        <v>20088.048055605126</v>
      </c>
      <c r="BX36" s="210">
        <f t="shared" si="28"/>
        <v>19210.919043991991</v>
      </c>
      <c r="BY36" s="210">
        <f t="shared" si="28"/>
        <v>18333.790032378856</v>
      </c>
      <c r="BZ36" s="210">
        <f t="shared" si="28"/>
        <v>17456.661020765721</v>
      </c>
      <c r="CA36" s="210">
        <f t="shared" si="28"/>
        <v>16579.532009152579</v>
      </c>
      <c r="CB36" s="210">
        <f t="shared" si="28"/>
        <v>15702.402997539446</v>
      </c>
      <c r="CC36" s="210">
        <f t="shared" si="28"/>
        <v>14825.273985926309</v>
      </c>
      <c r="CD36" s="210">
        <f t="shared" si="29"/>
        <v>13948.144974313174</v>
      </c>
      <c r="CE36" s="210">
        <f t="shared" si="29"/>
        <v>13071.015962700036</v>
      </c>
      <c r="CF36" s="210">
        <f t="shared" si="29"/>
        <v>12193.886951086901</v>
      </c>
      <c r="CG36" s="210">
        <f t="shared" si="29"/>
        <v>11316.757939473762</v>
      </c>
      <c r="CH36" s="210">
        <f t="shared" si="29"/>
        <v>10439.628927860627</v>
      </c>
      <c r="CI36" s="210">
        <f t="shared" si="29"/>
        <v>9562.4999162474924</v>
      </c>
      <c r="CJ36" s="210">
        <f t="shared" si="29"/>
        <v>9449.9410257457384</v>
      </c>
      <c r="CK36" s="210">
        <f t="shared" si="29"/>
        <v>9592.2388422811182</v>
      </c>
      <c r="CL36" s="210">
        <f t="shared" si="29"/>
        <v>9734.5366588164961</v>
      </c>
      <c r="CM36" s="210">
        <f t="shared" si="29"/>
        <v>9876.8344753518741</v>
      </c>
      <c r="CN36" s="210">
        <f t="shared" si="30"/>
        <v>10019.132291887252</v>
      </c>
      <c r="CO36" s="210">
        <f t="shared" si="30"/>
        <v>10161.430108422632</v>
      </c>
      <c r="CP36" s="210">
        <f t="shared" si="30"/>
        <v>10303.72792495801</v>
      </c>
      <c r="CQ36" s="210">
        <f t="shared" si="30"/>
        <v>10446.025741493388</v>
      </c>
      <c r="CR36" s="210">
        <f t="shared" si="30"/>
        <v>10588.323558028767</v>
      </c>
      <c r="CS36" s="210">
        <f t="shared" si="30"/>
        <v>10730.621374564145</v>
      </c>
      <c r="CT36" s="210">
        <f t="shared" si="30"/>
        <v>10872.919191099523</v>
      </c>
      <c r="CU36" s="210">
        <f t="shared" si="30"/>
        <v>11015.217007634903</v>
      </c>
      <c r="CV36" s="210">
        <f t="shared" si="30"/>
        <v>11157.514824170281</v>
      </c>
      <c r="CW36" s="210">
        <f t="shared" si="30"/>
        <v>11264.238186571814</v>
      </c>
      <c r="CX36" s="210">
        <f t="shared" si="31"/>
        <v>11264.238186571814</v>
      </c>
      <c r="CY36" s="210">
        <f t="shared" si="31"/>
        <v>11264.238186571814</v>
      </c>
      <c r="CZ36" s="210">
        <f t="shared" si="31"/>
        <v>11264.238186571814</v>
      </c>
      <c r="DA36" s="210">
        <f t="shared" si="31"/>
        <v>11264.238186571814</v>
      </c>
    </row>
    <row r="37" spans="1:105">
      <c r="A37" s="201" t="str">
        <f>Income!A86</f>
        <v>Cash transfer - gifts</v>
      </c>
      <c r="B37" s="203">
        <f>Income!B86</f>
        <v>0</v>
      </c>
      <c r="C37" s="203">
        <f>Income!C86</f>
        <v>348.63627017420481</v>
      </c>
      <c r="D37" s="203">
        <f>Income!D86</f>
        <v>6257.8745637991742</v>
      </c>
      <c r="E37" s="203">
        <f>Income!E86</f>
        <v>22950.357953165047</v>
      </c>
      <c r="F37" s="210">
        <f t="shared" si="22"/>
        <v>0</v>
      </c>
      <c r="G37" s="210">
        <f t="shared" si="22"/>
        <v>0</v>
      </c>
      <c r="H37" s="210">
        <f t="shared" si="22"/>
        <v>0</v>
      </c>
      <c r="I37" s="210">
        <f t="shared" si="22"/>
        <v>0</v>
      </c>
      <c r="J37" s="210">
        <f t="shared" si="22"/>
        <v>0</v>
      </c>
      <c r="K37" s="210">
        <f t="shared" si="22"/>
        <v>0</v>
      </c>
      <c r="L37" s="210">
        <f t="shared" si="22"/>
        <v>0</v>
      </c>
      <c r="M37" s="210">
        <f t="shared" si="22"/>
        <v>0</v>
      </c>
      <c r="N37" s="210">
        <f t="shared" si="22"/>
        <v>0</v>
      </c>
      <c r="O37" s="210">
        <f t="shared" si="22"/>
        <v>0</v>
      </c>
      <c r="P37" s="210">
        <f t="shared" si="23"/>
        <v>0</v>
      </c>
      <c r="Q37" s="210">
        <f t="shared" si="23"/>
        <v>0</v>
      </c>
      <c r="R37" s="210">
        <f t="shared" si="23"/>
        <v>0</v>
      </c>
      <c r="S37" s="210">
        <f t="shared" si="23"/>
        <v>0</v>
      </c>
      <c r="T37" s="210">
        <f t="shared" si="23"/>
        <v>0</v>
      </c>
      <c r="U37" s="210">
        <f t="shared" si="23"/>
        <v>0</v>
      </c>
      <c r="V37" s="210">
        <f t="shared" si="23"/>
        <v>0</v>
      </c>
      <c r="W37" s="210">
        <f t="shared" si="23"/>
        <v>0</v>
      </c>
      <c r="X37" s="210">
        <f t="shared" si="23"/>
        <v>0</v>
      </c>
      <c r="Y37" s="210">
        <f t="shared" si="23"/>
        <v>0</v>
      </c>
      <c r="Z37" s="210">
        <f t="shared" si="24"/>
        <v>2.3879196587274301</v>
      </c>
      <c r="AA37" s="210">
        <f t="shared" si="24"/>
        <v>11.93959829363715</v>
      </c>
      <c r="AB37" s="210">
        <f t="shared" si="24"/>
        <v>21.491276928546871</v>
      </c>
      <c r="AC37" s="210">
        <f t="shared" si="24"/>
        <v>31.042955563456591</v>
      </c>
      <c r="AD37" s="210">
        <f t="shared" si="24"/>
        <v>40.594634198366315</v>
      </c>
      <c r="AE37" s="210">
        <f t="shared" si="24"/>
        <v>50.146312833276035</v>
      </c>
      <c r="AF37" s="210">
        <f t="shared" si="24"/>
        <v>59.697991468185762</v>
      </c>
      <c r="AG37" s="210">
        <f t="shared" si="24"/>
        <v>69.249670103095468</v>
      </c>
      <c r="AH37" s="210">
        <f t="shared" si="24"/>
        <v>78.801348738005203</v>
      </c>
      <c r="AI37" s="210">
        <f t="shared" si="24"/>
        <v>88.353027372914923</v>
      </c>
      <c r="AJ37" s="210">
        <f t="shared" si="25"/>
        <v>97.904706007824643</v>
      </c>
      <c r="AK37" s="210">
        <f t="shared" si="25"/>
        <v>107.45638464273436</v>
      </c>
      <c r="AL37" s="210">
        <f t="shared" si="25"/>
        <v>117.00806327764407</v>
      </c>
      <c r="AM37" s="210">
        <f t="shared" si="25"/>
        <v>126.55974191255382</v>
      </c>
      <c r="AN37" s="210">
        <f t="shared" si="25"/>
        <v>136.11142054746352</v>
      </c>
      <c r="AO37" s="210">
        <f t="shared" si="25"/>
        <v>145.66309918237323</v>
      </c>
      <c r="AP37" s="210">
        <f t="shared" si="25"/>
        <v>155.21477781728296</v>
      </c>
      <c r="AQ37" s="210">
        <f t="shared" si="25"/>
        <v>164.7664564521927</v>
      </c>
      <c r="AR37" s="210">
        <f t="shared" si="25"/>
        <v>174.31813508710241</v>
      </c>
      <c r="AS37" s="210">
        <f t="shared" si="25"/>
        <v>183.86981372201211</v>
      </c>
      <c r="AT37" s="210">
        <f t="shared" si="26"/>
        <v>193.42149235692185</v>
      </c>
      <c r="AU37" s="210">
        <f t="shared" si="26"/>
        <v>202.97317099183158</v>
      </c>
      <c r="AV37" s="210">
        <f t="shared" si="26"/>
        <v>212.52484962674129</v>
      </c>
      <c r="AW37" s="210">
        <f t="shared" si="26"/>
        <v>222.07652826165102</v>
      </c>
      <c r="AX37" s="210">
        <f t="shared" si="26"/>
        <v>231.62820689656073</v>
      </c>
      <c r="AY37" s="210">
        <f t="shared" si="26"/>
        <v>241.17988553147046</v>
      </c>
      <c r="AZ37" s="210">
        <f t="shared" si="26"/>
        <v>250.73156416638014</v>
      </c>
      <c r="BA37" s="210">
        <f t="shared" si="26"/>
        <v>260.28324280128987</v>
      </c>
      <c r="BB37" s="210">
        <f t="shared" si="26"/>
        <v>269.83492143619964</v>
      </c>
      <c r="BC37" s="210">
        <f t="shared" si="26"/>
        <v>279.38660007110934</v>
      </c>
      <c r="BD37" s="210">
        <f t="shared" si="27"/>
        <v>288.93827870601905</v>
      </c>
      <c r="BE37" s="210">
        <f t="shared" si="27"/>
        <v>298.48995734092881</v>
      </c>
      <c r="BF37" s="210">
        <f t="shared" si="27"/>
        <v>308.04163597583852</v>
      </c>
      <c r="BG37" s="210">
        <f t="shared" si="27"/>
        <v>317.59331461074822</v>
      </c>
      <c r="BH37" s="210">
        <f t="shared" si="27"/>
        <v>327.14499324565793</v>
      </c>
      <c r="BI37" s="210">
        <f t="shared" si="27"/>
        <v>336.69667188056764</v>
      </c>
      <c r="BJ37" s="210">
        <f t="shared" si="27"/>
        <v>346.2483505154774</v>
      </c>
      <c r="BK37" s="210">
        <f t="shared" si="27"/>
        <v>525.91341898295389</v>
      </c>
      <c r="BL37" s="210">
        <f t="shared" si="27"/>
        <v>762.28295072795265</v>
      </c>
      <c r="BM37" s="210">
        <f t="shared" si="27"/>
        <v>998.65248247295153</v>
      </c>
      <c r="BN37" s="210">
        <f t="shared" si="28"/>
        <v>1235.0220142179503</v>
      </c>
      <c r="BO37" s="210">
        <f t="shared" si="28"/>
        <v>1471.3915459629491</v>
      </c>
      <c r="BP37" s="210">
        <f t="shared" si="28"/>
        <v>1707.7610777079481</v>
      </c>
      <c r="BQ37" s="210">
        <f t="shared" si="28"/>
        <v>1944.1306094529466</v>
      </c>
      <c r="BR37" s="210">
        <f t="shared" si="28"/>
        <v>2180.5001411979456</v>
      </c>
      <c r="BS37" s="210">
        <f t="shared" si="28"/>
        <v>2416.8696729429439</v>
      </c>
      <c r="BT37" s="210">
        <f t="shared" si="28"/>
        <v>2653.2392046879431</v>
      </c>
      <c r="BU37" s="210">
        <f t="shared" si="28"/>
        <v>2889.6087364329414</v>
      </c>
      <c r="BV37" s="210">
        <f t="shared" si="28"/>
        <v>3125.9782681779407</v>
      </c>
      <c r="BW37" s="210">
        <f t="shared" si="28"/>
        <v>3362.347799922939</v>
      </c>
      <c r="BX37" s="210">
        <f t="shared" si="29"/>
        <v>3598.7173316679382</v>
      </c>
      <c r="BY37" s="210">
        <f t="shared" si="29"/>
        <v>3835.0868634129365</v>
      </c>
      <c r="BZ37" s="210">
        <f t="shared" si="29"/>
        <v>4071.4563951579357</v>
      </c>
      <c r="CA37" s="210">
        <f t="shared" si="29"/>
        <v>4307.825926902934</v>
      </c>
      <c r="CB37" s="210">
        <f t="shared" si="29"/>
        <v>4544.1954586479333</v>
      </c>
      <c r="CC37" s="210">
        <f t="shared" si="29"/>
        <v>4780.5649903929316</v>
      </c>
      <c r="CD37" s="210">
        <f t="shared" si="29"/>
        <v>5016.9345221379308</v>
      </c>
      <c r="CE37" s="210">
        <f t="shared" si="29"/>
        <v>5253.3040538829291</v>
      </c>
      <c r="CF37" s="210">
        <f t="shared" si="29"/>
        <v>5489.6735856279283</v>
      </c>
      <c r="CG37" s="210">
        <f t="shared" si="29"/>
        <v>5726.0431173729266</v>
      </c>
      <c r="CH37" s="210">
        <f t="shared" si="30"/>
        <v>5962.4126491179259</v>
      </c>
      <c r="CI37" s="210">
        <f t="shared" si="30"/>
        <v>6198.7821808629251</v>
      </c>
      <c r="CJ37" s="210">
        <f t="shared" si="30"/>
        <v>7185.234752097278</v>
      </c>
      <c r="CK37" s="210">
        <f t="shared" si="30"/>
        <v>8421.7150031614165</v>
      </c>
      <c r="CL37" s="210">
        <f t="shared" si="30"/>
        <v>9658.1952542255567</v>
      </c>
      <c r="CM37" s="210">
        <f t="shared" si="30"/>
        <v>10894.675505289695</v>
      </c>
      <c r="CN37" s="210">
        <f t="shared" si="30"/>
        <v>12131.155756353834</v>
      </c>
      <c r="CO37" s="210">
        <f t="shared" si="30"/>
        <v>13367.636007417972</v>
      </c>
      <c r="CP37" s="210">
        <f t="shared" si="30"/>
        <v>14604.11625848211</v>
      </c>
      <c r="CQ37" s="210">
        <f t="shared" si="30"/>
        <v>15840.596509546249</v>
      </c>
      <c r="CR37" s="210">
        <f t="shared" si="31"/>
        <v>17077.076760610387</v>
      </c>
      <c r="CS37" s="210">
        <f t="shared" si="31"/>
        <v>18313.557011674526</v>
      </c>
      <c r="CT37" s="210">
        <f t="shared" si="31"/>
        <v>19550.037262738664</v>
      </c>
      <c r="CU37" s="210">
        <f t="shared" si="31"/>
        <v>20786.517513802806</v>
      </c>
      <c r="CV37" s="210">
        <f t="shared" si="31"/>
        <v>22022.997764866945</v>
      </c>
      <c r="CW37" s="210">
        <f t="shared" si="31"/>
        <v>22950.357953165047</v>
      </c>
      <c r="CX37" s="210">
        <f t="shared" si="31"/>
        <v>22950.357953165047</v>
      </c>
      <c r="CY37" s="210">
        <f t="shared" si="31"/>
        <v>22950.357953165047</v>
      </c>
      <c r="CZ37" s="210">
        <f t="shared" si="31"/>
        <v>22950.357953165047</v>
      </c>
      <c r="DA37" s="210">
        <f t="shared" si="31"/>
        <v>22950.357953165047</v>
      </c>
    </row>
    <row r="38" spans="1:105">
      <c r="A38" s="201" t="str">
        <f>Income!A88</f>
        <v>TOTAL</v>
      </c>
      <c r="B38" s="203">
        <f>Income!B88</f>
        <v>43351.162705051131</v>
      </c>
      <c r="C38" s="203">
        <f>Income!C88</f>
        <v>63955.803032966454</v>
      </c>
      <c r="D38" s="203">
        <f>Income!D88</f>
        <v>144466.25089200071</v>
      </c>
      <c r="E38" s="203">
        <f>Income!E88</f>
        <v>307447.94455908786</v>
      </c>
      <c r="F38" s="204">
        <f t="shared" ref="F38:AK38" si="32">SUM(F25:F37)</f>
        <v>38330.800414542588</v>
      </c>
      <c r="G38" s="204">
        <f t="shared" si="32"/>
        <v>38330.800414542588</v>
      </c>
      <c r="H38" s="204">
        <f t="shared" si="32"/>
        <v>38330.800414542588</v>
      </c>
      <c r="I38" s="204">
        <f t="shared" si="32"/>
        <v>38330.800414542588</v>
      </c>
      <c r="J38" s="204">
        <f t="shared" si="32"/>
        <v>38330.800414542588</v>
      </c>
      <c r="K38" s="204">
        <f t="shared" si="32"/>
        <v>38330.800414542588</v>
      </c>
      <c r="L38" s="204">
        <f t="shared" si="32"/>
        <v>38330.800414542588</v>
      </c>
      <c r="M38" s="204">
        <f t="shared" si="32"/>
        <v>38330.800414542588</v>
      </c>
      <c r="N38" s="204">
        <f t="shared" si="32"/>
        <v>38330.800414542588</v>
      </c>
      <c r="O38" s="204">
        <f t="shared" si="32"/>
        <v>38330.800414542588</v>
      </c>
      <c r="P38" s="204">
        <f t="shared" si="32"/>
        <v>38330.800414542588</v>
      </c>
      <c r="Q38" s="204">
        <f t="shared" si="32"/>
        <v>38330.800414542588</v>
      </c>
      <c r="R38" s="204">
        <f t="shared" si="32"/>
        <v>38330.800414542588</v>
      </c>
      <c r="S38" s="204">
        <f t="shared" si="32"/>
        <v>38330.800414542588</v>
      </c>
      <c r="T38" s="204">
        <f t="shared" si="32"/>
        <v>38330.800414542588</v>
      </c>
      <c r="U38" s="204">
        <f t="shared" si="32"/>
        <v>38330.800414542588</v>
      </c>
      <c r="V38" s="204">
        <f t="shared" si="32"/>
        <v>38330.800414542588</v>
      </c>
      <c r="W38" s="204">
        <f t="shared" si="32"/>
        <v>38330.800414542588</v>
      </c>
      <c r="X38" s="204">
        <f t="shared" si="32"/>
        <v>38330.800414542588</v>
      </c>
      <c r="Y38" s="204">
        <f t="shared" si="32"/>
        <v>38330.800414542588</v>
      </c>
      <c r="Z38" s="204">
        <f t="shared" si="32"/>
        <v>38437.719031922257</v>
      </c>
      <c r="AA38" s="204">
        <f t="shared" si="32"/>
        <v>38865.393501440929</v>
      </c>
      <c r="AB38" s="204">
        <f t="shared" si="32"/>
        <v>39293.067970959593</v>
      </c>
      <c r="AC38" s="204">
        <f t="shared" si="32"/>
        <v>39720.742440478258</v>
      </c>
      <c r="AD38" s="204">
        <f t="shared" si="32"/>
        <v>40148.416909996929</v>
      </c>
      <c r="AE38" s="204">
        <f t="shared" si="32"/>
        <v>40576.091379515608</v>
      </c>
      <c r="AF38" s="204">
        <f t="shared" si="32"/>
        <v>41003.765849034273</v>
      </c>
      <c r="AG38" s="204">
        <f t="shared" si="32"/>
        <v>41431.440318552945</v>
      </c>
      <c r="AH38" s="204">
        <f t="shared" si="32"/>
        <v>41859.114788071616</v>
      </c>
      <c r="AI38" s="204">
        <f t="shared" si="32"/>
        <v>42286.789257590281</v>
      </c>
      <c r="AJ38" s="204">
        <f t="shared" si="32"/>
        <v>42714.463727108952</v>
      </c>
      <c r="AK38" s="204">
        <f t="shared" si="32"/>
        <v>43142.138196627624</v>
      </c>
      <c r="AL38" s="204">
        <f t="shared" ref="AL38:BQ38" si="33">SUM(AL25:AL37)</f>
        <v>43569.812666146296</v>
      </c>
      <c r="AM38" s="204">
        <f t="shared" si="33"/>
        <v>43997.487135664967</v>
      </c>
      <c r="AN38" s="204">
        <f t="shared" si="33"/>
        <v>44425.161605183639</v>
      </c>
      <c r="AO38" s="204">
        <f t="shared" si="33"/>
        <v>44852.836074702311</v>
      </c>
      <c r="AP38" s="204">
        <f t="shared" si="33"/>
        <v>45280.510544220975</v>
      </c>
      <c r="AQ38" s="204">
        <f t="shared" si="33"/>
        <v>45708.18501373964</v>
      </c>
      <c r="AR38" s="204">
        <f t="shared" si="33"/>
        <v>46135.859483258319</v>
      </c>
      <c r="AS38" s="204">
        <f t="shared" si="33"/>
        <v>46563.533952776983</v>
      </c>
      <c r="AT38" s="204">
        <f t="shared" si="33"/>
        <v>46991.208422295655</v>
      </c>
      <c r="AU38" s="204">
        <f t="shared" si="33"/>
        <v>47418.882891814319</v>
      </c>
      <c r="AV38" s="204">
        <f t="shared" si="33"/>
        <v>47846.557361332991</v>
      </c>
      <c r="AW38" s="204">
        <f t="shared" si="33"/>
        <v>48274.23183085167</v>
      </c>
      <c r="AX38" s="204">
        <f t="shared" si="33"/>
        <v>48701.906300370327</v>
      </c>
      <c r="AY38" s="204">
        <f t="shared" si="33"/>
        <v>49129.580769889006</v>
      </c>
      <c r="AZ38" s="204">
        <f t="shared" si="33"/>
        <v>49557.255239407677</v>
      </c>
      <c r="BA38" s="204">
        <f t="shared" si="33"/>
        <v>49984.929708926349</v>
      </c>
      <c r="BB38" s="204">
        <f t="shared" si="33"/>
        <v>50412.604178445014</v>
      </c>
      <c r="BC38" s="204">
        <f t="shared" si="33"/>
        <v>50840.278647963678</v>
      </c>
      <c r="BD38" s="204">
        <f t="shared" si="33"/>
        <v>51267.95311748235</v>
      </c>
      <c r="BE38" s="204">
        <f t="shared" si="33"/>
        <v>51695.627587001021</v>
      </c>
      <c r="BF38" s="204">
        <f t="shared" si="33"/>
        <v>52123.302056519693</v>
      </c>
      <c r="BG38" s="204">
        <f t="shared" si="33"/>
        <v>52550.976526038365</v>
      </c>
      <c r="BH38" s="204">
        <f t="shared" si="33"/>
        <v>52978.650995557036</v>
      </c>
      <c r="BI38" s="204">
        <f t="shared" si="33"/>
        <v>53406.325465075708</v>
      </c>
      <c r="BJ38" s="204">
        <f t="shared" si="33"/>
        <v>53833.999934594372</v>
      </c>
      <c r="BK38" s="204">
        <f t="shared" si="33"/>
        <v>56621.521923501808</v>
      </c>
      <c r="BL38" s="204">
        <f t="shared" si="33"/>
        <v>60195.659752205509</v>
      </c>
      <c r="BM38" s="204">
        <f t="shared" si="33"/>
        <v>63769.797580909195</v>
      </c>
      <c r="BN38" s="204">
        <f t="shared" si="33"/>
        <v>67343.935409612895</v>
      </c>
      <c r="BO38" s="204">
        <f t="shared" si="33"/>
        <v>70918.073238316603</v>
      </c>
      <c r="BP38" s="204">
        <f t="shared" si="33"/>
        <v>74492.211067020282</v>
      </c>
      <c r="BQ38" s="204">
        <f t="shared" si="33"/>
        <v>78066.348895723975</v>
      </c>
      <c r="BR38" s="204">
        <f t="shared" ref="BR38:CW38" si="34">SUM(BR25:BR37)</f>
        <v>81640.486724427668</v>
      </c>
      <c r="BS38" s="204">
        <f t="shared" si="34"/>
        <v>85214.624553131362</v>
      </c>
      <c r="BT38" s="204">
        <f t="shared" si="34"/>
        <v>88788.762381835055</v>
      </c>
      <c r="BU38" s="204">
        <f t="shared" si="34"/>
        <v>92362.900210538763</v>
      </c>
      <c r="BV38" s="204">
        <f t="shared" si="34"/>
        <v>95937.038039242441</v>
      </c>
      <c r="BW38" s="204">
        <f t="shared" si="34"/>
        <v>99511.175867946135</v>
      </c>
      <c r="BX38" s="204">
        <f t="shared" si="34"/>
        <v>103085.31369664983</v>
      </c>
      <c r="BY38" s="204">
        <f t="shared" si="34"/>
        <v>106659.45152535351</v>
      </c>
      <c r="BZ38" s="204">
        <f t="shared" si="34"/>
        <v>110233.58935405721</v>
      </c>
      <c r="CA38" s="204">
        <f t="shared" si="34"/>
        <v>113807.72718276092</v>
      </c>
      <c r="CB38" s="204">
        <f t="shared" si="34"/>
        <v>117381.86501146463</v>
      </c>
      <c r="CC38" s="204">
        <f t="shared" si="34"/>
        <v>120956.00284016829</v>
      </c>
      <c r="CD38" s="204">
        <f t="shared" si="34"/>
        <v>124530.140668872</v>
      </c>
      <c r="CE38" s="204">
        <f t="shared" si="34"/>
        <v>128104.27849757568</v>
      </c>
      <c r="CF38" s="204">
        <f t="shared" si="34"/>
        <v>131678.4163262794</v>
      </c>
      <c r="CG38" s="204">
        <f t="shared" si="34"/>
        <v>135252.55415498311</v>
      </c>
      <c r="CH38" s="204">
        <f t="shared" si="34"/>
        <v>138826.69198368679</v>
      </c>
      <c r="CI38" s="204">
        <f t="shared" si="34"/>
        <v>142400.8298123905</v>
      </c>
      <c r="CJ38" s="204">
        <f t="shared" si="34"/>
        <v>152414.00761898427</v>
      </c>
      <c r="CK38" s="204">
        <f t="shared" si="34"/>
        <v>164573.53208487472</v>
      </c>
      <c r="CL38" s="204">
        <f t="shared" si="34"/>
        <v>176733.05655076524</v>
      </c>
      <c r="CM38" s="204">
        <f t="shared" si="34"/>
        <v>188892.58101665572</v>
      </c>
      <c r="CN38" s="204">
        <f t="shared" si="34"/>
        <v>201052.10548254621</v>
      </c>
      <c r="CO38" s="204">
        <f t="shared" si="34"/>
        <v>213211.62994843669</v>
      </c>
      <c r="CP38" s="204">
        <f t="shared" si="34"/>
        <v>225371.15441432715</v>
      </c>
      <c r="CQ38" s="204">
        <f t="shared" si="34"/>
        <v>237530.6788802176</v>
      </c>
      <c r="CR38" s="204">
        <f t="shared" si="34"/>
        <v>249690.20334610812</v>
      </c>
      <c r="CS38" s="204">
        <f t="shared" si="34"/>
        <v>261849.72781199863</v>
      </c>
      <c r="CT38" s="204">
        <f t="shared" si="34"/>
        <v>274009.25227788906</v>
      </c>
      <c r="CU38" s="204">
        <f t="shared" si="34"/>
        <v>286168.77674377954</v>
      </c>
      <c r="CV38" s="204">
        <f t="shared" si="34"/>
        <v>298328.30120967003</v>
      </c>
      <c r="CW38" s="204">
        <f t="shared" si="34"/>
        <v>307447.94455908786</v>
      </c>
      <c r="CX38" s="204">
        <f>SUM(CX25:CX37)</f>
        <v>307447.94455908786</v>
      </c>
      <c r="CY38" s="204">
        <f>SUM(CY25:CY37)</f>
        <v>307447.94455908786</v>
      </c>
      <c r="CZ38" s="204">
        <f>SUM(CZ25:CZ37)</f>
        <v>307447.94455908786</v>
      </c>
      <c r="DA38" s="204">
        <f>SUM(DA25:DA37)</f>
        <v>307447.94455908786</v>
      </c>
    </row>
    <row r="39" spans="1:105">
      <c r="A39" s="201" t="str">
        <f>Income!A89</f>
        <v>Food Poverty line</v>
      </c>
      <c r="B39" s="203">
        <f>Income!B89</f>
        <v>31035.992491963734</v>
      </c>
      <c r="C39" s="203">
        <f>Income!C89</f>
        <v>31035.992491963734</v>
      </c>
      <c r="D39" s="203">
        <f>Income!D89</f>
        <v>31035.99249196376</v>
      </c>
      <c r="E39" s="203">
        <f>Income!E89</f>
        <v>31035.227765379786</v>
      </c>
      <c r="F39" s="204">
        <f t="shared" ref="F39:O40" si="35">IF(F$2&lt;=($B$2+$C$2+$D$2),IF(F$2&lt;=($B$2+$C$2),IF(F$2&lt;=$B$2,$B39,$C39),$D39),$E39)</f>
        <v>31035.992491963734</v>
      </c>
      <c r="G39" s="204">
        <f t="shared" si="35"/>
        <v>31035.992491963734</v>
      </c>
      <c r="H39" s="204">
        <f t="shared" si="35"/>
        <v>31035.992491963734</v>
      </c>
      <c r="I39" s="204">
        <f t="shared" si="35"/>
        <v>31035.992491963734</v>
      </c>
      <c r="J39" s="204">
        <f t="shared" si="35"/>
        <v>31035.992491963734</v>
      </c>
      <c r="K39" s="204">
        <f t="shared" si="35"/>
        <v>31035.992491963734</v>
      </c>
      <c r="L39" s="204">
        <f t="shared" si="35"/>
        <v>31035.992491963734</v>
      </c>
      <c r="M39" s="204">
        <f t="shared" si="35"/>
        <v>31035.992491963734</v>
      </c>
      <c r="N39" s="204">
        <f t="shared" si="35"/>
        <v>31035.992491963734</v>
      </c>
      <c r="O39" s="204">
        <f t="shared" si="35"/>
        <v>31035.992491963734</v>
      </c>
      <c r="P39" s="204">
        <f t="shared" ref="P39:Y40" si="36">IF(P$2&lt;=($B$2+$C$2+$D$2),IF(P$2&lt;=($B$2+$C$2),IF(P$2&lt;=$B$2,$B39,$C39),$D39),$E39)</f>
        <v>31035.992491963734</v>
      </c>
      <c r="Q39" s="204">
        <f t="shared" si="36"/>
        <v>31035.992491963734</v>
      </c>
      <c r="R39" s="204">
        <f t="shared" si="36"/>
        <v>31035.992491963734</v>
      </c>
      <c r="S39" s="204">
        <f t="shared" si="36"/>
        <v>31035.992491963734</v>
      </c>
      <c r="T39" s="204">
        <f t="shared" si="36"/>
        <v>31035.992491963734</v>
      </c>
      <c r="U39" s="204">
        <f t="shared" si="36"/>
        <v>31035.992491963734</v>
      </c>
      <c r="V39" s="204">
        <f t="shared" si="36"/>
        <v>31035.992491963734</v>
      </c>
      <c r="W39" s="204">
        <f t="shared" si="36"/>
        <v>31035.992491963734</v>
      </c>
      <c r="X39" s="204">
        <f t="shared" si="36"/>
        <v>31035.992491963734</v>
      </c>
      <c r="Y39" s="204">
        <f t="shared" si="36"/>
        <v>31035.992491963734</v>
      </c>
      <c r="Z39" s="204">
        <f t="shared" ref="Z39:AI40" si="37">IF(Z$2&lt;=($B$2+$C$2+$D$2),IF(Z$2&lt;=($B$2+$C$2),IF(Z$2&lt;=$B$2,$B39,$C39),$D39),$E39)</f>
        <v>31035.992491963734</v>
      </c>
      <c r="AA39" s="204">
        <f t="shared" si="37"/>
        <v>31035.992491963734</v>
      </c>
      <c r="AB39" s="204">
        <f t="shared" si="37"/>
        <v>31035.992491963734</v>
      </c>
      <c r="AC39" s="204">
        <f t="shared" si="37"/>
        <v>31035.992491963734</v>
      </c>
      <c r="AD39" s="204">
        <f t="shared" si="37"/>
        <v>31035.992491963734</v>
      </c>
      <c r="AE39" s="204">
        <f t="shared" si="37"/>
        <v>31035.992491963734</v>
      </c>
      <c r="AF39" s="204">
        <f t="shared" si="37"/>
        <v>31035.992491963734</v>
      </c>
      <c r="AG39" s="204">
        <f t="shared" si="37"/>
        <v>31035.992491963734</v>
      </c>
      <c r="AH39" s="204">
        <f t="shared" si="37"/>
        <v>31035.992491963734</v>
      </c>
      <c r="AI39" s="204">
        <f t="shared" si="37"/>
        <v>31035.992491963734</v>
      </c>
      <c r="AJ39" s="204">
        <f t="shared" ref="AJ39:AS40" si="38">IF(AJ$2&lt;=($B$2+$C$2+$D$2),IF(AJ$2&lt;=($B$2+$C$2),IF(AJ$2&lt;=$B$2,$B39,$C39),$D39),$E39)</f>
        <v>31035.992491963734</v>
      </c>
      <c r="AK39" s="204">
        <f t="shared" si="38"/>
        <v>31035.992491963734</v>
      </c>
      <c r="AL39" s="204">
        <f t="shared" si="38"/>
        <v>31035.992491963734</v>
      </c>
      <c r="AM39" s="204">
        <f t="shared" si="38"/>
        <v>31035.992491963734</v>
      </c>
      <c r="AN39" s="204">
        <f t="shared" si="38"/>
        <v>31035.992491963734</v>
      </c>
      <c r="AO39" s="204">
        <f t="shared" si="38"/>
        <v>31035.992491963734</v>
      </c>
      <c r="AP39" s="204">
        <f t="shared" si="38"/>
        <v>31035.992491963734</v>
      </c>
      <c r="AQ39" s="204">
        <f t="shared" si="38"/>
        <v>31035.992491963734</v>
      </c>
      <c r="AR39" s="204">
        <f t="shared" si="38"/>
        <v>31035.992491963734</v>
      </c>
      <c r="AS39" s="204">
        <f t="shared" si="38"/>
        <v>31035.992491963734</v>
      </c>
      <c r="AT39" s="204">
        <f t="shared" ref="AT39:BC40" si="39">IF(AT$2&lt;=($B$2+$C$2+$D$2),IF(AT$2&lt;=($B$2+$C$2),IF(AT$2&lt;=$B$2,$B39,$C39),$D39),$E39)</f>
        <v>31035.992491963734</v>
      </c>
      <c r="AU39" s="204">
        <f t="shared" si="39"/>
        <v>31035.992491963734</v>
      </c>
      <c r="AV39" s="204">
        <f t="shared" si="39"/>
        <v>31035.992491963734</v>
      </c>
      <c r="AW39" s="204">
        <f t="shared" si="39"/>
        <v>31035.992491963734</v>
      </c>
      <c r="AX39" s="204">
        <f t="shared" si="39"/>
        <v>31035.992491963734</v>
      </c>
      <c r="AY39" s="204">
        <f t="shared" si="39"/>
        <v>31035.992491963734</v>
      </c>
      <c r="AZ39" s="204">
        <f t="shared" si="39"/>
        <v>31035.992491963734</v>
      </c>
      <c r="BA39" s="204">
        <f t="shared" si="39"/>
        <v>31035.992491963734</v>
      </c>
      <c r="BB39" s="204">
        <f t="shared" si="39"/>
        <v>31035.992491963734</v>
      </c>
      <c r="BC39" s="204">
        <f t="shared" si="39"/>
        <v>31035.992491963734</v>
      </c>
      <c r="BD39" s="204">
        <f t="shared" ref="BD39:BM40" si="40">IF(BD$2&lt;=($B$2+$C$2+$D$2),IF(BD$2&lt;=($B$2+$C$2),IF(BD$2&lt;=$B$2,$B39,$C39),$D39),$E39)</f>
        <v>31035.992491963734</v>
      </c>
      <c r="BE39" s="204">
        <f t="shared" si="40"/>
        <v>31035.992491963734</v>
      </c>
      <c r="BF39" s="204">
        <f t="shared" si="40"/>
        <v>31035.992491963734</v>
      </c>
      <c r="BG39" s="204">
        <f t="shared" si="40"/>
        <v>31035.992491963734</v>
      </c>
      <c r="BH39" s="204">
        <f t="shared" si="40"/>
        <v>31035.992491963734</v>
      </c>
      <c r="BI39" s="204">
        <f t="shared" si="40"/>
        <v>31035.992491963734</v>
      </c>
      <c r="BJ39" s="204">
        <f t="shared" si="40"/>
        <v>31035.992491963734</v>
      </c>
      <c r="BK39" s="204">
        <f t="shared" si="40"/>
        <v>31035.992491963734</v>
      </c>
      <c r="BL39" s="204">
        <f t="shared" si="40"/>
        <v>31035.992491963734</v>
      </c>
      <c r="BM39" s="204">
        <f t="shared" si="40"/>
        <v>31035.992491963734</v>
      </c>
      <c r="BN39" s="204">
        <f t="shared" ref="BN39:BW40" si="41">IF(BN$2&lt;=($B$2+$C$2+$D$2),IF(BN$2&lt;=($B$2+$C$2),IF(BN$2&lt;=$B$2,$B39,$C39),$D39),$E39)</f>
        <v>31035.992491963734</v>
      </c>
      <c r="BO39" s="204">
        <f t="shared" si="41"/>
        <v>31035.992491963734</v>
      </c>
      <c r="BP39" s="204">
        <f t="shared" si="41"/>
        <v>31035.992491963734</v>
      </c>
      <c r="BQ39" s="204">
        <f t="shared" si="41"/>
        <v>31035.992491963734</v>
      </c>
      <c r="BR39" s="204">
        <f t="shared" si="41"/>
        <v>31035.992491963734</v>
      </c>
      <c r="BS39" s="204">
        <f t="shared" si="41"/>
        <v>31035.992491963734</v>
      </c>
      <c r="BT39" s="204">
        <f t="shared" si="41"/>
        <v>31035.992491963734</v>
      </c>
      <c r="BU39" s="204">
        <f t="shared" si="41"/>
        <v>31035.992491963734</v>
      </c>
      <c r="BV39" s="204">
        <f t="shared" si="41"/>
        <v>31035.992491963734</v>
      </c>
      <c r="BW39" s="204">
        <f t="shared" si="41"/>
        <v>31035.992491963734</v>
      </c>
      <c r="BX39" s="204">
        <f t="shared" ref="BX39:CG40" si="42">IF(BX$2&lt;=($B$2+$C$2+$D$2),IF(BX$2&lt;=($B$2+$C$2),IF(BX$2&lt;=$B$2,$B39,$C39),$D39),$E39)</f>
        <v>31035.992491963734</v>
      </c>
      <c r="BY39" s="204">
        <f t="shared" si="42"/>
        <v>31035.992491963734</v>
      </c>
      <c r="BZ39" s="204">
        <f t="shared" si="42"/>
        <v>31035.992491963734</v>
      </c>
      <c r="CA39" s="204">
        <f t="shared" si="42"/>
        <v>31035.99249196376</v>
      </c>
      <c r="CB39" s="204">
        <f t="shared" si="42"/>
        <v>31035.99249196376</v>
      </c>
      <c r="CC39" s="204">
        <f t="shared" si="42"/>
        <v>31035.99249196376</v>
      </c>
      <c r="CD39" s="204">
        <f t="shared" si="42"/>
        <v>31035.99249196376</v>
      </c>
      <c r="CE39" s="204">
        <f t="shared" si="42"/>
        <v>31035.99249196376</v>
      </c>
      <c r="CF39" s="204">
        <f t="shared" si="42"/>
        <v>31035.99249196376</v>
      </c>
      <c r="CG39" s="204">
        <f t="shared" si="42"/>
        <v>31035.99249196376</v>
      </c>
      <c r="CH39" s="204">
        <f t="shared" ref="CH39:CQ40" si="43">IF(CH$2&lt;=($B$2+$C$2+$D$2),IF(CH$2&lt;=($B$2+$C$2),IF(CH$2&lt;=$B$2,$B39,$C39),$D39),$E39)</f>
        <v>31035.99249196376</v>
      </c>
      <c r="CI39" s="204">
        <f t="shared" si="43"/>
        <v>31035.99249196376</v>
      </c>
      <c r="CJ39" s="204">
        <f t="shared" si="43"/>
        <v>31035.99249196376</v>
      </c>
      <c r="CK39" s="204">
        <f t="shared" si="43"/>
        <v>31035.99249196376</v>
      </c>
      <c r="CL39" s="204">
        <f t="shared" si="43"/>
        <v>31035.99249196376</v>
      </c>
      <c r="CM39" s="204">
        <f t="shared" si="43"/>
        <v>31035.99249196376</v>
      </c>
      <c r="CN39" s="204">
        <f t="shared" si="43"/>
        <v>31035.99249196376</v>
      </c>
      <c r="CO39" s="204">
        <f t="shared" si="43"/>
        <v>31035.99249196376</v>
      </c>
      <c r="CP39" s="204">
        <f t="shared" si="43"/>
        <v>31035.99249196376</v>
      </c>
      <c r="CQ39" s="204">
        <f t="shared" si="43"/>
        <v>31035.227765379786</v>
      </c>
      <c r="CR39" s="204">
        <f t="shared" ref="CR39:DA40" si="44">IF(CR$2&lt;=($B$2+$C$2+$D$2),IF(CR$2&lt;=($B$2+$C$2),IF(CR$2&lt;=$B$2,$B39,$C39),$D39),$E39)</f>
        <v>31035.227765379786</v>
      </c>
      <c r="CS39" s="204">
        <f t="shared" si="44"/>
        <v>31035.227765379786</v>
      </c>
      <c r="CT39" s="204">
        <f t="shared" si="44"/>
        <v>31035.227765379786</v>
      </c>
      <c r="CU39" s="204">
        <f t="shared" si="44"/>
        <v>31035.227765379786</v>
      </c>
      <c r="CV39" s="204">
        <f t="shared" si="44"/>
        <v>31035.227765379786</v>
      </c>
      <c r="CW39" s="204">
        <f t="shared" si="44"/>
        <v>31035.227765379786</v>
      </c>
      <c r="CX39" s="204">
        <f t="shared" si="44"/>
        <v>31035.227765379786</v>
      </c>
      <c r="CY39" s="204">
        <f t="shared" si="44"/>
        <v>31035.227765379786</v>
      </c>
      <c r="CZ39" s="204">
        <f t="shared" si="44"/>
        <v>31035.227765379786</v>
      </c>
      <c r="DA39" s="204">
        <f t="shared" si="44"/>
        <v>31035.227765379786</v>
      </c>
    </row>
    <row r="40" spans="1:105">
      <c r="A40" s="201" t="str">
        <f>Income!A90</f>
        <v>Lower Bound Poverty line</v>
      </c>
      <c r="B40" s="203">
        <f>Income!B90</f>
        <v>47999.934714185954</v>
      </c>
      <c r="C40" s="203">
        <f>Income!C90</f>
        <v>47999.934714185954</v>
      </c>
      <c r="D40" s="203">
        <f>Income!D90</f>
        <v>47999.934714185954</v>
      </c>
      <c r="E40" s="203">
        <f>Income!E90</f>
        <v>47999.169987601977</v>
      </c>
      <c r="F40" s="204">
        <f t="shared" si="35"/>
        <v>47999.934714185954</v>
      </c>
      <c r="G40" s="204">
        <f t="shared" si="35"/>
        <v>47999.934714185954</v>
      </c>
      <c r="H40" s="204">
        <f t="shared" si="35"/>
        <v>47999.934714185954</v>
      </c>
      <c r="I40" s="204">
        <f t="shared" si="35"/>
        <v>47999.934714185954</v>
      </c>
      <c r="J40" s="204">
        <f t="shared" si="35"/>
        <v>47999.934714185954</v>
      </c>
      <c r="K40" s="204">
        <f t="shared" si="35"/>
        <v>47999.934714185954</v>
      </c>
      <c r="L40" s="204">
        <f t="shared" si="35"/>
        <v>47999.934714185954</v>
      </c>
      <c r="M40" s="204">
        <f t="shared" si="35"/>
        <v>47999.934714185954</v>
      </c>
      <c r="N40" s="204">
        <f t="shared" si="35"/>
        <v>47999.934714185954</v>
      </c>
      <c r="O40" s="204">
        <f t="shared" si="35"/>
        <v>47999.934714185954</v>
      </c>
      <c r="P40" s="204">
        <f t="shared" si="36"/>
        <v>47999.934714185954</v>
      </c>
      <c r="Q40" s="204">
        <f t="shared" si="36"/>
        <v>47999.934714185954</v>
      </c>
      <c r="R40" s="204">
        <f t="shared" si="36"/>
        <v>47999.934714185954</v>
      </c>
      <c r="S40" s="204">
        <f t="shared" si="36"/>
        <v>47999.934714185954</v>
      </c>
      <c r="T40" s="204">
        <f t="shared" si="36"/>
        <v>47999.934714185954</v>
      </c>
      <c r="U40" s="204">
        <f t="shared" si="36"/>
        <v>47999.934714185954</v>
      </c>
      <c r="V40" s="204">
        <f t="shared" si="36"/>
        <v>47999.934714185954</v>
      </c>
      <c r="W40" s="204">
        <f t="shared" si="36"/>
        <v>47999.934714185954</v>
      </c>
      <c r="X40" s="204">
        <f t="shared" si="36"/>
        <v>47999.934714185954</v>
      </c>
      <c r="Y40" s="204">
        <f t="shared" si="36"/>
        <v>47999.934714185954</v>
      </c>
      <c r="Z40" s="204">
        <f t="shared" si="37"/>
        <v>47999.934714185954</v>
      </c>
      <c r="AA40" s="204">
        <f t="shared" si="37"/>
        <v>47999.934714185954</v>
      </c>
      <c r="AB40" s="204">
        <f t="shared" si="37"/>
        <v>47999.934714185954</v>
      </c>
      <c r="AC40" s="204">
        <f t="shared" si="37"/>
        <v>47999.934714185954</v>
      </c>
      <c r="AD40" s="204">
        <f t="shared" si="37"/>
        <v>47999.934714185954</v>
      </c>
      <c r="AE40" s="204">
        <f t="shared" si="37"/>
        <v>47999.934714185954</v>
      </c>
      <c r="AF40" s="204">
        <f t="shared" si="37"/>
        <v>47999.934714185954</v>
      </c>
      <c r="AG40" s="204">
        <f t="shared" si="37"/>
        <v>47999.934714185954</v>
      </c>
      <c r="AH40" s="204">
        <f t="shared" si="37"/>
        <v>47999.934714185954</v>
      </c>
      <c r="AI40" s="204">
        <f t="shared" si="37"/>
        <v>47999.934714185954</v>
      </c>
      <c r="AJ40" s="204">
        <f t="shared" si="38"/>
        <v>47999.934714185954</v>
      </c>
      <c r="AK40" s="204">
        <f t="shared" si="38"/>
        <v>47999.934714185954</v>
      </c>
      <c r="AL40" s="204">
        <f t="shared" si="38"/>
        <v>47999.934714185954</v>
      </c>
      <c r="AM40" s="204">
        <f t="shared" si="38"/>
        <v>47999.934714185954</v>
      </c>
      <c r="AN40" s="204">
        <f t="shared" si="38"/>
        <v>47999.934714185954</v>
      </c>
      <c r="AO40" s="204">
        <f t="shared" si="38"/>
        <v>47999.934714185954</v>
      </c>
      <c r="AP40" s="204">
        <f t="shared" si="38"/>
        <v>47999.934714185954</v>
      </c>
      <c r="AQ40" s="204">
        <f t="shared" si="38"/>
        <v>47999.934714185954</v>
      </c>
      <c r="AR40" s="204">
        <f t="shared" si="38"/>
        <v>47999.934714185954</v>
      </c>
      <c r="AS40" s="204">
        <f t="shared" si="38"/>
        <v>47999.934714185954</v>
      </c>
      <c r="AT40" s="204">
        <f t="shared" si="39"/>
        <v>47999.934714185954</v>
      </c>
      <c r="AU40" s="204">
        <f t="shared" si="39"/>
        <v>47999.934714185954</v>
      </c>
      <c r="AV40" s="204">
        <f t="shared" si="39"/>
        <v>47999.934714185954</v>
      </c>
      <c r="AW40" s="204">
        <f t="shared" si="39"/>
        <v>47999.934714185954</v>
      </c>
      <c r="AX40" s="204">
        <f t="shared" si="39"/>
        <v>47999.934714185954</v>
      </c>
      <c r="AY40" s="204">
        <f t="shared" si="39"/>
        <v>47999.934714185954</v>
      </c>
      <c r="AZ40" s="204">
        <f t="shared" si="39"/>
        <v>47999.934714185954</v>
      </c>
      <c r="BA40" s="204">
        <f t="shared" si="39"/>
        <v>47999.934714185954</v>
      </c>
      <c r="BB40" s="204">
        <f t="shared" si="39"/>
        <v>47999.934714185954</v>
      </c>
      <c r="BC40" s="204">
        <f t="shared" si="39"/>
        <v>47999.934714185954</v>
      </c>
      <c r="BD40" s="204">
        <f t="shared" si="40"/>
        <v>47999.934714185954</v>
      </c>
      <c r="BE40" s="204">
        <f t="shared" si="40"/>
        <v>47999.934714185954</v>
      </c>
      <c r="BF40" s="204">
        <f t="shared" si="40"/>
        <v>47999.934714185954</v>
      </c>
      <c r="BG40" s="204">
        <f t="shared" si="40"/>
        <v>47999.934714185954</v>
      </c>
      <c r="BH40" s="204">
        <f t="shared" si="40"/>
        <v>47999.934714185954</v>
      </c>
      <c r="BI40" s="204">
        <f t="shared" si="40"/>
        <v>47999.934714185954</v>
      </c>
      <c r="BJ40" s="204">
        <f t="shared" si="40"/>
        <v>47999.934714185954</v>
      </c>
      <c r="BK40" s="204">
        <f t="shared" si="40"/>
        <v>47999.934714185954</v>
      </c>
      <c r="BL40" s="204">
        <f t="shared" si="40"/>
        <v>47999.934714185954</v>
      </c>
      <c r="BM40" s="204">
        <f t="shared" si="40"/>
        <v>47999.934714185954</v>
      </c>
      <c r="BN40" s="204">
        <f t="shared" si="41"/>
        <v>47999.934714185954</v>
      </c>
      <c r="BO40" s="204">
        <f t="shared" si="41"/>
        <v>47999.934714185954</v>
      </c>
      <c r="BP40" s="204">
        <f t="shared" si="41"/>
        <v>47999.934714185954</v>
      </c>
      <c r="BQ40" s="204">
        <f t="shared" si="41"/>
        <v>47999.934714185954</v>
      </c>
      <c r="BR40" s="204">
        <f t="shared" si="41"/>
        <v>47999.934714185954</v>
      </c>
      <c r="BS40" s="204">
        <f t="shared" si="41"/>
        <v>47999.934714185954</v>
      </c>
      <c r="BT40" s="204">
        <f t="shared" si="41"/>
        <v>47999.934714185954</v>
      </c>
      <c r="BU40" s="204">
        <f t="shared" si="41"/>
        <v>47999.934714185954</v>
      </c>
      <c r="BV40" s="204">
        <f t="shared" si="41"/>
        <v>47999.934714185954</v>
      </c>
      <c r="BW40" s="204">
        <f t="shared" si="41"/>
        <v>47999.934714185954</v>
      </c>
      <c r="BX40" s="204">
        <f t="shared" si="42"/>
        <v>47999.934714185954</v>
      </c>
      <c r="BY40" s="204">
        <f t="shared" si="42"/>
        <v>47999.934714185954</v>
      </c>
      <c r="BZ40" s="204">
        <f t="shared" si="42"/>
        <v>47999.934714185954</v>
      </c>
      <c r="CA40" s="204">
        <f t="shared" si="42"/>
        <v>47999.934714185954</v>
      </c>
      <c r="CB40" s="204">
        <f t="shared" si="42"/>
        <v>47999.934714185954</v>
      </c>
      <c r="CC40" s="204">
        <f t="shared" si="42"/>
        <v>47999.934714185954</v>
      </c>
      <c r="CD40" s="204">
        <f t="shared" si="42"/>
        <v>47999.934714185954</v>
      </c>
      <c r="CE40" s="204">
        <f t="shared" si="42"/>
        <v>47999.934714185954</v>
      </c>
      <c r="CF40" s="204">
        <f t="shared" si="42"/>
        <v>47999.934714185954</v>
      </c>
      <c r="CG40" s="204">
        <f t="shared" si="42"/>
        <v>47999.934714185954</v>
      </c>
      <c r="CH40" s="204">
        <f t="shared" si="43"/>
        <v>47999.934714185954</v>
      </c>
      <c r="CI40" s="204">
        <f t="shared" si="43"/>
        <v>47999.934714185954</v>
      </c>
      <c r="CJ40" s="204">
        <f t="shared" si="43"/>
        <v>47999.934714185954</v>
      </c>
      <c r="CK40" s="204">
        <f t="shared" si="43"/>
        <v>47999.934714185954</v>
      </c>
      <c r="CL40" s="204">
        <f t="shared" si="43"/>
        <v>47999.934714185954</v>
      </c>
      <c r="CM40" s="204">
        <f t="shared" si="43"/>
        <v>47999.934714185954</v>
      </c>
      <c r="CN40" s="204">
        <f t="shared" si="43"/>
        <v>47999.934714185954</v>
      </c>
      <c r="CO40" s="204">
        <f t="shared" si="43"/>
        <v>47999.934714185954</v>
      </c>
      <c r="CP40" s="204">
        <f t="shared" si="43"/>
        <v>47999.934714185954</v>
      </c>
      <c r="CQ40" s="204">
        <f t="shared" si="43"/>
        <v>47999.169987601977</v>
      </c>
      <c r="CR40" s="204">
        <f t="shared" si="44"/>
        <v>47999.169987601977</v>
      </c>
      <c r="CS40" s="204">
        <f t="shared" si="44"/>
        <v>47999.169987601977</v>
      </c>
      <c r="CT40" s="204">
        <f t="shared" si="44"/>
        <v>47999.169987601977</v>
      </c>
      <c r="CU40" s="204">
        <f t="shared" si="44"/>
        <v>47999.169987601977</v>
      </c>
      <c r="CV40" s="204">
        <f t="shared" si="44"/>
        <v>47999.169987601977</v>
      </c>
      <c r="CW40" s="204">
        <f t="shared" si="44"/>
        <v>47999.169987601977</v>
      </c>
      <c r="CX40" s="204">
        <f t="shared" si="44"/>
        <v>47999.169987601977</v>
      </c>
      <c r="CY40" s="204">
        <f t="shared" si="44"/>
        <v>47999.169987601977</v>
      </c>
      <c r="CZ40" s="204">
        <f t="shared" si="44"/>
        <v>47999.169987601977</v>
      </c>
      <c r="DA40" s="204">
        <f t="shared" si="44"/>
        <v>47999.169987601977</v>
      </c>
    </row>
    <row r="42" spans="1:105">
      <c r="A42" s="201" t="str">
        <f>Income!A72</f>
        <v>Own crops Consumed</v>
      </c>
      <c r="F42" s="210">
        <f t="shared" ref="F42:AK42" si="45">IF(F$22&lt;=$E$24,IF(F$22&lt;=$D$24,IF(F$22&lt;=$C$24,IF(F$22&lt;=$B$24,$B108,($C25-$B25)/($C$24-$B$24)),($D25-$C25)/($D$24-$C$24)),($E25-$D25)/($E$24-$D$24)),$F108)</f>
        <v>0</v>
      </c>
      <c r="G42" s="210">
        <f t="shared" si="45"/>
        <v>0</v>
      </c>
      <c r="H42" s="210">
        <f t="shared" si="45"/>
        <v>0</v>
      </c>
      <c r="I42" s="210">
        <f t="shared" si="45"/>
        <v>0</v>
      </c>
      <c r="J42" s="210">
        <f t="shared" si="45"/>
        <v>0</v>
      </c>
      <c r="K42" s="210">
        <f t="shared" si="45"/>
        <v>0</v>
      </c>
      <c r="L42" s="210">
        <f t="shared" si="45"/>
        <v>0</v>
      </c>
      <c r="M42" s="210">
        <f t="shared" si="45"/>
        <v>0</v>
      </c>
      <c r="N42" s="210">
        <f t="shared" si="45"/>
        <v>0</v>
      </c>
      <c r="O42" s="210">
        <f t="shared" si="45"/>
        <v>0</v>
      </c>
      <c r="P42" s="210">
        <f t="shared" si="45"/>
        <v>0</v>
      </c>
      <c r="Q42" s="210">
        <f t="shared" si="45"/>
        <v>0</v>
      </c>
      <c r="R42" s="210">
        <f t="shared" si="45"/>
        <v>0</v>
      </c>
      <c r="S42" s="210">
        <f t="shared" si="45"/>
        <v>0</v>
      </c>
      <c r="T42" s="210">
        <f t="shared" si="45"/>
        <v>0</v>
      </c>
      <c r="U42" s="210">
        <f t="shared" si="45"/>
        <v>0</v>
      </c>
      <c r="V42" s="210">
        <f t="shared" si="45"/>
        <v>0</v>
      </c>
      <c r="W42" s="210">
        <f t="shared" si="45"/>
        <v>0</v>
      </c>
      <c r="X42" s="210">
        <f t="shared" si="45"/>
        <v>0</v>
      </c>
      <c r="Y42" s="210">
        <f t="shared" si="45"/>
        <v>0</v>
      </c>
      <c r="Z42" s="210">
        <f t="shared" si="45"/>
        <v>45.83618133029097</v>
      </c>
      <c r="AA42" s="210">
        <f t="shared" si="45"/>
        <v>45.83618133029097</v>
      </c>
      <c r="AB42" s="210">
        <f t="shared" si="45"/>
        <v>45.83618133029097</v>
      </c>
      <c r="AC42" s="210">
        <f t="shared" si="45"/>
        <v>45.83618133029097</v>
      </c>
      <c r="AD42" s="210">
        <f t="shared" si="45"/>
        <v>45.83618133029097</v>
      </c>
      <c r="AE42" s="210">
        <f t="shared" si="45"/>
        <v>45.83618133029097</v>
      </c>
      <c r="AF42" s="210">
        <f t="shared" si="45"/>
        <v>45.83618133029097</v>
      </c>
      <c r="AG42" s="210">
        <f t="shared" si="45"/>
        <v>45.83618133029097</v>
      </c>
      <c r="AH42" s="210">
        <f t="shared" si="45"/>
        <v>45.83618133029097</v>
      </c>
      <c r="AI42" s="210">
        <f t="shared" si="45"/>
        <v>45.83618133029097</v>
      </c>
      <c r="AJ42" s="210">
        <f t="shared" si="45"/>
        <v>45.83618133029097</v>
      </c>
      <c r="AK42" s="210">
        <f t="shared" si="45"/>
        <v>45.83618133029097</v>
      </c>
      <c r="AL42" s="210">
        <f t="shared" ref="AL42:BQ42" si="46">IF(AL$22&lt;=$E$24,IF(AL$22&lt;=$D$24,IF(AL$22&lt;=$C$24,IF(AL$22&lt;=$B$24,$B108,($C25-$B25)/($C$24-$B$24)),($D25-$C25)/($D$24-$C$24)),($E25-$D25)/($E$24-$D$24)),$F108)</f>
        <v>45.83618133029097</v>
      </c>
      <c r="AM42" s="210">
        <f t="shared" si="46"/>
        <v>45.83618133029097</v>
      </c>
      <c r="AN42" s="210">
        <f t="shared" si="46"/>
        <v>45.83618133029097</v>
      </c>
      <c r="AO42" s="210">
        <f t="shared" si="46"/>
        <v>45.83618133029097</v>
      </c>
      <c r="AP42" s="210">
        <f t="shared" si="46"/>
        <v>45.83618133029097</v>
      </c>
      <c r="AQ42" s="210">
        <f t="shared" si="46"/>
        <v>45.83618133029097</v>
      </c>
      <c r="AR42" s="210">
        <f t="shared" si="46"/>
        <v>45.83618133029097</v>
      </c>
      <c r="AS42" s="210">
        <f t="shared" si="46"/>
        <v>45.83618133029097</v>
      </c>
      <c r="AT42" s="210">
        <f t="shared" si="46"/>
        <v>45.83618133029097</v>
      </c>
      <c r="AU42" s="210">
        <f t="shared" si="46"/>
        <v>45.83618133029097</v>
      </c>
      <c r="AV42" s="210">
        <f t="shared" si="46"/>
        <v>45.83618133029097</v>
      </c>
      <c r="AW42" s="210">
        <f t="shared" si="46"/>
        <v>45.83618133029097</v>
      </c>
      <c r="AX42" s="210">
        <f t="shared" si="46"/>
        <v>45.83618133029097</v>
      </c>
      <c r="AY42" s="210">
        <f t="shared" si="46"/>
        <v>45.83618133029097</v>
      </c>
      <c r="AZ42" s="210">
        <f t="shared" si="46"/>
        <v>45.83618133029097</v>
      </c>
      <c r="BA42" s="210">
        <f t="shared" si="46"/>
        <v>45.83618133029097</v>
      </c>
      <c r="BB42" s="210">
        <f t="shared" si="46"/>
        <v>45.83618133029097</v>
      </c>
      <c r="BC42" s="210">
        <f t="shared" si="46"/>
        <v>45.83618133029097</v>
      </c>
      <c r="BD42" s="210">
        <f t="shared" si="46"/>
        <v>45.83618133029097</v>
      </c>
      <c r="BE42" s="210">
        <f t="shared" si="46"/>
        <v>45.83618133029097</v>
      </c>
      <c r="BF42" s="210">
        <f t="shared" si="46"/>
        <v>45.83618133029097</v>
      </c>
      <c r="BG42" s="210">
        <f t="shared" si="46"/>
        <v>45.83618133029097</v>
      </c>
      <c r="BH42" s="210">
        <f t="shared" si="46"/>
        <v>45.83618133029097</v>
      </c>
      <c r="BI42" s="210">
        <f t="shared" si="46"/>
        <v>45.83618133029097</v>
      </c>
      <c r="BJ42" s="210">
        <f t="shared" si="46"/>
        <v>45.83618133029097</v>
      </c>
      <c r="BK42" s="210">
        <f t="shared" si="46"/>
        <v>-16.805851213711957</v>
      </c>
      <c r="BL42" s="210">
        <f t="shared" si="46"/>
        <v>-16.805851213711957</v>
      </c>
      <c r="BM42" s="210">
        <f t="shared" si="46"/>
        <v>-16.805851213711957</v>
      </c>
      <c r="BN42" s="210">
        <f t="shared" si="46"/>
        <v>-16.805851213711957</v>
      </c>
      <c r="BO42" s="210">
        <f t="shared" si="46"/>
        <v>-16.805851213711957</v>
      </c>
      <c r="BP42" s="210">
        <f t="shared" si="46"/>
        <v>-16.805851213711957</v>
      </c>
      <c r="BQ42" s="210">
        <f t="shared" si="46"/>
        <v>-16.805851213711957</v>
      </c>
      <c r="BR42" s="210">
        <f t="shared" ref="BR42:DA42" si="47">IF(BR$22&lt;=$E$24,IF(BR$22&lt;=$D$24,IF(BR$22&lt;=$C$24,IF(BR$22&lt;=$B$24,$B108,($C25-$B25)/($C$24-$B$24)),($D25-$C25)/($D$24-$C$24)),($E25-$D25)/($E$24-$D$24)),$F108)</f>
        <v>-16.805851213711957</v>
      </c>
      <c r="BS42" s="210">
        <f t="shared" si="47"/>
        <v>-16.805851213711957</v>
      </c>
      <c r="BT42" s="210">
        <f t="shared" si="47"/>
        <v>-16.805851213711957</v>
      </c>
      <c r="BU42" s="210">
        <f t="shared" si="47"/>
        <v>-16.805851213711957</v>
      </c>
      <c r="BV42" s="210">
        <f t="shared" si="47"/>
        <v>-16.805851213711957</v>
      </c>
      <c r="BW42" s="210">
        <f t="shared" si="47"/>
        <v>-16.805851213711957</v>
      </c>
      <c r="BX42" s="210">
        <f t="shared" si="47"/>
        <v>-16.805851213711957</v>
      </c>
      <c r="BY42" s="210">
        <f t="shared" si="47"/>
        <v>-16.805851213711957</v>
      </c>
      <c r="BZ42" s="210">
        <f t="shared" si="47"/>
        <v>-16.805851213711957</v>
      </c>
      <c r="CA42" s="210">
        <f t="shared" si="47"/>
        <v>-16.805851213711957</v>
      </c>
      <c r="CB42" s="210">
        <f t="shared" si="47"/>
        <v>-16.805851213711957</v>
      </c>
      <c r="CC42" s="210">
        <f t="shared" si="47"/>
        <v>-16.805851213711957</v>
      </c>
      <c r="CD42" s="210">
        <f t="shared" si="47"/>
        <v>-16.805851213711957</v>
      </c>
      <c r="CE42" s="210">
        <f t="shared" si="47"/>
        <v>-16.805851213711957</v>
      </c>
      <c r="CF42" s="210">
        <f t="shared" si="47"/>
        <v>-16.805851213711957</v>
      </c>
      <c r="CG42" s="210">
        <f t="shared" si="47"/>
        <v>-16.805851213711957</v>
      </c>
      <c r="CH42" s="210">
        <f t="shared" si="47"/>
        <v>-16.805851213711957</v>
      </c>
      <c r="CI42" s="210">
        <f t="shared" si="47"/>
        <v>-16.805851213711957</v>
      </c>
      <c r="CJ42" s="210">
        <f t="shared" si="47"/>
        <v>-78.91272006325724</v>
      </c>
      <c r="CK42" s="210">
        <f t="shared" si="47"/>
        <v>-78.91272006325724</v>
      </c>
      <c r="CL42" s="210">
        <f t="shared" si="47"/>
        <v>-78.91272006325724</v>
      </c>
      <c r="CM42" s="210">
        <f t="shared" si="47"/>
        <v>-78.91272006325724</v>
      </c>
      <c r="CN42" s="210">
        <f t="shared" si="47"/>
        <v>-78.91272006325724</v>
      </c>
      <c r="CO42" s="210">
        <f t="shared" si="47"/>
        <v>-78.91272006325724</v>
      </c>
      <c r="CP42" s="210">
        <f t="shared" si="47"/>
        <v>-78.91272006325724</v>
      </c>
      <c r="CQ42" s="210">
        <f t="shared" si="47"/>
        <v>-78.91272006325724</v>
      </c>
      <c r="CR42" s="210">
        <f t="shared" si="47"/>
        <v>-78.91272006325724</v>
      </c>
      <c r="CS42" s="210">
        <f t="shared" si="47"/>
        <v>-78.91272006325724</v>
      </c>
      <c r="CT42" s="210">
        <f t="shared" si="47"/>
        <v>-78.91272006325724</v>
      </c>
      <c r="CU42" s="210">
        <f t="shared" si="47"/>
        <v>-78.91272006325724</v>
      </c>
      <c r="CV42" s="210">
        <f t="shared" si="47"/>
        <v>-78.91272006325724</v>
      </c>
      <c r="CW42" s="210">
        <f t="shared" si="47"/>
        <v>106.36000000000007</v>
      </c>
      <c r="CX42" s="210">
        <f t="shared" si="47"/>
        <v>106.36000000000007</v>
      </c>
      <c r="CY42" s="210">
        <f t="shared" si="47"/>
        <v>106.36000000000007</v>
      </c>
      <c r="CZ42" s="210">
        <f t="shared" si="47"/>
        <v>106.36000000000007</v>
      </c>
      <c r="DA42" s="210">
        <f t="shared" si="47"/>
        <v>106.36000000000007</v>
      </c>
    </row>
    <row r="43" spans="1:105">
      <c r="A43" s="201" t="str">
        <f>Income!A73</f>
        <v>Own crops sold</v>
      </c>
      <c r="F43" s="210">
        <f t="shared" ref="F43:AK43" si="48">IF(F$22&lt;=$E$24,IF(F$22&lt;=$D$24,IF(F$22&lt;=$C$24,IF(F$22&lt;=$B$24,$B109,($C26-$B26)/($C$24-$B$24)),($D26-$C26)/($D$24-$C$24)),($E26-$D26)/($E$24-$D$24)),$F109)</f>
        <v>340.26</v>
      </c>
      <c r="G43" s="210">
        <f t="shared" si="48"/>
        <v>340.26</v>
      </c>
      <c r="H43" s="210">
        <f t="shared" si="48"/>
        <v>340.26</v>
      </c>
      <c r="I43" s="210">
        <f t="shared" si="48"/>
        <v>340.26</v>
      </c>
      <c r="J43" s="210">
        <f t="shared" si="48"/>
        <v>340.26</v>
      </c>
      <c r="K43" s="210">
        <f t="shared" si="48"/>
        <v>340.26</v>
      </c>
      <c r="L43" s="210">
        <f>IF(L$22&lt;=$E$24,IF(L$22&lt;=$D$24,IF(L$22&lt;=$C$24,IF(L$22&lt;=$B$24,$B109,($C26-$B26)/($C$24-$B$24)),($D26-$C26)/($D$24-$C$24)),($E26-$D26)/($E$24-$D$24)),$F109)</f>
        <v>340.26</v>
      </c>
      <c r="M43" s="210">
        <f t="shared" si="48"/>
        <v>340.26</v>
      </c>
      <c r="N43" s="210">
        <f t="shared" si="48"/>
        <v>340.26</v>
      </c>
      <c r="O43" s="210">
        <f t="shared" si="48"/>
        <v>340.26</v>
      </c>
      <c r="P43" s="210">
        <f t="shared" si="48"/>
        <v>340.26</v>
      </c>
      <c r="Q43" s="210">
        <f t="shared" si="48"/>
        <v>340.26</v>
      </c>
      <c r="R43" s="210">
        <f t="shared" si="48"/>
        <v>340.26</v>
      </c>
      <c r="S43" s="210">
        <f t="shared" si="48"/>
        <v>340.26</v>
      </c>
      <c r="T43" s="210">
        <f t="shared" si="48"/>
        <v>340.26</v>
      </c>
      <c r="U43" s="210">
        <f t="shared" si="48"/>
        <v>340.26</v>
      </c>
      <c r="V43" s="210">
        <f t="shared" si="48"/>
        <v>340.26</v>
      </c>
      <c r="W43" s="210">
        <f t="shared" si="48"/>
        <v>340.26</v>
      </c>
      <c r="X43" s="210">
        <f t="shared" si="48"/>
        <v>340.26</v>
      </c>
      <c r="Y43" s="210">
        <f t="shared" si="48"/>
        <v>340.26</v>
      </c>
      <c r="Z43" s="210">
        <f t="shared" si="48"/>
        <v>41.105929937058541</v>
      </c>
      <c r="AA43" s="210">
        <f t="shared" si="48"/>
        <v>41.105929937058541</v>
      </c>
      <c r="AB43" s="210">
        <f t="shared" si="48"/>
        <v>41.105929937058541</v>
      </c>
      <c r="AC43" s="210">
        <f t="shared" si="48"/>
        <v>41.105929937058541</v>
      </c>
      <c r="AD43" s="210">
        <f t="shared" si="48"/>
        <v>41.105929937058541</v>
      </c>
      <c r="AE43" s="210">
        <f t="shared" si="48"/>
        <v>41.105929937058541</v>
      </c>
      <c r="AF43" s="210">
        <f t="shared" si="48"/>
        <v>41.105929937058541</v>
      </c>
      <c r="AG43" s="210">
        <f t="shared" si="48"/>
        <v>41.105929937058541</v>
      </c>
      <c r="AH43" s="210">
        <f t="shared" si="48"/>
        <v>41.105929937058541</v>
      </c>
      <c r="AI43" s="210">
        <f t="shared" si="48"/>
        <v>41.105929937058541</v>
      </c>
      <c r="AJ43" s="210">
        <f t="shared" si="48"/>
        <v>41.105929937058541</v>
      </c>
      <c r="AK43" s="210">
        <f t="shared" si="48"/>
        <v>41.105929937058541</v>
      </c>
      <c r="AL43" s="210">
        <f t="shared" ref="AL43:BQ43" si="49">IF(AL$22&lt;=$E$24,IF(AL$22&lt;=$D$24,IF(AL$22&lt;=$C$24,IF(AL$22&lt;=$B$24,$B109,($C26-$B26)/($C$24-$B$24)),($D26-$C26)/($D$24-$C$24)),($E26-$D26)/($E$24-$D$24)),$F109)</f>
        <v>41.105929937058541</v>
      </c>
      <c r="AM43" s="210">
        <f t="shared" si="49"/>
        <v>41.105929937058541</v>
      </c>
      <c r="AN43" s="210">
        <f t="shared" si="49"/>
        <v>41.105929937058541</v>
      </c>
      <c r="AO43" s="210">
        <f t="shared" si="49"/>
        <v>41.105929937058541</v>
      </c>
      <c r="AP43" s="210">
        <f t="shared" si="49"/>
        <v>41.105929937058541</v>
      </c>
      <c r="AQ43" s="210">
        <f t="shared" si="49"/>
        <v>41.105929937058541</v>
      </c>
      <c r="AR43" s="210">
        <f t="shared" si="49"/>
        <v>41.105929937058541</v>
      </c>
      <c r="AS43" s="210">
        <f t="shared" si="49"/>
        <v>41.105929937058541</v>
      </c>
      <c r="AT43" s="210">
        <f t="shared" si="49"/>
        <v>41.105929937058541</v>
      </c>
      <c r="AU43" s="210">
        <f t="shared" si="49"/>
        <v>41.105929937058541</v>
      </c>
      <c r="AV43" s="210">
        <f t="shared" si="49"/>
        <v>41.105929937058541</v>
      </c>
      <c r="AW43" s="210">
        <f t="shared" si="49"/>
        <v>41.105929937058541</v>
      </c>
      <c r="AX43" s="210">
        <f t="shared" si="49"/>
        <v>41.105929937058541</v>
      </c>
      <c r="AY43" s="210">
        <f t="shared" si="49"/>
        <v>41.105929937058541</v>
      </c>
      <c r="AZ43" s="210">
        <f t="shared" si="49"/>
        <v>41.105929937058541</v>
      </c>
      <c r="BA43" s="210">
        <f t="shared" si="49"/>
        <v>41.105929937058541</v>
      </c>
      <c r="BB43" s="210">
        <f t="shared" si="49"/>
        <v>41.105929937058541</v>
      </c>
      <c r="BC43" s="210">
        <f t="shared" si="49"/>
        <v>41.105929937058541</v>
      </c>
      <c r="BD43" s="210">
        <f t="shared" si="49"/>
        <v>41.105929937058541</v>
      </c>
      <c r="BE43" s="210">
        <f t="shared" si="49"/>
        <v>41.105929937058541</v>
      </c>
      <c r="BF43" s="210">
        <f t="shared" si="49"/>
        <v>41.105929937058541</v>
      </c>
      <c r="BG43" s="210">
        <f t="shared" si="49"/>
        <v>41.105929937058541</v>
      </c>
      <c r="BH43" s="210">
        <f t="shared" si="49"/>
        <v>41.105929937058541</v>
      </c>
      <c r="BI43" s="210">
        <f t="shared" si="49"/>
        <v>41.105929937058541</v>
      </c>
      <c r="BJ43" s="210">
        <f t="shared" si="49"/>
        <v>41.105929937058541</v>
      </c>
      <c r="BK43" s="210">
        <f t="shared" si="49"/>
        <v>373.39354695975197</v>
      </c>
      <c r="BL43" s="210">
        <f t="shared" si="49"/>
        <v>373.39354695975197</v>
      </c>
      <c r="BM43" s="210">
        <f t="shared" si="49"/>
        <v>373.39354695975197</v>
      </c>
      <c r="BN43" s="210">
        <f t="shared" si="49"/>
        <v>373.39354695975197</v>
      </c>
      <c r="BO43" s="210">
        <f t="shared" si="49"/>
        <v>373.39354695975197</v>
      </c>
      <c r="BP43" s="210">
        <f t="shared" si="49"/>
        <v>373.39354695975197</v>
      </c>
      <c r="BQ43" s="210">
        <f t="shared" si="49"/>
        <v>373.39354695975197</v>
      </c>
      <c r="BR43" s="210">
        <f t="shared" ref="BR43:DA43" si="50">IF(BR$22&lt;=$E$24,IF(BR$22&lt;=$D$24,IF(BR$22&lt;=$C$24,IF(BR$22&lt;=$B$24,$B109,($C26-$B26)/($C$24-$B$24)),($D26-$C26)/($D$24-$C$24)),($E26-$D26)/($E$24-$D$24)),$F109)</f>
        <v>373.39354695975197</v>
      </c>
      <c r="BS43" s="210">
        <f t="shared" si="50"/>
        <v>373.39354695975197</v>
      </c>
      <c r="BT43" s="210">
        <f t="shared" si="50"/>
        <v>373.39354695975197</v>
      </c>
      <c r="BU43" s="210">
        <f t="shared" si="50"/>
        <v>373.39354695975197</v>
      </c>
      <c r="BV43" s="210">
        <f t="shared" si="50"/>
        <v>373.39354695975197</v>
      </c>
      <c r="BW43" s="210">
        <f t="shared" si="50"/>
        <v>373.39354695975197</v>
      </c>
      <c r="BX43" s="210">
        <f t="shared" si="50"/>
        <v>373.39354695975197</v>
      </c>
      <c r="BY43" s="210">
        <f t="shared" si="50"/>
        <v>373.39354695975197</v>
      </c>
      <c r="BZ43" s="210">
        <f t="shared" si="50"/>
        <v>373.39354695975197</v>
      </c>
      <c r="CA43" s="210">
        <f t="shared" si="50"/>
        <v>373.39354695975197</v>
      </c>
      <c r="CB43" s="210">
        <f t="shared" si="50"/>
        <v>373.39354695975197</v>
      </c>
      <c r="CC43" s="210">
        <f t="shared" si="50"/>
        <v>373.39354695975197</v>
      </c>
      <c r="CD43" s="210">
        <f t="shared" si="50"/>
        <v>373.39354695975197</v>
      </c>
      <c r="CE43" s="210">
        <f t="shared" si="50"/>
        <v>373.39354695975197</v>
      </c>
      <c r="CF43" s="210">
        <f t="shared" si="50"/>
        <v>373.39354695975197</v>
      </c>
      <c r="CG43" s="210">
        <f t="shared" si="50"/>
        <v>373.39354695975197</v>
      </c>
      <c r="CH43" s="210">
        <f t="shared" si="50"/>
        <v>373.39354695975197</v>
      </c>
      <c r="CI43" s="210">
        <f t="shared" si="50"/>
        <v>373.39354695975197</v>
      </c>
      <c r="CJ43" s="210">
        <f t="shared" si="50"/>
        <v>833.73285036555046</v>
      </c>
      <c r="CK43" s="210">
        <f t="shared" si="50"/>
        <v>833.73285036555046</v>
      </c>
      <c r="CL43" s="210">
        <f t="shared" si="50"/>
        <v>833.73285036555046</v>
      </c>
      <c r="CM43" s="210">
        <f t="shared" si="50"/>
        <v>833.73285036555046</v>
      </c>
      <c r="CN43" s="210">
        <f t="shared" si="50"/>
        <v>833.73285036555046</v>
      </c>
      <c r="CO43" s="210">
        <f t="shared" si="50"/>
        <v>833.73285036555046</v>
      </c>
      <c r="CP43" s="210">
        <f t="shared" si="50"/>
        <v>833.73285036555046</v>
      </c>
      <c r="CQ43" s="210">
        <f t="shared" si="50"/>
        <v>833.73285036555046</v>
      </c>
      <c r="CR43" s="210">
        <f t="shared" si="50"/>
        <v>833.73285036555046</v>
      </c>
      <c r="CS43" s="210">
        <f t="shared" si="50"/>
        <v>833.73285036555046</v>
      </c>
      <c r="CT43" s="210">
        <f t="shared" si="50"/>
        <v>833.73285036555046</v>
      </c>
      <c r="CU43" s="210">
        <f t="shared" si="50"/>
        <v>833.73285036555046</v>
      </c>
      <c r="CV43" s="210">
        <f t="shared" si="50"/>
        <v>833.73285036555046</v>
      </c>
      <c r="CW43" s="210">
        <f t="shared" si="50"/>
        <v>724.86000000000013</v>
      </c>
      <c r="CX43" s="210">
        <f t="shared" si="50"/>
        <v>724.86000000000013</v>
      </c>
      <c r="CY43" s="210">
        <f t="shared" si="50"/>
        <v>724.86000000000013</v>
      </c>
      <c r="CZ43" s="210">
        <f t="shared" si="50"/>
        <v>724.86000000000013</v>
      </c>
      <c r="DA43" s="210">
        <f t="shared" si="50"/>
        <v>724.86000000000013</v>
      </c>
    </row>
    <row r="44" spans="1:105">
      <c r="A44" s="201" t="str">
        <f>Income!A74</f>
        <v>Animal products consumed</v>
      </c>
      <c r="F44" s="210">
        <f t="shared" ref="F44:AK44" si="51">IF(F$22&lt;=$E$24,IF(F$22&lt;=$D$24,IF(F$22&lt;=$C$24,IF(F$22&lt;=$B$24,$B110,($C27-$B27)/($C$24-$B$24)),($D27-$C27)/($D$24-$C$24)),($E27-$D27)/($E$24-$D$24)),$F110)</f>
        <v>0</v>
      </c>
      <c r="G44" s="210">
        <f t="shared" si="51"/>
        <v>0</v>
      </c>
      <c r="H44" s="210">
        <f t="shared" si="51"/>
        <v>0</v>
      </c>
      <c r="I44" s="210">
        <f t="shared" si="51"/>
        <v>0</v>
      </c>
      <c r="J44" s="210">
        <f t="shared" si="51"/>
        <v>0</v>
      </c>
      <c r="K44" s="210">
        <f t="shared" si="51"/>
        <v>0</v>
      </c>
      <c r="L44" s="210">
        <f t="shared" si="51"/>
        <v>0</v>
      </c>
      <c r="M44" s="210">
        <f t="shared" si="51"/>
        <v>0</v>
      </c>
      <c r="N44" s="210">
        <f t="shared" si="51"/>
        <v>0</v>
      </c>
      <c r="O44" s="210">
        <f t="shared" si="51"/>
        <v>0</v>
      </c>
      <c r="P44" s="210">
        <f t="shared" si="51"/>
        <v>0</v>
      </c>
      <c r="Q44" s="210">
        <f t="shared" si="51"/>
        <v>0</v>
      </c>
      <c r="R44" s="210">
        <f t="shared" si="51"/>
        <v>0</v>
      </c>
      <c r="S44" s="210">
        <f t="shared" si="51"/>
        <v>0</v>
      </c>
      <c r="T44" s="210">
        <f t="shared" si="51"/>
        <v>0</v>
      </c>
      <c r="U44" s="210">
        <f t="shared" si="51"/>
        <v>0</v>
      </c>
      <c r="V44" s="210">
        <f t="shared" si="51"/>
        <v>0</v>
      </c>
      <c r="W44" s="210">
        <f t="shared" si="51"/>
        <v>0</v>
      </c>
      <c r="X44" s="210">
        <f t="shared" si="51"/>
        <v>0</v>
      </c>
      <c r="Y44" s="210">
        <f t="shared" si="51"/>
        <v>0</v>
      </c>
      <c r="Z44" s="210">
        <f t="shared" si="51"/>
        <v>13.550886419716154</v>
      </c>
      <c r="AA44" s="210">
        <f t="shared" si="51"/>
        <v>13.550886419716154</v>
      </c>
      <c r="AB44" s="210">
        <f t="shared" si="51"/>
        <v>13.550886419716154</v>
      </c>
      <c r="AC44" s="210">
        <f t="shared" si="51"/>
        <v>13.550886419716154</v>
      </c>
      <c r="AD44" s="210">
        <f t="shared" si="51"/>
        <v>13.550886419716154</v>
      </c>
      <c r="AE44" s="210">
        <f t="shared" si="51"/>
        <v>13.550886419716154</v>
      </c>
      <c r="AF44" s="210">
        <f t="shared" si="51"/>
        <v>13.550886419716154</v>
      </c>
      <c r="AG44" s="210">
        <f t="shared" si="51"/>
        <v>13.550886419716154</v>
      </c>
      <c r="AH44" s="210">
        <f t="shared" si="51"/>
        <v>13.550886419716154</v>
      </c>
      <c r="AI44" s="210">
        <f t="shared" si="51"/>
        <v>13.550886419716154</v>
      </c>
      <c r="AJ44" s="210">
        <f t="shared" si="51"/>
        <v>13.550886419716154</v>
      </c>
      <c r="AK44" s="210">
        <f t="shared" si="51"/>
        <v>13.550886419716154</v>
      </c>
      <c r="AL44" s="210">
        <f t="shared" ref="AL44:BQ44" si="52">IF(AL$22&lt;=$E$24,IF(AL$22&lt;=$D$24,IF(AL$22&lt;=$C$24,IF(AL$22&lt;=$B$24,$B110,($C27-$B27)/($C$24-$B$24)),($D27-$C27)/($D$24-$C$24)),($E27-$D27)/($E$24-$D$24)),$F110)</f>
        <v>13.550886419716154</v>
      </c>
      <c r="AM44" s="210">
        <f t="shared" si="52"/>
        <v>13.550886419716154</v>
      </c>
      <c r="AN44" s="210">
        <f t="shared" si="52"/>
        <v>13.550886419716154</v>
      </c>
      <c r="AO44" s="210">
        <f t="shared" si="52"/>
        <v>13.550886419716154</v>
      </c>
      <c r="AP44" s="210">
        <f t="shared" si="52"/>
        <v>13.550886419716154</v>
      </c>
      <c r="AQ44" s="210">
        <f t="shared" si="52"/>
        <v>13.550886419716154</v>
      </c>
      <c r="AR44" s="210">
        <f t="shared" si="52"/>
        <v>13.550886419716154</v>
      </c>
      <c r="AS44" s="210">
        <f t="shared" si="52"/>
        <v>13.550886419716154</v>
      </c>
      <c r="AT44" s="210">
        <f t="shared" si="52"/>
        <v>13.550886419716154</v>
      </c>
      <c r="AU44" s="210">
        <f t="shared" si="52"/>
        <v>13.550886419716154</v>
      </c>
      <c r="AV44" s="210">
        <f t="shared" si="52"/>
        <v>13.550886419716154</v>
      </c>
      <c r="AW44" s="210">
        <f t="shared" si="52"/>
        <v>13.550886419716154</v>
      </c>
      <c r="AX44" s="210">
        <f t="shared" si="52"/>
        <v>13.550886419716154</v>
      </c>
      <c r="AY44" s="210">
        <f t="shared" si="52"/>
        <v>13.550886419716154</v>
      </c>
      <c r="AZ44" s="210">
        <f t="shared" si="52"/>
        <v>13.550886419716154</v>
      </c>
      <c r="BA44" s="210">
        <f t="shared" si="52"/>
        <v>13.550886419716154</v>
      </c>
      <c r="BB44" s="210">
        <f t="shared" si="52"/>
        <v>13.550886419716154</v>
      </c>
      <c r="BC44" s="210">
        <f t="shared" si="52"/>
        <v>13.550886419716154</v>
      </c>
      <c r="BD44" s="210">
        <f t="shared" si="52"/>
        <v>13.550886419716154</v>
      </c>
      <c r="BE44" s="210">
        <f t="shared" si="52"/>
        <v>13.550886419716154</v>
      </c>
      <c r="BF44" s="210">
        <f t="shared" si="52"/>
        <v>13.550886419716154</v>
      </c>
      <c r="BG44" s="210">
        <f t="shared" si="52"/>
        <v>13.550886419716154</v>
      </c>
      <c r="BH44" s="210">
        <f t="shared" si="52"/>
        <v>13.550886419716154</v>
      </c>
      <c r="BI44" s="210">
        <f t="shared" si="52"/>
        <v>13.550886419716154</v>
      </c>
      <c r="BJ44" s="210">
        <f t="shared" si="52"/>
        <v>13.550886419716154</v>
      </c>
      <c r="BK44" s="210">
        <f t="shared" si="52"/>
        <v>32.842597103089481</v>
      </c>
      <c r="BL44" s="210">
        <f t="shared" si="52"/>
        <v>32.842597103089481</v>
      </c>
      <c r="BM44" s="210">
        <f t="shared" si="52"/>
        <v>32.842597103089481</v>
      </c>
      <c r="BN44" s="210">
        <f t="shared" si="52"/>
        <v>32.842597103089481</v>
      </c>
      <c r="BO44" s="210">
        <f t="shared" si="52"/>
        <v>32.842597103089481</v>
      </c>
      <c r="BP44" s="210">
        <f t="shared" si="52"/>
        <v>32.842597103089481</v>
      </c>
      <c r="BQ44" s="210">
        <f t="shared" si="52"/>
        <v>32.842597103089481</v>
      </c>
      <c r="BR44" s="210">
        <f t="shared" ref="BR44:DA44" si="53">IF(BR$22&lt;=$E$24,IF(BR$22&lt;=$D$24,IF(BR$22&lt;=$C$24,IF(BR$22&lt;=$B$24,$B110,($C27-$B27)/($C$24-$B$24)),($D27-$C27)/($D$24-$C$24)),($E27-$D27)/($E$24-$D$24)),$F110)</f>
        <v>32.842597103089481</v>
      </c>
      <c r="BS44" s="210">
        <f t="shared" si="53"/>
        <v>32.842597103089481</v>
      </c>
      <c r="BT44" s="210">
        <f t="shared" si="53"/>
        <v>32.842597103089481</v>
      </c>
      <c r="BU44" s="210">
        <f t="shared" si="53"/>
        <v>32.842597103089481</v>
      </c>
      <c r="BV44" s="210">
        <f t="shared" si="53"/>
        <v>32.842597103089481</v>
      </c>
      <c r="BW44" s="210">
        <f t="shared" si="53"/>
        <v>32.842597103089481</v>
      </c>
      <c r="BX44" s="210">
        <f t="shared" si="53"/>
        <v>32.842597103089481</v>
      </c>
      <c r="BY44" s="210">
        <f t="shared" si="53"/>
        <v>32.842597103089481</v>
      </c>
      <c r="BZ44" s="210">
        <f t="shared" si="53"/>
        <v>32.842597103089481</v>
      </c>
      <c r="CA44" s="210">
        <f t="shared" si="53"/>
        <v>32.842597103089481</v>
      </c>
      <c r="CB44" s="210">
        <f t="shared" si="53"/>
        <v>32.842597103089481</v>
      </c>
      <c r="CC44" s="210">
        <f t="shared" si="53"/>
        <v>32.842597103089481</v>
      </c>
      <c r="CD44" s="210">
        <f t="shared" si="53"/>
        <v>32.842597103089481</v>
      </c>
      <c r="CE44" s="210">
        <f t="shared" si="53"/>
        <v>32.842597103089481</v>
      </c>
      <c r="CF44" s="210">
        <f t="shared" si="53"/>
        <v>32.842597103089481</v>
      </c>
      <c r="CG44" s="210">
        <f t="shared" si="53"/>
        <v>32.842597103089481</v>
      </c>
      <c r="CH44" s="210">
        <f t="shared" si="53"/>
        <v>32.842597103089481</v>
      </c>
      <c r="CI44" s="210">
        <f t="shared" si="53"/>
        <v>32.842597103089481</v>
      </c>
      <c r="CJ44" s="210">
        <f t="shared" si="53"/>
        <v>20.418646632837273</v>
      </c>
      <c r="CK44" s="210">
        <f t="shared" si="53"/>
        <v>20.418646632837273</v>
      </c>
      <c r="CL44" s="210">
        <f t="shared" si="53"/>
        <v>20.418646632837273</v>
      </c>
      <c r="CM44" s="210">
        <f t="shared" si="53"/>
        <v>20.418646632837273</v>
      </c>
      <c r="CN44" s="210">
        <f t="shared" si="53"/>
        <v>20.418646632837273</v>
      </c>
      <c r="CO44" s="210">
        <f t="shared" si="53"/>
        <v>20.418646632837273</v>
      </c>
      <c r="CP44" s="210">
        <f t="shared" si="53"/>
        <v>20.418646632837273</v>
      </c>
      <c r="CQ44" s="210">
        <f t="shared" si="53"/>
        <v>20.418646632837273</v>
      </c>
      <c r="CR44" s="210">
        <f t="shared" si="53"/>
        <v>20.418646632837273</v>
      </c>
      <c r="CS44" s="210">
        <f t="shared" si="53"/>
        <v>20.418646632837273</v>
      </c>
      <c r="CT44" s="210">
        <f t="shared" si="53"/>
        <v>20.418646632837273</v>
      </c>
      <c r="CU44" s="210">
        <f t="shared" si="53"/>
        <v>20.418646632837273</v>
      </c>
      <c r="CV44" s="210">
        <f t="shared" si="53"/>
        <v>20.418646632837273</v>
      </c>
      <c r="CW44" s="210">
        <f t="shared" si="53"/>
        <v>8.4310000000000009</v>
      </c>
      <c r="CX44" s="210">
        <f t="shared" si="53"/>
        <v>8.4310000000000009</v>
      </c>
      <c r="CY44" s="210">
        <f t="shared" si="53"/>
        <v>8.4310000000000009</v>
      </c>
      <c r="CZ44" s="210">
        <f t="shared" si="53"/>
        <v>8.4310000000000009</v>
      </c>
      <c r="DA44" s="210">
        <f t="shared" si="53"/>
        <v>8.4310000000000009</v>
      </c>
    </row>
    <row r="45" spans="1:105">
      <c r="A45" s="201" t="str">
        <f>Income!A75</f>
        <v>Animal products sold</v>
      </c>
      <c r="F45" s="210">
        <f t="shared" ref="F45:AK45" si="54">IF(F$22&lt;=$E$24,IF(F$22&lt;=$D$24,IF(F$22&lt;=$C$24,IF(F$22&lt;=$B$24,$B111,($C28-$B28)/($C$24-$B$24)),($D28-$C28)/($D$24-$C$24)),($E28-$D28)/($E$24-$D$24)),$F111)</f>
        <v>0</v>
      </c>
      <c r="G45" s="210">
        <f t="shared" si="54"/>
        <v>0</v>
      </c>
      <c r="H45" s="210">
        <f t="shared" si="54"/>
        <v>0</v>
      </c>
      <c r="I45" s="210">
        <f t="shared" si="54"/>
        <v>0</v>
      </c>
      <c r="J45" s="210">
        <f t="shared" si="54"/>
        <v>0</v>
      </c>
      <c r="K45" s="210">
        <f t="shared" si="54"/>
        <v>0</v>
      </c>
      <c r="L45" s="210">
        <f t="shared" si="54"/>
        <v>0</v>
      </c>
      <c r="M45" s="210">
        <f t="shared" si="54"/>
        <v>0</v>
      </c>
      <c r="N45" s="210">
        <f t="shared" si="54"/>
        <v>0</v>
      </c>
      <c r="O45" s="210">
        <f t="shared" si="54"/>
        <v>0</v>
      </c>
      <c r="P45" s="210">
        <f t="shared" si="54"/>
        <v>0</v>
      </c>
      <c r="Q45" s="210">
        <f t="shared" si="54"/>
        <v>0</v>
      </c>
      <c r="R45" s="210">
        <f t="shared" si="54"/>
        <v>0</v>
      </c>
      <c r="S45" s="210">
        <f t="shared" si="54"/>
        <v>0</v>
      </c>
      <c r="T45" s="210">
        <f t="shared" si="54"/>
        <v>0</v>
      </c>
      <c r="U45" s="210">
        <f t="shared" si="54"/>
        <v>0</v>
      </c>
      <c r="V45" s="210">
        <f t="shared" si="54"/>
        <v>0</v>
      </c>
      <c r="W45" s="210">
        <f t="shared" si="54"/>
        <v>0</v>
      </c>
      <c r="X45" s="210">
        <f t="shared" si="54"/>
        <v>0</v>
      </c>
      <c r="Y45" s="210">
        <f t="shared" si="54"/>
        <v>0</v>
      </c>
      <c r="Z45" s="210">
        <f t="shared" si="54"/>
        <v>0</v>
      </c>
      <c r="AA45" s="210">
        <f t="shared" si="54"/>
        <v>0</v>
      </c>
      <c r="AB45" s="210">
        <f t="shared" si="54"/>
        <v>0</v>
      </c>
      <c r="AC45" s="210">
        <f t="shared" si="54"/>
        <v>0</v>
      </c>
      <c r="AD45" s="210">
        <f t="shared" si="54"/>
        <v>0</v>
      </c>
      <c r="AE45" s="210">
        <f t="shared" si="54"/>
        <v>0</v>
      </c>
      <c r="AF45" s="210">
        <f t="shared" si="54"/>
        <v>0</v>
      </c>
      <c r="AG45" s="210">
        <f t="shared" si="54"/>
        <v>0</v>
      </c>
      <c r="AH45" s="210">
        <f t="shared" si="54"/>
        <v>0</v>
      </c>
      <c r="AI45" s="210">
        <f t="shared" si="54"/>
        <v>0</v>
      </c>
      <c r="AJ45" s="210">
        <f t="shared" si="54"/>
        <v>0</v>
      </c>
      <c r="AK45" s="210">
        <f t="shared" si="54"/>
        <v>0</v>
      </c>
      <c r="AL45" s="210">
        <f t="shared" ref="AL45:BQ45" si="55">IF(AL$22&lt;=$E$24,IF(AL$22&lt;=$D$24,IF(AL$22&lt;=$C$24,IF(AL$22&lt;=$B$24,$B111,($C28-$B28)/($C$24-$B$24)),($D28-$C28)/($D$24-$C$24)),($E28-$D28)/($E$24-$D$24)),$F111)</f>
        <v>0</v>
      </c>
      <c r="AM45" s="210">
        <f t="shared" si="55"/>
        <v>0</v>
      </c>
      <c r="AN45" s="210">
        <f t="shared" si="55"/>
        <v>0</v>
      </c>
      <c r="AO45" s="210">
        <f t="shared" si="55"/>
        <v>0</v>
      </c>
      <c r="AP45" s="210">
        <f t="shared" si="55"/>
        <v>0</v>
      </c>
      <c r="AQ45" s="210">
        <f t="shared" si="55"/>
        <v>0</v>
      </c>
      <c r="AR45" s="210">
        <f t="shared" si="55"/>
        <v>0</v>
      </c>
      <c r="AS45" s="210">
        <f t="shared" si="55"/>
        <v>0</v>
      </c>
      <c r="AT45" s="210">
        <f t="shared" si="55"/>
        <v>0</v>
      </c>
      <c r="AU45" s="210">
        <f t="shared" si="55"/>
        <v>0</v>
      </c>
      <c r="AV45" s="210">
        <f t="shared" si="55"/>
        <v>0</v>
      </c>
      <c r="AW45" s="210">
        <f t="shared" si="55"/>
        <v>0</v>
      </c>
      <c r="AX45" s="210">
        <f t="shared" si="55"/>
        <v>0</v>
      </c>
      <c r="AY45" s="210">
        <f t="shared" si="55"/>
        <v>0</v>
      </c>
      <c r="AZ45" s="210">
        <f t="shared" si="55"/>
        <v>0</v>
      </c>
      <c r="BA45" s="210">
        <f t="shared" si="55"/>
        <v>0</v>
      </c>
      <c r="BB45" s="210">
        <f t="shared" si="55"/>
        <v>0</v>
      </c>
      <c r="BC45" s="210">
        <f t="shared" si="55"/>
        <v>0</v>
      </c>
      <c r="BD45" s="210">
        <f t="shared" si="55"/>
        <v>0</v>
      </c>
      <c r="BE45" s="210">
        <f t="shared" si="55"/>
        <v>0</v>
      </c>
      <c r="BF45" s="210">
        <f t="shared" si="55"/>
        <v>0</v>
      </c>
      <c r="BG45" s="210">
        <f t="shared" si="55"/>
        <v>0</v>
      </c>
      <c r="BH45" s="210">
        <f t="shared" si="55"/>
        <v>0</v>
      </c>
      <c r="BI45" s="210">
        <f t="shared" si="55"/>
        <v>0</v>
      </c>
      <c r="BJ45" s="210">
        <f t="shared" si="55"/>
        <v>0</v>
      </c>
      <c r="BK45" s="210">
        <f t="shared" si="55"/>
        <v>0</v>
      </c>
      <c r="BL45" s="210">
        <f t="shared" si="55"/>
        <v>0</v>
      </c>
      <c r="BM45" s="210">
        <f t="shared" si="55"/>
        <v>0</v>
      </c>
      <c r="BN45" s="210">
        <f t="shared" si="55"/>
        <v>0</v>
      </c>
      <c r="BO45" s="210">
        <f t="shared" si="55"/>
        <v>0</v>
      </c>
      <c r="BP45" s="210">
        <f t="shared" si="55"/>
        <v>0</v>
      </c>
      <c r="BQ45" s="210">
        <f t="shared" si="55"/>
        <v>0</v>
      </c>
      <c r="BR45" s="210">
        <f t="shared" ref="BR45:DA45" si="56">IF(BR$22&lt;=$E$24,IF(BR$22&lt;=$D$24,IF(BR$22&lt;=$C$24,IF(BR$22&lt;=$B$24,$B111,($C28-$B28)/($C$24-$B$24)),($D28-$C28)/($D$24-$C$24)),($E28-$D28)/($E$24-$D$24)),$F111)</f>
        <v>0</v>
      </c>
      <c r="BS45" s="210">
        <f t="shared" si="56"/>
        <v>0</v>
      </c>
      <c r="BT45" s="210">
        <f t="shared" si="56"/>
        <v>0</v>
      </c>
      <c r="BU45" s="210">
        <f t="shared" si="56"/>
        <v>0</v>
      </c>
      <c r="BV45" s="210">
        <f t="shared" si="56"/>
        <v>0</v>
      </c>
      <c r="BW45" s="210">
        <f t="shared" si="56"/>
        <v>0</v>
      </c>
      <c r="BX45" s="210">
        <f t="shared" si="56"/>
        <v>0</v>
      </c>
      <c r="BY45" s="210">
        <f t="shared" si="56"/>
        <v>0</v>
      </c>
      <c r="BZ45" s="210">
        <f t="shared" si="56"/>
        <v>0</v>
      </c>
      <c r="CA45" s="210">
        <f t="shared" si="56"/>
        <v>0</v>
      </c>
      <c r="CB45" s="210">
        <f t="shared" si="56"/>
        <v>0</v>
      </c>
      <c r="CC45" s="210">
        <f t="shared" si="56"/>
        <v>0</v>
      </c>
      <c r="CD45" s="210">
        <f t="shared" si="56"/>
        <v>0</v>
      </c>
      <c r="CE45" s="210">
        <f t="shared" si="56"/>
        <v>0</v>
      </c>
      <c r="CF45" s="210">
        <f t="shared" si="56"/>
        <v>0</v>
      </c>
      <c r="CG45" s="210">
        <f t="shared" si="56"/>
        <v>0</v>
      </c>
      <c r="CH45" s="210">
        <f t="shared" si="56"/>
        <v>0</v>
      </c>
      <c r="CI45" s="210">
        <f t="shared" si="56"/>
        <v>0</v>
      </c>
      <c r="CJ45" s="210">
        <f t="shared" si="56"/>
        <v>0</v>
      </c>
      <c r="CK45" s="210">
        <f t="shared" si="56"/>
        <v>0</v>
      </c>
      <c r="CL45" s="210">
        <f t="shared" si="56"/>
        <v>0</v>
      </c>
      <c r="CM45" s="210">
        <f t="shared" si="56"/>
        <v>0</v>
      </c>
      <c r="CN45" s="210">
        <f t="shared" si="56"/>
        <v>0</v>
      </c>
      <c r="CO45" s="210">
        <f t="shared" si="56"/>
        <v>0</v>
      </c>
      <c r="CP45" s="210">
        <f t="shared" si="56"/>
        <v>0</v>
      </c>
      <c r="CQ45" s="210">
        <f t="shared" si="56"/>
        <v>0</v>
      </c>
      <c r="CR45" s="210">
        <f t="shared" si="56"/>
        <v>0</v>
      </c>
      <c r="CS45" s="210">
        <f t="shared" si="56"/>
        <v>0</v>
      </c>
      <c r="CT45" s="210">
        <f t="shared" si="56"/>
        <v>0</v>
      </c>
      <c r="CU45" s="210">
        <f t="shared" si="56"/>
        <v>0</v>
      </c>
      <c r="CV45" s="210">
        <f t="shared" si="56"/>
        <v>0</v>
      </c>
      <c r="CW45" s="210">
        <f t="shared" si="56"/>
        <v>0</v>
      </c>
      <c r="CX45" s="210">
        <f t="shared" si="56"/>
        <v>0</v>
      </c>
      <c r="CY45" s="210">
        <f t="shared" si="56"/>
        <v>0</v>
      </c>
      <c r="CZ45" s="210">
        <f t="shared" si="56"/>
        <v>0</v>
      </c>
      <c r="DA45" s="210">
        <f t="shared" si="56"/>
        <v>0</v>
      </c>
    </row>
    <row r="46" spans="1:105">
      <c r="A46" s="201" t="str">
        <f>Income!A76</f>
        <v>Animals sold</v>
      </c>
      <c r="F46" s="210">
        <f t="shared" ref="F46:AK46" si="57">IF(F$22&lt;=$E$24,IF(F$22&lt;=$D$24,IF(F$22&lt;=$C$24,IF(F$22&lt;=$B$24,$B112,($C29-$B29)/($C$24-$B$24)),($D29-$C29)/($D$24-$C$24)),($E29-$D29)/($E$24-$D$24)),$F112)</f>
        <v>0</v>
      </c>
      <c r="G46" s="210">
        <f t="shared" si="57"/>
        <v>0</v>
      </c>
      <c r="H46" s="210">
        <f t="shared" si="57"/>
        <v>0</v>
      </c>
      <c r="I46" s="210">
        <f t="shared" si="57"/>
        <v>0</v>
      </c>
      <c r="J46" s="210">
        <f t="shared" si="57"/>
        <v>0</v>
      </c>
      <c r="K46" s="210">
        <f t="shared" si="57"/>
        <v>0</v>
      </c>
      <c r="L46" s="210">
        <f t="shared" si="57"/>
        <v>0</v>
      </c>
      <c r="M46" s="210">
        <f t="shared" si="57"/>
        <v>0</v>
      </c>
      <c r="N46" s="210">
        <f t="shared" si="57"/>
        <v>0</v>
      </c>
      <c r="O46" s="210">
        <f t="shared" si="57"/>
        <v>0</v>
      </c>
      <c r="P46" s="210">
        <f t="shared" si="57"/>
        <v>0</v>
      </c>
      <c r="Q46" s="210">
        <f t="shared" si="57"/>
        <v>0</v>
      </c>
      <c r="R46" s="210">
        <f t="shared" si="57"/>
        <v>0</v>
      </c>
      <c r="S46" s="210">
        <f t="shared" si="57"/>
        <v>0</v>
      </c>
      <c r="T46" s="210">
        <f t="shared" si="57"/>
        <v>0</v>
      </c>
      <c r="U46" s="210">
        <f t="shared" si="57"/>
        <v>0</v>
      </c>
      <c r="V46" s="210">
        <f t="shared" si="57"/>
        <v>0</v>
      </c>
      <c r="W46" s="210">
        <f t="shared" si="57"/>
        <v>0</v>
      </c>
      <c r="X46" s="210">
        <f t="shared" si="57"/>
        <v>0</v>
      </c>
      <c r="Y46" s="210">
        <f t="shared" si="57"/>
        <v>0</v>
      </c>
      <c r="Z46" s="210">
        <f t="shared" si="57"/>
        <v>191.8651306028807</v>
      </c>
      <c r="AA46" s="210">
        <f t="shared" si="57"/>
        <v>191.8651306028807</v>
      </c>
      <c r="AB46" s="210">
        <f t="shared" si="57"/>
        <v>191.8651306028807</v>
      </c>
      <c r="AC46" s="210">
        <f t="shared" si="57"/>
        <v>191.8651306028807</v>
      </c>
      <c r="AD46" s="210">
        <f t="shared" si="57"/>
        <v>191.8651306028807</v>
      </c>
      <c r="AE46" s="210">
        <f t="shared" si="57"/>
        <v>191.8651306028807</v>
      </c>
      <c r="AF46" s="210">
        <f t="shared" si="57"/>
        <v>191.8651306028807</v>
      </c>
      <c r="AG46" s="210">
        <f t="shared" si="57"/>
        <v>191.8651306028807</v>
      </c>
      <c r="AH46" s="210">
        <f t="shared" si="57"/>
        <v>191.8651306028807</v>
      </c>
      <c r="AI46" s="210">
        <f t="shared" si="57"/>
        <v>191.8651306028807</v>
      </c>
      <c r="AJ46" s="210">
        <f t="shared" si="57"/>
        <v>191.8651306028807</v>
      </c>
      <c r="AK46" s="210">
        <f t="shared" si="57"/>
        <v>191.8651306028807</v>
      </c>
      <c r="AL46" s="210">
        <f t="shared" ref="AL46:BQ46" si="58">IF(AL$22&lt;=$E$24,IF(AL$22&lt;=$D$24,IF(AL$22&lt;=$C$24,IF(AL$22&lt;=$B$24,$B112,($C29-$B29)/($C$24-$B$24)),($D29-$C29)/($D$24-$C$24)),($E29-$D29)/($E$24-$D$24)),$F112)</f>
        <v>191.8651306028807</v>
      </c>
      <c r="AM46" s="210">
        <f t="shared" si="58"/>
        <v>191.8651306028807</v>
      </c>
      <c r="AN46" s="210">
        <f t="shared" si="58"/>
        <v>191.8651306028807</v>
      </c>
      <c r="AO46" s="210">
        <f t="shared" si="58"/>
        <v>191.8651306028807</v>
      </c>
      <c r="AP46" s="210">
        <f t="shared" si="58"/>
        <v>191.8651306028807</v>
      </c>
      <c r="AQ46" s="210">
        <f t="shared" si="58"/>
        <v>191.8651306028807</v>
      </c>
      <c r="AR46" s="210">
        <f t="shared" si="58"/>
        <v>191.8651306028807</v>
      </c>
      <c r="AS46" s="210">
        <f t="shared" si="58"/>
        <v>191.8651306028807</v>
      </c>
      <c r="AT46" s="210">
        <f t="shared" si="58"/>
        <v>191.8651306028807</v>
      </c>
      <c r="AU46" s="210">
        <f t="shared" si="58"/>
        <v>191.8651306028807</v>
      </c>
      <c r="AV46" s="210">
        <f t="shared" si="58"/>
        <v>191.8651306028807</v>
      </c>
      <c r="AW46" s="210">
        <f t="shared" si="58"/>
        <v>191.8651306028807</v>
      </c>
      <c r="AX46" s="210">
        <f t="shared" si="58"/>
        <v>191.8651306028807</v>
      </c>
      <c r="AY46" s="210">
        <f t="shared" si="58"/>
        <v>191.8651306028807</v>
      </c>
      <c r="AZ46" s="210">
        <f t="shared" si="58"/>
        <v>191.8651306028807</v>
      </c>
      <c r="BA46" s="210">
        <f t="shared" si="58"/>
        <v>191.8651306028807</v>
      </c>
      <c r="BB46" s="210">
        <f t="shared" si="58"/>
        <v>191.8651306028807</v>
      </c>
      <c r="BC46" s="210">
        <f t="shared" si="58"/>
        <v>191.8651306028807</v>
      </c>
      <c r="BD46" s="210">
        <f t="shared" si="58"/>
        <v>191.8651306028807</v>
      </c>
      <c r="BE46" s="210">
        <f t="shared" si="58"/>
        <v>191.8651306028807</v>
      </c>
      <c r="BF46" s="210">
        <f t="shared" si="58"/>
        <v>191.8651306028807</v>
      </c>
      <c r="BG46" s="210">
        <f t="shared" si="58"/>
        <v>191.8651306028807</v>
      </c>
      <c r="BH46" s="210">
        <f t="shared" si="58"/>
        <v>191.8651306028807</v>
      </c>
      <c r="BI46" s="210">
        <f t="shared" si="58"/>
        <v>191.8651306028807</v>
      </c>
      <c r="BJ46" s="210">
        <f t="shared" si="58"/>
        <v>191.8651306028807</v>
      </c>
      <c r="BK46" s="210">
        <f t="shared" si="58"/>
        <v>469.94294200886941</v>
      </c>
      <c r="BL46" s="210">
        <f t="shared" si="58"/>
        <v>469.94294200886941</v>
      </c>
      <c r="BM46" s="210">
        <f t="shared" si="58"/>
        <v>469.94294200886941</v>
      </c>
      <c r="BN46" s="210">
        <f t="shared" si="58"/>
        <v>469.94294200886941</v>
      </c>
      <c r="BO46" s="210">
        <f t="shared" si="58"/>
        <v>469.94294200886941</v>
      </c>
      <c r="BP46" s="210">
        <f t="shared" si="58"/>
        <v>469.94294200886941</v>
      </c>
      <c r="BQ46" s="210">
        <f t="shared" si="58"/>
        <v>469.94294200886941</v>
      </c>
      <c r="BR46" s="210">
        <f t="shared" ref="BR46:DA46" si="59">IF(BR$22&lt;=$E$24,IF(BR$22&lt;=$D$24,IF(BR$22&lt;=$C$24,IF(BR$22&lt;=$B$24,$B112,($C29-$B29)/($C$24-$B$24)),($D29-$C29)/($D$24-$C$24)),($E29-$D29)/($E$24-$D$24)),$F112)</f>
        <v>469.94294200886941</v>
      </c>
      <c r="BS46" s="210">
        <f t="shared" si="59"/>
        <v>469.94294200886941</v>
      </c>
      <c r="BT46" s="210">
        <f t="shared" si="59"/>
        <v>469.94294200886941</v>
      </c>
      <c r="BU46" s="210">
        <f t="shared" si="59"/>
        <v>469.94294200886941</v>
      </c>
      <c r="BV46" s="210">
        <f t="shared" si="59"/>
        <v>469.94294200886941</v>
      </c>
      <c r="BW46" s="210">
        <f t="shared" si="59"/>
        <v>469.94294200886941</v>
      </c>
      <c r="BX46" s="210">
        <f t="shared" si="59"/>
        <v>469.94294200886941</v>
      </c>
      <c r="BY46" s="210">
        <f t="shared" si="59"/>
        <v>469.94294200886941</v>
      </c>
      <c r="BZ46" s="210">
        <f t="shared" si="59"/>
        <v>469.94294200886941</v>
      </c>
      <c r="CA46" s="210">
        <f t="shared" si="59"/>
        <v>469.94294200886941</v>
      </c>
      <c r="CB46" s="210">
        <f t="shared" si="59"/>
        <v>469.94294200886941</v>
      </c>
      <c r="CC46" s="210">
        <f t="shared" si="59"/>
        <v>469.94294200886941</v>
      </c>
      <c r="CD46" s="210">
        <f t="shared" si="59"/>
        <v>469.94294200886941</v>
      </c>
      <c r="CE46" s="210">
        <f t="shared" si="59"/>
        <v>469.94294200886941</v>
      </c>
      <c r="CF46" s="210">
        <f t="shared" si="59"/>
        <v>469.94294200886941</v>
      </c>
      <c r="CG46" s="210">
        <f t="shared" si="59"/>
        <v>469.94294200886941</v>
      </c>
      <c r="CH46" s="210">
        <f t="shared" si="59"/>
        <v>469.94294200886941</v>
      </c>
      <c r="CI46" s="210">
        <f t="shared" si="59"/>
        <v>469.94294200886941</v>
      </c>
      <c r="CJ46" s="210">
        <f t="shared" si="59"/>
        <v>705.74934365275089</v>
      </c>
      <c r="CK46" s="210">
        <f t="shared" si="59"/>
        <v>705.74934365275089</v>
      </c>
      <c r="CL46" s="210">
        <f t="shared" si="59"/>
        <v>705.74934365275089</v>
      </c>
      <c r="CM46" s="210">
        <f t="shared" si="59"/>
        <v>705.74934365275089</v>
      </c>
      <c r="CN46" s="210">
        <f t="shared" si="59"/>
        <v>705.74934365275089</v>
      </c>
      <c r="CO46" s="210">
        <f t="shared" si="59"/>
        <v>705.74934365275089</v>
      </c>
      <c r="CP46" s="210">
        <f t="shared" si="59"/>
        <v>705.74934365275089</v>
      </c>
      <c r="CQ46" s="210">
        <f t="shared" si="59"/>
        <v>705.74934365275089</v>
      </c>
      <c r="CR46" s="210">
        <f t="shared" si="59"/>
        <v>705.74934365275089</v>
      </c>
      <c r="CS46" s="210">
        <f t="shared" si="59"/>
        <v>705.74934365275089</v>
      </c>
      <c r="CT46" s="210">
        <f t="shared" si="59"/>
        <v>705.74934365275089</v>
      </c>
      <c r="CU46" s="210">
        <f t="shared" si="59"/>
        <v>705.74934365275089</v>
      </c>
      <c r="CV46" s="210">
        <f t="shared" si="59"/>
        <v>705.74934365275089</v>
      </c>
      <c r="CW46" s="210">
        <f t="shared" si="59"/>
        <v>0</v>
      </c>
      <c r="CX46" s="210">
        <f t="shared" si="59"/>
        <v>0</v>
      </c>
      <c r="CY46" s="210">
        <f t="shared" si="59"/>
        <v>0</v>
      </c>
      <c r="CZ46" s="210">
        <f t="shared" si="59"/>
        <v>0</v>
      </c>
      <c r="DA46" s="210">
        <f t="shared" si="59"/>
        <v>0</v>
      </c>
    </row>
    <row r="47" spans="1:105">
      <c r="A47" s="201" t="str">
        <f>Income!A77</f>
        <v>Wild foods consumed and sold</v>
      </c>
      <c r="F47" s="210">
        <f t="shared" ref="F47:AK47" si="60">IF(F$22&lt;=$E$24,IF(F$22&lt;=$D$24,IF(F$22&lt;=$C$24,IF(F$22&lt;=$B$24,$B113,($C30-$B30)/($C$24-$B$24)),($D30-$C30)/($D$24-$C$24)),($E30-$D30)/($E$24-$D$24)),$F113)</f>
        <v>0</v>
      </c>
      <c r="G47" s="210">
        <f t="shared" si="60"/>
        <v>0</v>
      </c>
      <c r="H47" s="210">
        <f t="shared" si="60"/>
        <v>0</v>
      </c>
      <c r="I47" s="210">
        <f t="shared" si="60"/>
        <v>0</v>
      </c>
      <c r="J47" s="210">
        <f t="shared" si="60"/>
        <v>0</v>
      </c>
      <c r="K47" s="210">
        <f t="shared" si="60"/>
        <v>0</v>
      </c>
      <c r="L47" s="210">
        <f t="shared" si="60"/>
        <v>0</v>
      </c>
      <c r="M47" s="210">
        <f t="shared" si="60"/>
        <v>0</v>
      </c>
      <c r="N47" s="210">
        <f t="shared" si="60"/>
        <v>0</v>
      </c>
      <c r="O47" s="210">
        <f t="shared" si="60"/>
        <v>0</v>
      </c>
      <c r="P47" s="210">
        <f t="shared" si="60"/>
        <v>0</v>
      </c>
      <c r="Q47" s="210">
        <f t="shared" si="60"/>
        <v>0</v>
      </c>
      <c r="R47" s="210">
        <f t="shared" si="60"/>
        <v>0</v>
      </c>
      <c r="S47" s="210">
        <f t="shared" si="60"/>
        <v>0</v>
      </c>
      <c r="T47" s="210">
        <f t="shared" si="60"/>
        <v>0</v>
      </c>
      <c r="U47" s="210">
        <f t="shared" si="60"/>
        <v>0</v>
      </c>
      <c r="V47" s="210">
        <f t="shared" si="60"/>
        <v>0</v>
      </c>
      <c r="W47" s="210">
        <f t="shared" si="60"/>
        <v>0</v>
      </c>
      <c r="X47" s="210">
        <f t="shared" si="60"/>
        <v>0</v>
      </c>
      <c r="Y47" s="210">
        <f t="shared" si="60"/>
        <v>0</v>
      </c>
      <c r="Z47" s="210">
        <f t="shared" si="60"/>
        <v>3.3207684808992659</v>
      </c>
      <c r="AA47" s="210">
        <f t="shared" si="60"/>
        <v>3.3207684808992659</v>
      </c>
      <c r="AB47" s="210">
        <f t="shared" si="60"/>
        <v>3.3207684808992659</v>
      </c>
      <c r="AC47" s="210">
        <f t="shared" si="60"/>
        <v>3.3207684808992659</v>
      </c>
      <c r="AD47" s="210">
        <f t="shared" si="60"/>
        <v>3.3207684808992659</v>
      </c>
      <c r="AE47" s="210">
        <f t="shared" si="60"/>
        <v>3.3207684808992659</v>
      </c>
      <c r="AF47" s="210">
        <f t="shared" si="60"/>
        <v>3.3207684808992659</v>
      </c>
      <c r="AG47" s="210">
        <f t="shared" si="60"/>
        <v>3.3207684808992659</v>
      </c>
      <c r="AH47" s="210">
        <f t="shared" si="60"/>
        <v>3.3207684808992659</v>
      </c>
      <c r="AI47" s="210">
        <f t="shared" si="60"/>
        <v>3.3207684808992659</v>
      </c>
      <c r="AJ47" s="210">
        <f t="shared" si="60"/>
        <v>3.3207684808992659</v>
      </c>
      <c r="AK47" s="210">
        <f t="shared" si="60"/>
        <v>3.3207684808992659</v>
      </c>
      <c r="AL47" s="210">
        <f t="shared" ref="AL47:BQ47" si="61">IF(AL$22&lt;=$E$24,IF(AL$22&lt;=$D$24,IF(AL$22&lt;=$C$24,IF(AL$22&lt;=$B$24,$B113,($C30-$B30)/($C$24-$B$24)),($D30-$C30)/($D$24-$C$24)),($E30-$D30)/($E$24-$D$24)),$F113)</f>
        <v>3.3207684808992659</v>
      </c>
      <c r="AM47" s="210">
        <f t="shared" si="61"/>
        <v>3.3207684808992659</v>
      </c>
      <c r="AN47" s="210">
        <f t="shared" si="61"/>
        <v>3.3207684808992659</v>
      </c>
      <c r="AO47" s="210">
        <f t="shared" si="61"/>
        <v>3.3207684808992659</v>
      </c>
      <c r="AP47" s="210">
        <f t="shared" si="61"/>
        <v>3.3207684808992659</v>
      </c>
      <c r="AQ47" s="210">
        <f t="shared" si="61"/>
        <v>3.3207684808992659</v>
      </c>
      <c r="AR47" s="210">
        <f t="shared" si="61"/>
        <v>3.3207684808992659</v>
      </c>
      <c r="AS47" s="210">
        <f t="shared" si="61"/>
        <v>3.3207684808992659</v>
      </c>
      <c r="AT47" s="210">
        <f t="shared" si="61"/>
        <v>3.3207684808992659</v>
      </c>
      <c r="AU47" s="210">
        <f t="shared" si="61"/>
        <v>3.3207684808992659</v>
      </c>
      <c r="AV47" s="210">
        <f t="shared" si="61"/>
        <v>3.3207684808992659</v>
      </c>
      <c r="AW47" s="210">
        <f t="shared" si="61"/>
        <v>3.3207684808992659</v>
      </c>
      <c r="AX47" s="210">
        <f t="shared" si="61"/>
        <v>3.3207684808992659</v>
      </c>
      <c r="AY47" s="210">
        <f t="shared" si="61"/>
        <v>3.3207684808992659</v>
      </c>
      <c r="AZ47" s="210">
        <f t="shared" si="61"/>
        <v>3.3207684808992659</v>
      </c>
      <c r="BA47" s="210">
        <f t="shared" si="61"/>
        <v>3.3207684808992659</v>
      </c>
      <c r="BB47" s="210">
        <f t="shared" si="61"/>
        <v>3.3207684808992659</v>
      </c>
      <c r="BC47" s="210">
        <f t="shared" si="61"/>
        <v>3.3207684808992659</v>
      </c>
      <c r="BD47" s="210">
        <f t="shared" si="61"/>
        <v>3.3207684808992659</v>
      </c>
      <c r="BE47" s="210">
        <f t="shared" si="61"/>
        <v>3.3207684808992659</v>
      </c>
      <c r="BF47" s="210">
        <f t="shared" si="61"/>
        <v>3.3207684808992659</v>
      </c>
      <c r="BG47" s="210">
        <f t="shared" si="61"/>
        <v>3.3207684808992659</v>
      </c>
      <c r="BH47" s="210">
        <f t="shared" si="61"/>
        <v>3.3207684808992659</v>
      </c>
      <c r="BI47" s="210">
        <f t="shared" si="61"/>
        <v>3.3207684808992659</v>
      </c>
      <c r="BJ47" s="210">
        <f t="shared" si="61"/>
        <v>3.3207684808992659</v>
      </c>
      <c r="BK47" s="210">
        <f t="shared" si="61"/>
        <v>-1.4436396421722042</v>
      </c>
      <c r="BL47" s="210">
        <f t="shared" si="61"/>
        <v>-1.4436396421722042</v>
      </c>
      <c r="BM47" s="210">
        <f t="shared" si="61"/>
        <v>-1.4436396421722042</v>
      </c>
      <c r="BN47" s="210">
        <f t="shared" si="61"/>
        <v>-1.4436396421722042</v>
      </c>
      <c r="BO47" s="210">
        <f t="shared" si="61"/>
        <v>-1.4436396421722042</v>
      </c>
      <c r="BP47" s="210">
        <f t="shared" si="61"/>
        <v>-1.4436396421722042</v>
      </c>
      <c r="BQ47" s="210">
        <f t="shared" si="61"/>
        <v>-1.4436396421722042</v>
      </c>
      <c r="BR47" s="210">
        <f t="shared" ref="BR47:DA47" si="62">IF(BR$22&lt;=$E$24,IF(BR$22&lt;=$D$24,IF(BR$22&lt;=$C$24,IF(BR$22&lt;=$B$24,$B113,($C30-$B30)/($C$24-$B$24)),($D30-$C30)/($D$24-$C$24)),($E30-$D30)/($E$24-$D$24)),$F113)</f>
        <v>-1.4436396421722042</v>
      </c>
      <c r="BS47" s="210">
        <f t="shared" si="62"/>
        <v>-1.4436396421722042</v>
      </c>
      <c r="BT47" s="210">
        <f t="shared" si="62"/>
        <v>-1.4436396421722042</v>
      </c>
      <c r="BU47" s="210">
        <f t="shared" si="62"/>
        <v>-1.4436396421722042</v>
      </c>
      <c r="BV47" s="210">
        <f t="shared" si="62"/>
        <v>-1.4436396421722042</v>
      </c>
      <c r="BW47" s="210">
        <f t="shared" si="62"/>
        <v>-1.4436396421722042</v>
      </c>
      <c r="BX47" s="210">
        <f t="shared" si="62"/>
        <v>-1.4436396421722042</v>
      </c>
      <c r="BY47" s="210">
        <f t="shared" si="62"/>
        <v>-1.4436396421722042</v>
      </c>
      <c r="BZ47" s="210">
        <f t="shared" si="62"/>
        <v>-1.4436396421722042</v>
      </c>
      <c r="CA47" s="210">
        <f t="shared" si="62"/>
        <v>-1.4436396421722042</v>
      </c>
      <c r="CB47" s="210">
        <f t="shared" si="62"/>
        <v>-1.4436396421722042</v>
      </c>
      <c r="CC47" s="210">
        <f t="shared" si="62"/>
        <v>-1.4436396421722042</v>
      </c>
      <c r="CD47" s="210">
        <f t="shared" si="62"/>
        <v>-1.4436396421722042</v>
      </c>
      <c r="CE47" s="210">
        <f t="shared" si="62"/>
        <v>-1.4436396421722042</v>
      </c>
      <c r="CF47" s="210">
        <f t="shared" si="62"/>
        <v>-1.4436396421722042</v>
      </c>
      <c r="CG47" s="210">
        <f t="shared" si="62"/>
        <v>-1.4436396421722042</v>
      </c>
      <c r="CH47" s="210">
        <f t="shared" si="62"/>
        <v>-1.4436396421722042</v>
      </c>
      <c r="CI47" s="210">
        <f t="shared" si="62"/>
        <v>-1.4436396421722042</v>
      </c>
      <c r="CJ47" s="210">
        <f t="shared" si="62"/>
        <v>-6.3049672961865255</v>
      </c>
      <c r="CK47" s="210">
        <f t="shared" si="62"/>
        <v>-6.3049672961865255</v>
      </c>
      <c r="CL47" s="210">
        <f t="shared" si="62"/>
        <v>-6.3049672961865255</v>
      </c>
      <c r="CM47" s="210">
        <f t="shared" si="62"/>
        <v>-6.3049672961865255</v>
      </c>
      <c r="CN47" s="210">
        <f t="shared" si="62"/>
        <v>-6.3049672961865255</v>
      </c>
      <c r="CO47" s="210">
        <f t="shared" si="62"/>
        <v>-6.3049672961865255</v>
      </c>
      <c r="CP47" s="210">
        <f t="shared" si="62"/>
        <v>-6.3049672961865255</v>
      </c>
      <c r="CQ47" s="210">
        <f t="shared" si="62"/>
        <v>-6.3049672961865255</v>
      </c>
      <c r="CR47" s="210">
        <f t="shared" si="62"/>
        <v>-6.3049672961865255</v>
      </c>
      <c r="CS47" s="210">
        <f t="shared" si="62"/>
        <v>-6.3049672961865255</v>
      </c>
      <c r="CT47" s="210">
        <f t="shared" si="62"/>
        <v>-6.3049672961865255</v>
      </c>
      <c r="CU47" s="210">
        <f t="shared" si="62"/>
        <v>-6.3049672961865255</v>
      </c>
      <c r="CV47" s="210">
        <f t="shared" si="62"/>
        <v>-6.3049672961865255</v>
      </c>
      <c r="CW47" s="210">
        <f t="shared" si="62"/>
        <v>52.189999999999884</v>
      </c>
      <c r="CX47" s="210">
        <f t="shared" si="62"/>
        <v>52.189999999999884</v>
      </c>
      <c r="CY47" s="210">
        <f t="shared" si="62"/>
        <v>52.189999999999884</v>
      </c>
      <c r="CZ47" s="210">
        <f t="shared" si="62"/>
        <v>52.189999999999884</v>
      </c>
      <c r="DA47" s="210">
        <f t="shared" si="62"/>
        <v>52.189999999999884</v>
      </c>
    </row>
    <row r="48" spans="1:105">
      <c r="A48" s="201" t="str">
        <f>Income!A78</f>
        <v>Labour - casual</v>
      </c>
      <c r="F48" s="210">
        <f t="shared" ref="F48:AK48" si="63">IF(F$22&lt;=$E$24,IF(F$22&lt;=$D$24,IF(F$22&lt;=$C$24,IF(F$22&lt;=$B$24,$B114,($C31-$B31)/($C$24-$B$24)),($D31-$C31)/($D$24-$C$24)),($E31-$D31)/($E$24-$D$24)),$F114)</f>
        <v>0</v>
      </c>
      <c r="G48" s="210">
        <f t="shared" si="63"/>
        <v>0</v>
      </c>
      <c r="H48" s="210">
        <f t="shared" si="63"/>
        <v>0</v>
      </c>
      <c r="I48" s="210">
        <f t="shared" si="63"/>
        <v>0</v>
      </c>
      <c r="J48" s="210">
        <f t="shared" si="63"/>
        <v>0</v>
      </c>
      <c r="K48" s="210">
        <f t="shared" si="63"/>
        <v>0</v>
      </c>
      <c r="L48" s="210">
        <f t="shared" si="63"/>
        <v>0</v>
      </c>
      <c r="M48" s="210">
        <f t="shared" si="63"/>
        <v>0</v>
      </c>
      <c r="N48" s="210">
        <f t="shared" si="63"/>
        <v>0</v>
      </c>
      <c r="O48" s="210">
        <f t="shared" si="63"/>
        <v>0</v>
      </c>
      <c r="P48" s="210">
        <f t="shared" si="63"/>
        <v>0</v>
      </c>
      <c r="Q48" s="210">
        <f t="shared" si="63"/>
        <v>0</v>
      </c>
      <c r="R48" s="210">
        <f t="shared" si="63"/>
        <v>0</v>
      </c>
      <c r="S48" s="210">
        <f t="shared" si="63"/>
        <v>0</v>
      </c>
      <c r="T48" s="210">
        <f t="shared" si="63"/>
        <v>0</v>
      </c>
      <c r="U48" s="210">
        <f t="shared" si="63"/>
        <v>0</v>
      </c>
      <c r="V48" s="210">
        <f t="shared" si="63"/>
        <v>0</v>
      </c>
      <c r="W48" s="210">
        <f t="shared" si="63"/>
        <v>0</v>
      </c>
      <c r="X48" s="210">
        <f t="shared" si="63"/>
        <v>0</v>
      </c>
      <c r="Y48" s="210">
        <f t="shared" si="63"/>
        <v>0</v>
      </c>
      <c r="Z48" s="210">
        <f t="shared" si="63"/>
        <v>-77.80239057978082</v>
      </c>
      <c r="AA48" s="210">
        <f t="shared" si="63"/>
        <v>-77.80239057978082</v>
      </c>
      <c r="AB48" s="210">
        <f t="shared" si="63"/>
        <v>-77.80239057978082</v>
      </c>
      <c r="AC48" s="210">
        <f t="shared" si="63"/>
        <v>-77.80239057978082</v>
      </c>
      <c r="AD48" s="210">
        <f t="shared" si="63"/>
        <v>-77.80239057978082</v>
      </c>
      <c r="AE48" s="210">
        <f t="shared" si="63"/>
        <v>-77.80239057978082</v>
      </c>
      <c r="AF48" s="210">
        <f t="shared" si="63"/>
        <v>-77.80239057978082</v>
      </c>
      <c r="AG48" s="210">
        <f t="shared" si="63"/>
        <v>-77.80239057978082</v>
      </c>
      <c r="AH48" s="210">
        <f t="shared" si="63"/>
        <v>-77.80239057978082</v>
      </c>
      <c r="AI48" s="210">
        <f t="shared" si="63"/>
        <v>-77.80239057978082</v>
      </c>
      <c r="AJ48" s="210">
        <f t="shared" si="63"/>
        <v>-77.80239057978082</v>
      </c>
      <c r="AK48" s="210">
        <f t="shared" si="63"/>
        <v>-77.80239057978082</v>
      </c>
      <c r="AL48" s="210">
        <f t="shared" ref="AL48:BQ48" si="64">IF(AL$22&lt;=$E$24,IF(AL$22&lt;=$D$24,IF(AL$22&lt;=$C$24,IF(AL$22&lt;=$B$24,$B114,($C31-$B31)/($C$24-$B$24)),($D31-$C31)/($D$24-$C$24)),($E31-$D31)/($E$24-$D$24)),$F114)</f>
        <v>-77.80239057978082</v>
      </c>
      <c r="AM48" s="210">
        <f t="shared" si="64"/>
        <v>-77.80239057978082</v>
      </c>
      <c r="AN48" s="210">
        <f t="shared" si="64"/>
        <v>-77.80239057978082</v>
      </c>
      <c r="AO48" s="210">
        <f t="shared" si="64"/>
        <v>-77.80239057978082</v>
      </c>
      <c r="AP48" s="210">
        <f t="shared" si="64"/>
        <v>-77.80239057978082</v>
      </c>
      <c r="AQ48" s="210">
        <f t="shared" si="64"/>
        <v>-77.80239057978082</v>
      </c>
      <c r="AR48" s="210">
        <f t="shared" si="64"/>
        <v>-77.80239057978082</v>
      </c>
      <c r="AS48" s="210">
        <f t="shared" si="64"/>
        <v>-77.80239057978082</v>
      </c>
      <c r="AT48" s="210">
        <f t="shared" si="64"/>
        <v>-77.80239057978082</v>
      </c>
      <c r="AU48" s="210">
        <f t="shared" si="64"/>
        <v>-77.80239057978082</v>
      </c>
      <c r="AV48" s="210">
        <f t="shared" si="64"/>
        <v>-77.80239057978082</v>
      </c>
      <c r="AW48" s="210">
        <f t="shared" si="64"/>
        <v>-77.80239057978082</v>
      </c>
      <c r="AX48" s="210">
        <f t="shared" si="64"/>
        <v>-77.80239057978082</v>
      </c>
      <c r="AY48" s="210">
        <f t="shared" si="64"/>
        <v>-77.80239057978082</v>
      </c>
      <c r="AZ48" s="210">
        <f t="shared" si="64"/>
        <v>-77.80239057978082</v>
      </c>
      <c r="BA48" s="210">
        <f t="shared" si="64"/>
        <v>-77.80239057978082</v>
      </c>
      <c r="BB48" s="210">
        <f t="shared" si="64"/>
        <v>-77.80239057978082</v>
      </c>
      <c r="BC48" s="210">
        <f t="shared" si="64"/>
        <v>-77.80239057978082</v>
      </c>
      <c r="BD48" s="210">
        <f t="shared" si="64"/>
        <v>-77.80239057978082</v>
      </c>
      <c r="BE48" s="210">
        <f t="shared" si="64"/>
        <v>-77.80239057978082</v>
      </c>
      <c r="BF48" s="210">
        <f t="shared" si="64"/>
        <v>-77.80239057978082</v>
      </c>
      <c r="BG48" s="210">
        <f t="shared" si="64"/>
        <v>-77.80239057978082</v>
      </c>
      <c r="BH48" s="210">
        <f t="shared" si="64"/>
        <v>-77.80239057978082</v>
      </c>
      <c r="BI48" s="210">
        <f t="shared" si="64"/>
        <v>-77.80239057978082</v>
      </c>
      <c r="BJ48" s="210">
        <f t="shared" si="64"/>
        <v>-77.80239057978082</v>
      </c>
      <c r="BK48" s="210">
        <f t="shared" si="64"/>
        <v>2285.9289211852479</v>
      </c>
      <c r="BL48" s="210">
        <f t="shared" si="64"/>
        <v>2285.9289211852479</v>
      </c>
      <c r="BM48" s="210">
        <f t="shared" si="64"/>
        <v>2285.9289211852479</v>
      </c>
      <c r="BN48" s="210">
        <f t="shared" si="64"/>
        <v>2285.9289211852479</v>
      </c>
      <c r="BO48" s="210">
        <f t="shared" si="64"/>
        <v>2285.9289211852479</v>
      </c>
      <c r="BP48" s="210">
        <f t="shared" si="64"/>
        <v>2285.9289211852479</v>
      </c>
      <c r="BQ48" s="210">
        <f t="shared" si="64"/>
        <v>2285.9289211852479</v>
      </c>
      <c r="BR48" s="210">
        <f t="shared" ref="BR48:DA48" si="65">IF(BR$22&lt;=$E$24,IF(BR$22&lt;=$D$24,IF(BR$22&lt;=$C$24,IF(BR$22&lt;=$B$24,$B114,($C31-$B31)/($C$24-$B$24)),($D31-$C31)/($D$24-$C$24)),($E31-$D31)/($E$24-$D$24)),$F114)</f>
        <v>2285.9289211852479</v>
      </c>
      <c r="BS48" s="210">
        <f t="shared" si="65"/>
        <v>2285.9289211852479</v>
      </c>
      <c r="BT48" s="210">
        <f t="shared" si="65"/>
        <v>2285.9289211852479</v>
      </c>
      <c r="BU48" s="210">
        <f t="shared" si="65"/>
        <v>2285.9289211852479</v>
      </c>
      <c r="BV48" s="210">
        <f t="shared" si="65"/>
        <v>2285.9289211852479</v>
      </c>
      <c r="BW48" s="210">
        <f t="shared" si="65"/>
        <v>2285.9289211852479</v>
      </c>
      <c r="BX48" s="210">
        <f t="shared" si="65"/>
        <v>2285.9289211852479</v>
      </c>
      <c r="BY48" s="210">
        <f t="shared" si="65"/>
        <v>2285.9289211852479</v>
      </c>
      <c r="BZ48" s="210">
        <f t="shared" si="65"/>
        <v>2285.9289211852479</v>
      </c>
      <c r="CA48" s="210">
        <f t="shared" si="65"/>
        <v>2285.9289211852479</v>
      </c>
      <c r="CB48" s="210">
        <f t="shared" si="65"/>
        <v>2285.9289211852479</v>
      </c>
      <c r="CC48" s="210">
        <f t="shared" si="65"/>
        <v>2285.9289211852479</v>
      </c>
      <c r="CD48" s="210">
        <f t="shared" si="65"/>
        <v>2285.9289211852479</v>
      </c>
      <c r="CE48" s="210">
        <f t="shared" si="65"/>
        <v>2285.9289211852479</v>
      </c>
      <c r="CF48" s="210">
        <f t="shared" si="65"/>
        <v>2285.9289211852479</v>
      </c>
      <c r="CG48" s="210">
        <f t="shared" si="65"/>
        <v>2285.9289211852479</v>
      </c>
      <c r="CH48" s="210">
        <f t="shared" si="65"/>
        <v>2285.9289211852479</v>
      </c>
      <c r="CI48" s="210">
        <f t="shared" si="65"/>
        <v>2285.9289211852479</v>
      </c>
      <c r="CJ48" s="210">
        <f t="shared" si="65"/>
        <v>-4416.7104703301711</v>
      </c>
      <c r="CK48" s="210">
        <f t="shared" si="65"/>
        <v>-4416.7104703301711</v>
      </c>
      <c r="CL48" s="210">
        <f t="shared" si="65"/>
        <v>-4416.7104703301711</v>
      </c>
      <c r="CM48" s="210">
        <f t="shared" si="65"/>
        <v>-4416.7104703301711</v>
      </c>
      <c r="CN48" s="210">
        <f t="shared" si="65"/>
        <v>-4416.7104703301711</v>
      </c>
      <c r="CO48" s="210">
        <f t="shared" si="65"/>
        <v>-4416.7104703301711</v>
      </c>
      <c r="CP48" s="210">
        <f t="shared" si="65"/>
        <v>-4416.7104703301711</v>
      </c>
      <c r="CQ48" s="210">
        <f t="shared" si="65"/>
        <v>-4416.7104703301711</v>
      </c>
      <c r="CR48" s="210">
        <f t="shared" si="65"/>
        <v>-4416.7104703301711</v>
      </c>
      <c r="CS48" s="210">
        <f t="shared" si="65"/>
        <v>-4416.7104703301711</v>
      </c>
      <c r="CT48" s="210">
        <f t="shared" si="65"/>
        <v>-4416.7104703301711</v>
      </c>
      <c r="CU48" s="210">
        <f t="shared" si="65"/>
        <v>-4416.7104703301711</v>
      </c>
      <c r="CV48" s="210">
        <f t="shared" si="65"/>
        <v>-4416.7104703301711</v>
      </c>
      <c r="CW48" s="210">
        <f t="shared" si="65"/>
        <v>0</v>
      </c>
      <c r="CX48" s="210">
        <f t="shared" si="65"/>
        <v>0</v>
      </c>
      <c r="CY48" s="210">
        <f t="shared" si="65"/>
        <v>0</v>
      </c>
      <c r="CZ48" s="210">
        <f t="shared" si="65"/>
        <v>0</v>
      </c>
      <c r="DA48" s="210">
        <f t="shared" si="65"/>
        <v>0</v>
      </c>
    </row>
    <row r="49" spans="1:105">
      <c r="A49" s="201" t="str">
        <f>Income!A79</f>
        <v>Labour - formal emp</v>
      </c>
      <c r="F49" s="210">
        <f t="shared" ref="F49:AK49" si="66">IF(F$22&lt;=$E$24,IF(F$22&lt;=$D$24,IF(F$22&lt;=$C$24,IF(F$22&lt;=$B$24,$B115,($C32-$B32)/($C$24-$B$24)),($D32-$C32)/($D$24-$C$24)),($E32-$D32)/($E$24-$D$24)),$F115)</f>
        <v>0</v>
      </c>
      <c r="G49" s="210">
        <f t="shared" si="66"/>
        <v>0</v>
      </c>
      <c r="H49" s="210">
        <f t="shared" si="66"/>
        <v>0</v>
      </c>
      <c r="I49" s="210">
        <f t="shared" si="66"/>
        <v>0</v>
      </c>
      <c r="J49" s="210">
        <f t="shared" si="66"/>
        <v>0</v>
      </c>
      <c r="K49" s="210">
        <f t="shared" si="66"/>
        <v>0</v>
      </c>
      <c r="L49" s="210">
        <f t="shared" si="66"/>
        <v>0</v>
      </c>
      <c r="M49" s="210">
        <f t="shared" si="66"/>
        <v>0</v>
      </c>
      <c r="N49" s="210">
        <f t="shared" si="66"/>
        <v>0</v>
      </c>
      <c r="O49" s="210">
        <f t="shared" si="66"/>
        <v>0</v>
      </c>
      <c r="P49" s="210">
        <f t="shared" si="66"/>
        <v>0</v>
      </c>
      <c r="Q49" s="210">
        <f t="shared" si="66"/>
        <v>0</v>
      </c>
      <c r="R49" s="210">
        <f t="shared" si="66"/>
        <v>0</v>
      </c>
      <c r="S49" s="210">
        <f t="shared" si="66"/>
        <v>0</v>
      </c>
      <c r="T49" s="210">
        <f t="shared" si="66"/>
        <v>0</v>
      </c>
      <c r="U49" s="210">
        <f t="shared" si="66"/>
        <v>0</v>
      </c>
      <c r="V49" s="210">
        <f t="shared" si="66"/>
        <v>0</v>
      </c>
      <c r="W49" s="210">
        <f t="shared" si="66"/>
        <v>0</v>
      </c>
      <c r="X49" s="210">
        <f t="shared" si="66"/>
        <v>0</v>
      </c>
      <c r="Y49" s="210">
        <f t="shared" si="66"/>
        <v>0</v>
      </c>
      <c r="Z49" s="210">
        <f t="shared" si="66"/>
        <v>0</v>
      </c>
      <c r="AA49" s="210">
        <f t="shared" si="66"/>
        <v>0</v>
      </c>
      <c r="AB49" s="210">
        <f t="shared" si="66"/>
        <v>0</v>
      </c>
      <c r="AC49" s="210">
        <f t="shared" si="66"/>
        <v>0</v>
      </c>
      <c r="AD49" s="210">
        <f t="shared" si="66"/>
        <v>0</v>
      </c>
      <c r="AE49" s="210">
        <f t="shared" si="66"/>
        <v>0</v>
      </c>
      <c r="AF49" s="210">
        <f t="shared" si="66"/>
        <v>0</v>
      </c>
      <c r="AG49" s="210">
        <f t="shared" si="66"/>
        <v>0</v>
      </c>
      <c r="AH49" s="210">
        <f t="shared" si="66"/>
        <v>0</v>
      </c>
      <c r="AI49" s="210">
        <f t="shared" si="66"/>
        <v>0</v>
      </c>
      <c r="AJ49" s="210">
        <f t="shared" si="66"/>
        <v>0</v>
      </c>
      <c r="AK49" s="210">
        <f t="shared" si="66"/>
        <v>0</v>
      </c>
      <c r="AL49" s="210">
        <f t="shared" ref="AL49:BQ49" si="67">IF(AL$22&lt;=$E$24,IF(AL$22&lt;=$D$24,IF(AL$22&lt;=$C$24,IF(AL$22&lt;=$B$24,$B115,($C32-$B32)/($C$24-$B$24)),($D32-$C32)/($D$24-$C$24)),($E32-$D32)/($E$24-$D$24)),$F115)</f>
        <v>0</v>
      </c>
      <c r="AM49" s="210">
        <f t="shared" si="67"/>
        <v>0</v>
      </c>
      <c r="AN49" s="210">
        <f t="shared" si="67"/>
        <v>0</v>
      </c>
      <c r="AO49" s="210">
        <f t="shared" si="67"/>
        <v>0</v>
      </c>
      <c r="AP49" s="210">
        <f t="shared" si="67"/>
        <v>0</v>
      </c>
      <c r="AQ49" s="210">
        <f t="shared" si="67"/>
        <v>0</v>
      </c>
      <c r="AR49" s="210">
        <f t="shared" si="67"/>
        <v>0</v>
      </c>
      <c r="AS49" s="210">
        <f t="shared" si="67"/>
        <v>0</v>
      </c>
      <c r="AT49" s="210">
        <f t="shared" si="67"/>
        <v>0</v>
      </c>
      <c r="AU49" s="210">
        <f t="shared" si="67"/>
        <v>0</v>
      </c>
      <c r="AV49" s="210">
        <f t="shared" si="67"/>
        <v>0</v>
      </c>
      <c r="AW49" s="210">
        <f t="shared" si="67"/>
        <v>0</v>
      </c>
      <c r="AX49" s="210">
        <f t="shared" si="67"/>
        <v>0</v>
      </c>
      <c r="AY49" s="210">
        <f t="shared" si="67"/>
        <v>0</v>
      </c>
      <c r="AZ49" s="210">
        <f t="shared" si="67"/>
        <v>0</v>
      </c>
      <c r="BA49" s="210">
        <f t="shared" si="67"/>
        <v>0</v>
      </c>
      <c r="BB49" s="210">
        <f t="shared" si="67"/>
        <v>0</v>
      </c>
      <c r="BC49" s="210">
        <f t="shared" si="67"/>
        <v>0</v>
      </c>
      <c r="BD49" s="210">
        <f t="shared" si="67"/>
        <v>0</v>
      </c>
      <c r="BE49" s="210">
        <f t="shared" si="67"/>
        <v>0</v>
      </c>
      <c r="BF49" s="210">
        <f t="shared" si="67"/>
        <v>0</v>
      </c>
      <c r="BG49" s="210">
        <f t="shared" si="67"/>
        <v>0</v>
      </c>
      <c r="BH49" s="210">
        <f t="shared" si="67"/>
        <v>0</v>
      </c>
      <c r="BI49" s="210">
        <f t="shared" si="67"/>
        <v>0</v>
      </c>
      <c r="BJ49" s="210">
        <f t="shared" si="67"/>
        <v>0</v>
      </c>
      <c r="BK49" s="210">
        <f t="shared" si="67"/>
        <v>1128.3861910095411</v>
      </c>
      <c r="BL49" s="210">
        <f t="shared" si="67"/>
        <v>1128.3861910095411</v>
      </c>
      <c r="BM49" s="210">
        <f t="shared" si="67"/>
        <v>1128.3861910095411</v>
      </c>
      <c r="BN49" s="210">
        <f t="shared" si="67"/>
        <v>1128.3861910095411</v>
      </c>
      <c r="BO49" s="210">
        <f t="shared" si="67"/>
        <v>1128.3861910095411</v>
      </c>
      <c r="BP49" s="210">
        <f t="shared" si="67"/>
        <v>1128.3861910095411</v>
      </c>
      <c r="BQ49" s="210">
        <f t="shared" si="67"/>
        <v>1128.3861910095411</v>
      </c>
      <c r="BR49" s="210">
        <f t="shared" ref="BR49:DA49" si="68">IF(BR$22&lt;=$E$24,IF(BR$22&lt;=$D$24,IF(BR$22&lt;=$C$24,IF(BR$22&lt;=$B$24,$B115,($C32-$B32)/($C$24-$B$24)),($D32-$C32)/($D$24-$C$24)),($E32-$D32)/($E$24-$D$24)),$F115)</f>
        <v>1128.3861910095411</v>
      </c>
      <c r="BS49" s="210">
        <f t="shared" si="68"/>
        <v>1128.3861910095411</v>
      </c>
      <c r="BT49" s="210">
        <f t="shared" si="68"/>
        <v>1128.3861910095411</v>
      </c>
      <c r="BU49" s="210">
        <f t="shared" si="68"/>
        <v>1128.3861910095411</v>
      </c>
      <c r="BV49" s="210">
        <f t="shared" si="68"/>
        <v>1128.3861910095411</v>
      </c>
      <c r="BW49" s="210">
        <f t="shared" si="68"/>
        <v>1128.3861910095411</v>
      </c>
      <c r="BX49" s="210">
        <f t="shared" si="68"/>
        <v>1128.3861910095411</v>
      </c>
      <c r="BY49" s="210">
        <f t="shared" si="68"/>
        <v>1128.3861910095411</v>
      </c>
      <c r="BZ49" s="210">
        <f t="shared" si="68"/>
        <v>1128.3861910095411</v>
      </c>
      <c r="CA49" s="210">
        <f t="shared" si="68"/>
        <v>1128.3861910095411</v>
      </c>
      <c r="CB49" s="210">
        <f t="shared" si="68"/>
        <v>1128.3861910095411</v>
      </c>
      <c r="CC49" s="210">
        <f t="shared" si="68"/>
        <v>1128.3861910095411</v>
      </c>
      <c r="CD49" s="210">
        <f t="shared" si="68"/>
        <v>1128.3861910095411</v>
      </c>
      <c r="CE49" s="210">
        <f t="shared" si="68"/>
        <v>1128.3861910095411</v>
      </c>
      <c r="CF49" s="210">
        <f t="shared" si="68"/>
        <v>1128.3861910095411</v>
      </c>
      <c r="CG49" s="210">
        <f t="shared" si="68"/>
        <v>1128.3861910095411</v>
      </c>
      <c r="CH49" s="210">
        <f t="shared" si="68"/>
        <v>1128.3861910095411</v>
      </c>
      <c r="CI49" s="210">
        <f t="shared" si="68"/>
        <v>1128.3861910095411</v>
      </c>
      <c r="CJ49" s="210">
        <f t="shared" si="68"/>
        <v>9348.0743342666556</v>
      </c>
      <c r="CK49" s="210">
        <f t="shared" si="68"/>
        <v>9348.0743342666556</v>
      </c>
      <c r="CL49" s="210">
        <f t="shared" si="68"/>
        <v>9348.0743342666556</v>
      </c>
      <c r="CM49" s="210">
        <f t="shared" si="68"/>
        <v>9348.0743342666556</v>
      </c>
      <c r="CN49" s="210">
        <f t="shared" si="68"/>
        <v>9348.0743342666556</v>
      </c>
      <c r="CO49" s="210">
        <f t="shared" si="68"/>
        <v>9348.0743342666556</v>
      </c>
      <c r="CP49" s="210">
        <f t="shared" si="68"/>
        <v>9348.0743342666556</v>
      </c>
      <c r="CQ49" s="210">
        <f t="shared" si="68"/>
        <v>9348.0743342666556</v>
      </c>
      <c r="CR49" s="210">
        <f t="shared" si="68"/>
        <v>9348.0743342666556</v>
      </c>
      <c r="CS49" s="210">
        <f t="shared" si="68"/>
        <v>9348.0743342666556</v>
      </c>
      <c r="CT49" s="210">
        <f t="shared" si="68"/>
        <v>9348.0743342666556</v>
      </c>
      <c r="CU49" s="210">
        <f t="shared" si="68"/>
        <v>9348.0743342666556</v>
      </c>
      <c r="CV49" s="210">
        <f t="shared" si="68"/>
        <v>9348.0743342666556</v>
      </c>
      <c r="CW49" s="210">
        <f t="shared" si="68"/>
        <v>2671.7</v>
      </c>
      <c r="CX49" s="210">
        <f t="shared" si="68"/>
        <v>2671.7</v>
      </c>
      <c r="CY49" s="210">
        <f t="shared" si="68"/>
        <v>2671.7</v>
      </c>
      <c r="CZ49" s="210">
        <f t="shared" si="68"/>
        <v>2671.7</v>
      </c>
      <c r="DA49" s="210">
        <f t="shared" si="68"/>
        <v>2671.7</v>
      </c>
    </row>
    <row r="50" spans="1:105">
      <c r="A50" s="201" t="str">
        <f>Income!A81</f>
        <v>Self - employment</v>
      </c>
      <c r="F50" s="210">
        <f t="shared" ref="F50:AK50" si="69">IF(F$22&lt;=$E$24,IF(F$22&lt;=$D$24,IF(F$22&lt;=$C$24,IF(F$22&lt;=$B$24,$B116,($C33-$B33)/($C$24-$B$24)),($D33-$C33)/($D$24-$C$24)),($E33-$D33)/($E$24-$D$24)),$F116)</f>
        <v>0</v>
      </c>
      <c r="G50" s="210">
        <f t="shared" si="69"/>
        <v>0</v>
      </c>
      <c r="H50" s="210">
        <f t="shared" si="69"/>
        <v>0</v>
      </c>
      <c r="I50" s="210">
        <f t="shared" si="69"/>
        <v>0</v>
      </c>
      <c r="J50" s="210">
        <f t="shared" si="69"/>
        <v>0</v>
      </c>
      <c r="K50" s="210">
        <f t="shared" si="69"/>
        <v>0</v>
      </c>
      <c r="L50" s="210">
        <f t="shared" si="69"/>
        <v>0</v>
      </c>
      <c r="M50" s="210">
        <f t="shared" si="69"/>
        <v>0</v>
      </c>
      <c r="N50" s="210">
        <f t="shared" si="69"/>
        <v>0</v>
      </c>
      <c r="O50" s="210">
        <f t="shared" si="69"/>
        <v>0</v>
      </c>
      <c r="P50" s="210">
        <f t="shared" si="69"/>
        <v>0</v>
      </c>
      <c r="Q50" s="210">
        <f t="shared" si="69"/>
        <v>0</v>
      </c>
      <c r="R50" s="210">
        <f t="shared" si="69"/>
        <v>0</v>
      </c>
      <c r="S50" s="210">
        <f t="shared" si="69"/>
        <v>0</v>
      </c>
      <c r="T50" s="210">
        <f t="shared" si="69"/>
        <v>0</v>
      </c>
      <c r="U50" s="210">
        <f t="shared" si="69"/>
        <v>0</v>
      </c>
      <c r="V50" s="210">
        <f t="shared" si="69"/>
        <v>0</v>
      </c>
      <c r="W50" s="210">
        <f t="shared" si="69"/>
        <v>0</v>
      </c>
      <c r="X50" s="210">
        <f t="shared" si="69"/>
        <v>0</v>
      </c>
      <c r="Y50" s="210">
        <f t="shared" si="69"/>
        <v>0</v>
      </c>
      <c r="Z50" s="210">
        <f t="shared" si="69"/>
        <v>0</v>
      </c>
      <c r="AA50" s="210">
        <f t="shared" si="69"/>
        <v>0</v>
      </c>
      <c r="AB50" s="210">
        <f t="shared" si="69"/>
        <v>0</v>
      </c>
      <c r="AC50" s="210">
        <f t="shared" si="69"/>
        <v>0</v>
      </c>
      <c r="AD50" s="210">
        <f t="shared" si="69"/>
        <v>0</v>
      </c>
      <c r="AE50" s="210">
        <f t="shared" si="69"/>
        <v>0</v>
      </c>
      <c r="AF50" s="210">
        <f t="shared" si="69"/>
        <v>0</v>
      </c>
      <c r="AG50" s="210">
        <f t="shared" si="69"/>
        <v>0</v>
      </c>
      <c r="AH50" s="210">
        <f t="shared" si="69"/>
        <v>0</v>
      </c>
      <c r="AI50" s="210">
        <f t="shared" si="69"/>
        <v>0</v>
      </c>
      <c r="AJ50" s="210">
        <f t="shared" si="69"/>
        <v>0</v>
      </c>
      <c r="AK50" s="210">
        <f t="shared" si="69"/>
        <v>0</v>
      </c>
      <c r="AL50" s="210">
        <f t="shared" ref="AL50:BQ50" si="70">IF(AL$22&lt;=$E$24,IF(AL$22&lt;=$D$24,IF(AL$22&lt;=$C$24,IF(AL$22&lt;=$B$24,$B116,($C33-$B33)/($C$24-$B$24)),($D33-$C33)/($D$24-$C$24)),($E33-$D33)/($E$24-$D$24)),$F116)</f>
        <v>0</v>
      </c>
      <c r="AM50" s="210">
        <f t="shared" si="70"/>
        <v>0</v>
      </c>
      <c r="AN50" s="210">
        <f t="shared" si="70"/>
        <v>0</v>
      </c>
      <c r="AO50" s="210">
        <f t="shared" si="70"/>
        <v>0</v>
      </c>
      <c r="AP50" s="210">
        <f t="shared" si="70"/>
        <v>0</v>
      </c>
      <c r="AQ50" s="210">
        <f t="shared" si="70"/>
        <v>0</v>
      </c>
      <c r="AR50" s="210">
        <f t="shared" si="70"/>
        <v>0</v>
      </c>
      <c r="AS50" s="210">
        <f t="shared" si="70"/>
        <v>0</v>
      </c>
      <c r="AT50" s="210">
        <f t="shared" si="70"/>
        <v>0</v>
      </c>
      <c r="AU50" s="210">
        <f t="shared" si="70"/>
        <v>0</v>
      </c>
      <c r="AV50" s="210">
        <f t="shared" si="70"/>
        <v>0</v>
      </c>
      <c r="AW50" s="210">
        <f t="shared" si="70"/>
        <v>0</v>
      </c>
      <c r="AX50" s="210">
        <f t="shared" si="70"/>
        <v>0</v>
      </c>
      <c r="AY50" s="210">
        <f t="shared" si="70"/>
        <v>0</v>
      </c>
      <c r="AZ50" s="210">
        <f t="shared" si="70"/>
        <v>0</v>
      </c>
      <c r="BA50" s="210">
        <f t="shared" si="70"/>
        <v>0</v>
      </c>
      <c r="BB50" s="210">
        <f t="shared" si="70"/>
        <v>0</v>
      </c>
      <c r="BC50" s="210">
        <f t="shared" si="70"/>
        <v>0</v>
      </c>
      <c r="BD50" s="210">
        <f t="shared" si="70"/>
        <v>0</v>
      </c>
      <c r="BE50" s="210">
        <f t="shared" si="70"/>
        <v>0</v>
      </c>
      <c r="BF50" s="210">
        <f t="shared" si="70"/>
        <v>0</v>
      </c>
      <c r="BG50" s="210">
        <f t="shared" si="70"/>
        <v>0</v>
      </c>
      <c r="BH50" s="210">
        <f t="shared" si="70"/>
        <v>0</v>
      </c>
      <c r="BI50" s="210">
        <f t="shared" si="70"/>
        <v>0</v>
      </c>
      <c r="BJ50" s="210">
        <f t="shared" si="70"/>
        <v>0</v>
      </c>
      <c r="BK50" s="210">
        <f t="shared" si="70"/>
        <v>0</v>
      </c>
      <c r="BL50" s="210">
        <f t="shared" si="70"/>
        <v>0</v>
      </c>
      <c r="BM50" s="210">
        <f t="shared" si="70"/>
        <v>0</v>
      </c>
      <c r="BN50" s="210">
        <f t="shared" si="70"/>
        <v>0</v>
      </c>
      <c r="BO50" s="210">
        <f t="shared" si="70"/>
        <v>0</v>
      </c>
      <c r="BP50" s="210">
        <f t="shared" si="70"/>
        <v>0</v>
      </c>
      <c r="BQ50" s="210">
        <f t="shared" si="70"/>
        <v>0</v>
      </c>
      <c r="BR50" s="210">
        <f t="shared" ref="BR50:DA50" si="71">IF(BR$22&lt;=$E$24,IF(BR$22&lt;=$D$24,IF(BR$22&lt;=$C$24,IF(BR$22&lt;=$B$24,$B116,($C33-$B33)/($C$24-$B$24)),($D33-$C33)/($D$24-$C$24)),($E33-$D33)/($E$24-$D$24)),$F116)</f>
        <v>0</v>
      </c>
      <c r="BS50" s="210">
        <f t="shared" si="71"/>
        <v>0</v>
      </c>
      <c r="BT50" s="210">
        <f t="shared" si="71"/>
        <v>0</v>
      </c>
      <c r="BU50" s="210">
        <f t="shared" si="71"/>
        <v>0</v>
      </c>
      <c r="BV50" s="210">
        <f t="shared" si="71"/>
        <v>0</v>
      </c>
      <c r="BW50" s="210">
        <f t="shared" si="71"/>
        <v>0</v>
      </c>
      <c r="BX50" s="210">
        <f t="shared" si="71"/>
        <v>0</v>
      </c>
      <c r="BY50" s="210">
        <f t="shared" si="71"/>
        <v>0</v>
      </c>
      <c r="BZ50" s="210">
        <f t="shared" si="71"/>
        <v>0</v>
      </c>
      <c r="CA50" s="210">
        <f t="shared" si="71"/>
        <v>0</v>
      </c>
      <c r="CB50" s="210">
        <f t="shared" si="71"/>
        <v>0</v>
      </c>
      <c r="CC50" s="210">
        <f t="shared" si="71"/>
        <v>0</v>
      </c>
      <c r="CD50" s="210">
        <f t="shared" si="71"/>
        <v>0</v>
      </c>
      <c r="CE50" s="210">
        <f t="shared" si="71"/>
        <v>0</v>
      </c>
      <c r="CF50" s="210">
        <f t="shared" si="71"/>
        <v>0</v>
      </c>
      <c r="CG50" s="210">
        <f t="shared" si="71"/>
        <v>0</v>
      </c>
      <c r="CH50" s="210">
        <f t="shared" si="71"/>
        <v>0</v>
      </c>
      <c r="CI50" s="210">
        <f t="shared" si="71"/>
        <v>0</v>
      </c>
      <c r="CJ50" s="210">
        <f t="shared" si="71"/>
        <v>0</v>
      </c>
      <c r="CK50" s="210">
        <f t="shared" si="71"/>
        <v>0</v>
      </c>
      <c r="CL50" s="210">
        <f t="shared" si="71"/>
        <v>0</v>
      </c>
      <c r="CM50" s="210">
        <f t="shared" si="71"/>
        <v>0</v>
      </c>
      <c r="CN50" s="210">
        <f t="shared" si="71"/>
        <v>0</v>
      </c>
      <c r="CO50" s="210">
        <f t="shared" si="71"/>
        <v>0</v>
      </c>
      <c r="CP50" s="210">
        <f t="shared" si="71"/>
        <v>0</v>
      </c>
      <c r="CQ50" s="210">
        <f t="shared" si="71"/>
        <v>0</v>
      </c>
      <c r="CR50" s="210">
        <f t="shared" si="71"/>
        <v>0</v>
      </c>
      <c r="CS50" s="210">
        <f t="shared" si="71"/>
        <v>0</v>
      </c>
      <c r="CT50" s="210">
        <f t="shared" si="71"/>
        <v>0</v>
      </c>
      <c r="CU50" s="210">
        <f t="shared" si="71"/>
        <v>0</v>
      </c>
      <c r="CV50" s="210">
        <f t="shared" si="71"/>
        <v>0</v>
      </c>
      <c r="CW50" s="210">
        <f t="shared" si="71"/>
        <v>829.53</v>
      </c>
      <c r="CX50" s="210">
        <f t="shared" si="71"/>
        <v>829.53</v>
      </c>
      <c r="CY50" s="210">
        <f t="shared" si="71"/>
        <v>829.53</v>
      </c>
      <c r="CZ50" s="210">
        <f t="shared" si="71"/>
        <v>829.53</v>
      </c>
      <c r="DA50" s="210">
        <f t="shared" si="71"/>
        <v>829.53</v>
      </c>
    </row>
    <row r="51" spans="1:105">
      <c r="A51" s="201" t="str">
        <f>Income!A82</f>
        <v>Small business/petty trading</v>
      </c>
      <c r="F51" s="210">
        <f t="shared" ref="F51:AK51" si="72">IF(F$22&lt;=$E$24,IF(F$22&lt;=$D$24,IF(F$22&lt;=$C$24,IF(F$22&lt;=$B$24,$B117,($C34-$B34)/($C$24-$B$24)),($D34-$C34)/($D$24-$C$24)),($E34-$D34)/($E$24-$D$24)),$F117)</f>
        <v>0</v>
      </c>
      <c r="G51" s="210">
        <f t="shared" si="72"/>
        <v>0</v>
      </c>
      <c r="H51" s="210">
        <f t="shared" si="72"/>
        <v>0</v>
      </c>
      <c r="I51" s="210">
        <f t="shared" si="72"/>
        <v>0</v>
      </c>
      <c r="J51" s="210">
        <f t="shared" si="72"/>
        <v>0</v>
      </c>
      <c r="K51" s="210">
        <f t="shared" si="72"/>
        <v>0</v>
      </c>
      <c r="L51" s="210">
        <f t="shared" si="72"/>
        <v>0</v>
      </c>
      <c r="M51" s="210">
        <f t="shared" si="72"/>
        <v>0</v>
      </c>
      <c r="N51" s="210">
        <f t="shared" si="72"/>
        <v>0</v>
      </c>
      <c r="O51" s="210">
        <f t="shared" si="72"/>
        <v>0</v>
      </c>
      <c r="P51" s="210">
        <f t="shared" si="72"/>
        <v>0</v>
      </c>
      <c r="Q51" s="210">
        <f t="shared" si="72"/>
        <v>0</v>
      </c>
      <c r="R51" s="210">
        <f t="shared" si="72"/>
        <v>0</v>
      </c>
      <c r="S51" s="210">
        <f t="shared" si="72"/>
        <v>0</v>
      </c>
      <c r="T51" s="210">
        <f t="shared" si="72"/>
        <v>0</v>
      </c>
      <c r="U51" s="210">
        <f t="shared" si="72"/>
        <v>0</v>
      </c>
      <c r="V51" s="210">
        <f t="shared" si="72"/>
        <v>0</v>
      </c>
      <c r="W51" s="210">
        <f t="shared" si="72"/>
        <v>0</v>
      </c>
      <c r="X51" s="210">
        <f t="shared" si="72"/>
        <v>0</v>
      </c>
      <c r="Y51" s="210">
        <f t="shared" si="72"/>
        <v>0</v>
      </c>
      <c r="Z51" s="210">
        <f t="shared" si="72"/>
        <v>-11.6867597415366</v>
      </c>
      <c r="AA51" s="210">
        <f t="shared" si="72"/>
        <v>-11.6867597415366</v>
      </c>
      <c r="AB51" s="210">
        <f t="shared" si="72"/>
        <v>-11.6867597415366</v>
      </c>
      <c r="AC51" s="210">
        <f t="shared" si="72"/>
        <v>-11.6867597415366</v>
      </c>
      <c r="AD51" s="210">
        <f t="shared" si="72"/>
        <v>-11.6867597415366</v>
      </c>
      <c r="AE51" s="210">
        <f t="shared" si="72"/>
        <v>-11.6867597415366</v>
      </c>
      <c r="AF51" s="210">
        <f t="shared" si="72"/>
        <v>-11.6867597415366</v>
      </c>
      <c r="AG51" s="210">
        <f t="shared" si="72"/>
        <v>-11.6867597415366</v>
      </c>
      <c r="AH51" s="210">
        <f t="shared" si="72"/>
        <v>-11.6867597415366</v>
      </c>
      <c r="AI51" s="210">
        <f t="shared" si="72"/>
        <v>-11.6867597415366</v>
      </c>
      <c r="AJ51" s="210">
        <f t="shared" si="72"/>
        <v>-11.6867597415366</v>
      </c>
      <c r="AK51" s="210">
        <f t="shared" si="72"/>
        <v>-11.6867597415366</v>
      </c>
      <c r="AL51" s="210">
        <f t="shared" ref="AL51:BQ51" si="73">IF(AL$22&lt;=$E$24,IF(AL$22&lt;=$D$24,IF(AL$22&lt;=$C$24,IF(AL$22&lt;=$B$24,$B117,($C34-$B34)/($C$24-$B$24)),($D34-$C34)/($D$24-$C$24)),($E34-$D34)/($E$24-$D$24)),$F117)</f>
        <v>-11.6867597415366</v>
      </c>
      <c r="AM51" s="210">
        <f t="shared" si="73"/>
        <v>-11.6867597415366</v>
      </c>
      <c r="AN51" s="210">
        <f t="shared" si="73"/>
        <v>-11.6867597415366</v>
      </c>
      <c r="AO51" s="210">
        <f t="shared" si="73"/>
        <v>-11.6867597415366</v>
      </c>
      <c r="AP51" s="210">
        <f t="shared" si="73"/>
        <v>-11.6867597415366</v>
      </c>
      <c r="AQ51" s="210">
        <f t="shared" si="73"/>
        <v>-11.6867597415366</v>
      </c>
      <c r="AR51" s="210">
        <f t="shared" si="73"/>
        <v>-11.6867597415366</v>
      </c>
      <c r="AS51" s="210">
        <f t="shared" si="73"/>
        <v>-11.6867597415366</v>
      </c>
      <c r="AT51" s="210">
        <f t="shared" si="73"/>
        <v>-11.6867597415366</v>
      </c>
      <c r="AU51" s="210">
        <f t="shared" si="73"/>
        <v>-11.6867597415366</v>
      </c>
      <c r="AV51" s="210">
        <f t="shared" si="73"/>
        <v>-11.6867597415366</v>
      </c>
      <c r="AW51" s="210">
        <f t="shared" si="73"/>
        <v>-11.6867597415366</v>
      </c>
      <c r="AX51" s="210">
        <f t="shared" si="73"/>
        <v>-11.6867597415366</v>
      </c>
      <c r="AY51" s="210">
        <f t="shared" si="73"/>
        <v>-11.6867597415366</v>
      </c>
      <c r="AZ51" s="210">
        <f t="shared" si="73"/>
        <v>-11.6867597415366</v>
      </c>
      <c r="BA51" s="210">
        <f t="shared" si="73"/>
        <v>-11.6867597415366</v>
      </c>
      <c r="BB51" s="210">
        <f t="shared" si="73"/>
        <v>-11.6867597415366</v>
      </c>
      <c r="BC51" s="210">
        <f t="shared" si="73"/>
        <v>-11.6867597415366</v>
      </c>
      <c r="BD51" s="210">
        <f t="shared" si="73"/>
        <v>-11.6867597415366</v>
      </c>
      <c r="BE51" s="210">
        <f t="shared" si="73"/>
        <v>-11.6867597415366</v>
      </c>
      <c r="BF51" s="210">
        <f t="shared" si="73"/>
        <v>-11.6867597415366</v>
      </c>
      <c r="BG51" s="210">
        <f t="shared" si="73"/>
        <v>-11.6867597415366</v>
      </c>
      <c r="BH51" s="210">
        <f t="shared" si="73"/>
        <v>-11.6867597415366</v>
      </c>
      <c r="BI51" s="210">
        <f t="shared" si="73"/>
        <v>-11.6867597415366</v>
      </c>
      <c r="BJ51" s="210">
        <f t="shared" si="73"/>
        <v>-11.6867597415366</v>
      </c>
      <c r="BK51" s="210">
        <f t="shared" si="73"/>
        <v>-45.93795559942464</v>
      </c>
      <c r="BL51" s="210">
        <f t="shared" si="73"/>
        <v>-45.93795559942464</v>
      </c>
      <c r="BM51" s="210">
        <f t="shared" si="73"/>
        <v>-45.93795559942464</v>
      </c>
      <c r="BN51" s="210">
        <f t="shared" si="73"/>
        <v>-45.93795559942464</v>
      </c>
      <c r="BO51" s="210">
        <f t="shared" si="73"/>
        <v>-45.93795559942464</v>
      </c>
      <c r="BP51" s="210">
        <f t="shared" si="73"/>
        <v>-45.93795559942464</v>
      </c>
      <c r="BQ51" s="210">
        <f t="shared" si="73"/>
        <v>-45.93795559942464</v>
      </c>
      <c r="BR51" s="210">
        <f t="shared" ref="BR51:DA51" si="74">IF(BR$22&lt;=$E$24,IF(BR$22&lt;=$D$24,IF(BR$22&lt;=$C$24,IF(BR$22&lt;=$B$24,$B117,($C34-$B34)/($C$24-$B$24)),($D34-$C34)/($D$24-$C$24)),($E34-$D34)/($E$24-$D$24)),$F117)</f>
        <v>-45.93795559942464</v>
      </c>
      <c r="BS51" s="210">
        <f t="shared" si="74"/>
        <v>-45.93795559942464</v>
      </c>
      <c r="BT51" s="210">
        <f t="shared" si="74"/>
        <v>-45.93795559942464</v>
      </c>
      <c r="BU51" s="210">
        <f t="shared" si="74"/>
        <v>-45.93795559942464</v>
      </c>
      <c r="BV51" s="210">
        <f t="shared" si="74"/>
        <v>-45.93795559942464</v>
      </c>
      <c r="BW51" s="210">
        <f t="shared" si="74"/>
        <v>-45.93795559942464</v>
      </c>
      <c r="BX51" s="210">
        <f t="shared" si="74"/>
        <v>-45.93795559942464</v>
      </c>
      <c r="BY51" s="210">
        <f t="shared" si="74"/>
        <v>-45.93795559942464</v>
      </c>
      <c r="BZ51" s="210">
        <f t="shared" si="74"/>
        <v>-45.93795559942464</v>
      </c>
      <c r="CA51" s="210">
        <f t="shared" si="74"/>
        <v>-45.93795559942464</v>
      </c>
      <c r="CB51" s="210">
        <f t="shared" si="74"/>
        <v>-45.93795559942464</v>
      </c>
      <c r="CC51" s="210">
        <f t="shared" si="74"/>
        <v>-45.93795559942464</v>
      </c>
      <c r="CD51" s="210">
        <f t="shared" si="74"/>
        <v>-45.93795559942464</v>
      </c>
      <c r="CE51" s="210">
        <f t="shared" si="74"/>
        <v>-45.93795559942464</v>
      </c>
      <c r="CF51" s="210">
        <f t="shared" si="74"/>
        <v>-45.93795559942464</v>
      </c>
      <c r="CG51" s="210">
        <f t="shared" si="74"/>
        <v>-45.93795559942464</v>
      </c>
      <c r="CH51" s="210">
        <f t="shared" si="74"/>
        <v>-45.93795559942464</v>
      </c>
      <c r="CI51" s="210">
        <f t="shared" si="74"/>
        <v>-45.93795559942464</v>
      </c>
      <c r="CJ51" s="210">
        <f t="shared" si="74"/>
        <v>4515.6954305996042</v>
      </c>
      <c r="CK51" s="210">
        <f t="shared" si="74"/>
        <v>4515.6954305996042</v>
      </c>
      <c r="CL51" s="210">
        <f t="shared" si="74"/>
        <v>4515.6954305996042</v>
      </c>
      <c r="CM51" s="210">
        <f t="shared" si="74"/>
        <v>4515.6954305996042</v>
      </c>
      <c r="CN51" s="210">
        <f t="shared" si="74"/>
        <v>4515.6954305996042</v>
      </c>
      <c r="CO51" s="210">
        <f t="shared" si="74"/>
        <v>4515.6954305996042</v>
      </c>
      <c r="CP51" s="210">
        <f t="shared" si="74"/>
        <v>4515.6954305996042</v>
      </c>
      <c r="CQ51" s="210">
        <f t="shared" si="74"/>
        <v>4515.6954305996042</v>
      </c>
      <c r="CR51" s="210">
        <f t="shared" si="74"/>
        <v>4515.6954305996042</v>
      </c>
      <c r="CS51" s="210">
        <f t="shared" si="74"/>
        <v>4515.6954305996042</v>
      </c>
      <c r="CT51" s="210">
        <f t="shared" si="74"/>
        <v>4515.6954305996042</v>
      </c>
      <c r="CU51" s="210">
        <f t="shared" si="74"/>
        <v>4515.6954305996042</v>
      </c>
      <c r="CV51" s="210">
        <f t="shared" si="74"/>
        <v>4515.6954305996042</v>
      </c>
      <c r="CW51" s="210">
        <f t="shared" si="74"/>
        <v>6203.5</v>
      </c>
      <c r="CX51" s="210">
        <f t="shared" si="74"/>
        <v>6203.5</v>
      </c>
      <c r="CY51" s="210">
        <f t="shared" si="74"/>
        <v>6203.5</v>
      </c>
      <c r="CZ51" s="210">
        <f t="shared" si="74"/>
        <v>6203.5</v>
      </c>
      <c r="DA51" s="210">
        <f t="shared" si="74"/>
        <v>6203.5</v>
      </c>
    </row>
    <row r="52" spans="1:105">
      <c r="A52" s="201" t="str">
        <f>Income!A83</f>
        <v>Food transfer - official</v>
      </c>
      <c r="F52" s="210">
        <f t="shared" ref="F52:AK52" si="75">IF(F$22&lt;=$E$24,IF(F$22&lt;=$D$24,IF(F$22&lt;=$C$24,IF(F$22&lt;=$B$24,$B118,($C35-$B35)/($C$24-$B$24)),($D35-$C35)/($D$24-$C$24)),($E35-$D35)/($E$24-$D$24)),$F118)</f>
        <v>0</v>
      </c>
      <c r="G52" s="210">
        <f t="shared" si="75"/>
        <v>0</v>
      </c>
      <c r="H52" s="210">
        <f t="shared" si="75"/>
        <v>0</v>
      </c>
      <c r="I52" s="210">
        <f t="shared" si="75"/>
        <v>0</v>
      </c>
      <c r="J52" s="210">
        <f t="shared" si="75"/>
        <v>0</v>
      </c>
      <c r="K52" s="210">
        <f t="shared" si="75"/>
        <v>0</v>
      </c>
      <c r="L52" s="210">
        <f t="shared" si="75"/>
        <v>0</v>
      </c>
      <c r="M52" s="210">
        <f t="shared" si="75"/>
        <v>0</v>
      </c>
      <c r="N52" s="210">
        <f t="shared" si="75"/>
        <v>0</v>
      </c>
      <c r="O52" s="210">
        <f t="shared" si="75"/>
        <v>0</v>
      </c>
      <c r="P52" s="210">
        <f t="shared" si="75"/>
        <v>0</v>
      </c>
      <c r="Q52" s="210">
        <f t="shared" si="75"/>
        <v>0</v>
      </c>
      <c r="R52" s="210">
        <f t="shared" si="75"/>
        <v>0</v>
      </c>
      <c r="S52" s="210">
        <f t="shared" si="75"/>
        <v>0</v>
      </c>
      <c r="T52" s="210">
        <f t="shared" si="75"/>
        <v>0</v>
      </c>
      <c r="U52" s="210">
        <f t="shared" si="75"/>
        <v>0</v>
      </c>
      <c r="V52" s="210">
        <f t="shared" si="75"/>
        <v>0</v>
      </c>
      <c r="W52" s="210">
        <f t="shared" si="75"/>
        <v>0</v>
      </c>
      <c r="X52" s="210">
        <f t="shared" si="75"/>
        <v>0</v>
      </c>
      <c r="Y52" s="210">
        <f t="shared" si="75"/>
        <v>0</v>
      </c>
      <c r="Z52" s="210">
        <f t="shared" si="75"/>
        <v>1.3690982448928206</v>
      </c>
      <c r="AA52" s="210">
        <f t="shared" si="75"/>
        <v>1.3690982448928206</v>
      </c>
      <c r="AB52" s="210">
        <f t="shared" si="75"/>
        <v>1.3690982448928206</v>
      </c>
      <c r="AC52" s="210">
        <f t="shared" si="75"/>
        <v>1.3690982448928206</v>
      </c>
      <c r="AD52" s="210">
        <f t="shared" si="75"/>
        <v>1.3690982448928206</v>
      </c>
      <c r="AE52" s="210">
        <f t="shared" si="75"/>
        <v>1.3690982448928206</v>
      </c>
      <c r="AF52" s="210">
        <f t="shared" si="75"/>
        <v>1.3690982448928206</v>
      </c>
      <c r="AG52" s="210">
        <f t="shared" si="75"/>
        <v>1.3690982448928206</v>
      </c>
      <c r="AH52" s="210">
        <f t="shared" si="75"/>
        <v>1.3690982448928206</v>
      </c>
      <c r="AI52" s="210">
        <f t="shared" si="75"/>
        <v>1.3690982448928206</v>
      </c>
      <c r="AJ52" s="210">
        <f t="shared" si="75"/>
        <v>1.3690982448928206</v>
      </c>
      <c r="AK52" s="210">
        <f t="shared" si="75"/>
        <v>1.3690982448928206</v>
      </c>
      <c r="AL52" s="210">
        <f t="shared" ref="AL52:BQ52" si="76">IF(AL$22&lt;=$E$24,IF(AL$22&lt;=$D$24,IF(AL$22&lt;=$C$24,IF(AL$22&lt;=$B$24,$B118,($C35-$B35)/($C$24-$B$24)),($D35-$C35)/($D$24-$C$24)),($E35-$D35)/($E$24-$D$24)),$F118)</f>
        <v>1.3690982448928206</v>
      </c>
      <c r="AM52" s="210">
        <f t="shared" si="76"/>
        <v>1.3690982448928206</v>
      </c>
      <c r="AN52" s="210">
        <f t="shared" si="76"/>
        <v>1.3690982448928206</v>
      </c>
      <c r="AO52" s="210">
        <f t="shared" si="76"/>
        <v>1.3690982448928206</v>
      </c>
      <c r="AP52" s="210">
        <f t="shared" si="76"/>
        <v>1.3690982448928206</v>
      </c>
      <c r="AQ52" s="210">
        <f t="shared" si="76"/>
        <v>1.3690982448928206</v>
      </c>
      <c r="AR52" s="210">
        <f t="shared" si="76"/>
        <v>1.3690982448928206</v>
      </c>
      <c r="AS52" s="210">
        <f t="shared" si="76"/>
        <v>1.3690982448928206</v>
      </c>
      <c r="AT52" s="210">
        <f t="shared" si="76"/>
        <v>1.3690982448928206</v>
      </c>
      <c r="AU52" s="210">
        <f t="shared" si="76"/>
        <v>1.3690982448928206</v>
      </c>
      <c r="AV52" s="210">
        <f t="shared" si="76"/>
        <v>1.3690982448928206</v>
      </c>
      <c r="AW52" s="210">
        <f t="shared" si="76"/>
        <v>1.3690982448928206</v>
      </c>
      <c r="AX52" s="210">
        <f t="shared" si="76"/>
        <v>1.3690982448928206</v>
      </c>
      <c r="AY52" s="210">
        <f t="shared" si="76"/>
        <v>1.3690982448928206</v>
      </c>
      <c r="AZ52" s="210">
        <f t="shared" si="76"/>
        <v>1.3690982448928206</v>
      </c>
      <c r="BA52" s="210">
        <f t="shared" si="76"/>
        <v>1.3690982448928206</v>
      </c>
      <c r="BB52" s="210">
        <f t="shared" si="76"/>
        <v>1.3690982448928206</v>
      </c>
      <c r="BC52" s="210">
        <f t="shared" si="76"/>
        <v>1.3690982448928206</v>
      </c>
      <c r="BD52" s="210">
        <f t="shared" si="76"/>
        <v>1.3690982448928206</v>
      </c>
      <c r="BE52" s="210">
        <f t="shared" si="76"/>
        <v>1.3690982448928206</v>
      </c>
      <c r="BF52" s="210">
        <f t="shared" si="76"/>
        <v>1.3690982448928206</v>
      </c>
      <c r="BG52" s="210">
        <f t="shared" si="76"/>
        <v>1.3690982448928206</v>
      </c>
      <c r="BH52" s="210">
        <f t="shared" si="76"/>
        <v>1.3690982448928206</v>
      </c>
      <c r="BI52" s="210">
        <f t="shared" si="76"/>
        <v>1.3690982448928206</v>
      </c>
      <c r="BJ52" s="210">
        <f t="shared" si="76"/>
        <v>1.3690982448928206</v>
      </c>
      <c r="BK52" s="210">
        <f t="shared" si="76"/>
        <v>-11.409443239359371</v>
      </c>
      <c r="BL52" s="210">
        <f t="shared" si="76"/>
        <v>-11.409443239359371</v>
      </c>
      <c r="BM52" s="210">
        <f t="shared" si="76"/>
        <v>-11.409443239359371</v>
      </c>
      <c r="BN52" s="210">
        <f t="shared" si="76"/>
        <v>-11.409443239359371</v>
      </c>
      <c r="BO52" s="210">
        <f t="shared" si="76"/>
        <v>-11.409443239359371</v>
      </c>
      <c r="BP52" s="210">
        <f t="shared" si="76"/>
        <v>-11.409443239359371</v>
      </c>
      <c r="BQ52" s="210">
        <f t="shared" si="76"/>
        <v>-11.409443239359371</v>
      </c>
      <c r="BR52" s="210">
        <f t="shared" ref="BR52:DA52" si="77">IF(BR$22&lt;=$E$24,IF(BR$22&lt;=$D$24,IF(BR$22&lt;=$C$24,IF(BR$22&lt;=$B$24,$B118,($C35-$B35)/($C$24-$B$24)),($D35-$C35)/($D$24-$C$24)),($E35-$D35)/($E$24-$D$24)),$F118)</f>
        <v>-11.409443239359371</v>
      </c>
      <c r="BS52" s="210">
        <f t="shared" si="77"/>
        <v>-11.409443239359371</v>
      </c>
      <c r="BT52" s="210">
        <f t="shared" si="77"/>
        <v>-11.409443239359371</v>
      </c>
      <c r="BU52" s="210">
        <f t="shared" si="77"/>
        <v>-11.409443239359371</v>
      </c>
      <c r="BV52" s="210">
        <f t="shared" si="77"/>
        <v>-11.409443239359371</v>
      </c>
      <c r="BW52" s="210">
        <f t="shared" si="77"/>
        <v>-11.409443239359371</v>
      </c>
      <c r="BX52" s="210">
        <f t="shared" si="77"/>
        <v>-11.409443239359371</v>
      </c>
      <c r="BY52" s="210">
        <f t="shared" si="77"/>
        <v>-11.409443239359371</v>
      </c>
      <c r="BZ52" s="210">
        <f t="shared" si="77"/>
        <v>-11.409443239359371</v>
      </c>
      <c r="CA52" s="210">
        <f t="shared" si="77"/>
        <v>-11.409443239359371</v>
      </c>
      <c r="CB52" s="210">
        <f t="shared" si="77"/>
        <v>-11.409443239359371</v>
      </c>
      <c r="CC52" s="210">
        <f t="shared" si="77"/>
        <v>-11.409443239359371</v>
      </c>
      <c r="CD52" s="210">
        <f t="shared" si="77"/>
        <v>-11.409443239359371</v>
      </c>
      <c r="CE52" s="210">
        <f t="shared" si="77"/>
        <v>-11.409443239359371</v>
      </c>
      <c r="CF52" s="210">
        <f t="shared" si="77"/>
        <v>-11.409443239359371</v>
      </c>
      <c r="CG52" s="210">
        <f t="shared" si="77"/>
        <v>-11.409443239359371</v>
      </c>
      <c r="CH52" s="210">
        <f t="shared" si="77"/>
        <v>-11.409443239359371</v>
      </c>
      <c r="CI52" s="210">
        <f t="shared" si="77"/>
        <v>-11.409443239359371</v>
      </c>
      <c r="CJ52" s="210">
        <f t="shared" si="77"/>
        <v>-140.99604953681703</v>
      </c>
      <c r="CK52" s="210">
        <f t="shared" si="77"/>
        <v>-140.99604953681703</v>
      </c>
      <c r="CL52" s="210">
        <f t="shared" si="77"/>
        <v>-140.99604953681703</v>
      </c>
      <c r="CM52" s="210">
        <f t="shared" si="77"/>
        <v>-140.99604953681703</v>
      </c>
      <c r="CN52" s="210">
        <f t="shared" si="77"/>
        <v>-140.99604953681703</v>
      </c>
      <c r="CO52" s="210">
        <f t="shared" si="77"/>
        <v>-140.99604953681703</v>
      </c>
      <c r="CP52" s="210">
        <f t="shared" si="77"/>
        <v>-140.99604953681703</v>
      </c>
      <c r="CQ52" s="210">
        <f t="shared" si="77"/>
        <v>-140.99604953681703</v>
      </c>
      <c r="CR52" s="210">
        <f t="shared" si="77"/>
        <v>-140.99604953681703</v>
      </c>
      <c r="CS52" s="210">
        <f t="shared" si="77"/>
        <v>-140.99604953681703</v>
      </c>
      <c r="CT52" s="210">
        <f t="shared" si="77"/>
        <v>-140.99604953681703</v>
      </c>
      <c r="CU52" s="210">
        <f t="shared" si="77"/>
        <v>-140.99604953681703</v>
      </c>
      <c r="CV52" s="210">
        <f t="shared" si="77"/>
        <v>-140.99604953681703</v>
      </c>
      <c r="CW52" s="210">
        <f t="shared" si="77"/>
        <v>14.730000000000004</v>
      </c>
      <c r="CX52" s="210">
        <f t="shared" si="77"/>
        <v>14.730000000000004</v>
      </c>
      <c r="CY52" s="210">
        <f t="shared" si="77"/>
        <v>14.730000000000004</v>
      </c>
      <c r="CZ52" s="210">
        <f t="shared" si="77"/>
        <v>14.730000000000004</v>
      </c>
      <c r="DA52" s="210">
        <f t="shared" si="77"/>
        <v>14.730000000000004</v>
      </c>
    </row>
    <row r="53" spans="1:105">
      <c r="A53" s="201" t="str">
        <f>Income!A85</f>
        <v>Cash transfer - official</v>
      </c>
      <c r="F53" s="210">
        <f t="shared" ref="F53:AK53" si="78">IF(F$22&lt;=$E$24,IF(F$22&lt;=$D$24,IF(F$22&lt;=$C$24,IF(F$22&lt;=$B$24,$B119,($C36-$B36)/($C$24-$B$24)),($D36-$C36)/($D$24-$C$24)),($E36-$D36)/($E$24-$D$24)),$F119)</f>
        <v>0</v>
      </c>
      <c r="G53" s="210">
        <f t="shared" si="78"/>
        <v>0</v>
      </c>
      <c r="H53" s="210">
        <f t="shared" si="78"/>
        <v>0</v>
      </c>
      <c r="I53" s="210">
        <f t="shared" si="78"/>
        <v>0</v>
      </c>
      <c r="J53" s="210">
        <f t="shared" si="78"/>
        <v>0</v>
      </c>
      <c r="K53" s="210">
        <f t="shared" si="78"/>
        <v>0</v>
      </c>
      <c r="L53" s="210">
        <f t="shared" si="78"/>
        <v>0</v>
      </c>
      <c r="M53" s="210">
        <f t="shared" si="78"/>
        <v>0</v>
      </c>
      <c r="N53" s="210">
        <f t="shared" si="78"/>
        <v>0</v>
      </c>
      <c r="O53" s="210">
        <f t="shared" si="78"/>
        <v>0</v>
      </c>
      <c r="P53" s="210">
        <f t="shared" si="78"/>
        <v>0</v>
      </c>
      <c r="Q53" s="210">
        <f t="shared" si="78"/>
        <v>0</v>
      </c>
      <c r="R53" s="210">
        <f t="shared" si="78"/>
        <v>0</v>
      </c>
      <c r="S53" s="210">
        <f t="shared" si="78"/>
        <v>0</v>
      </c>
      <c r="T53" s="210">
        <f t="shared" si="78"/>
        <v>0</v>
      </c>
      <c r="U53" s="210">
        <f t="shared" si="78"/>
        <v>0</v>
      </c>
      <c r="V53" s="210">
        <f t="shared" si="78"/>
        <v>0</v>
      </c>
      <c r="W53" s="210">
        <f t="shared" si="78"/>
        <v>0</v>
      </c>
      <c r="X53" s="210">
        <f t="shared" si="78"/>
        <v>0</v>
      </c>
      <c r="Y53" s="210">
        <f t="shared" si="78"/>
        <v>0</v>
      </c>
      <c r="Z53" s="210">
        <f t="shared" si="78"/>
        <v>210.56394618933919</v>
      </c>
      <c r="AA53" s="210">
        <f t="shared" si="78"/>
        <v>210.56394618933919</v>
      </c>
      <c r="AB53" s="210">
        <f t="shared" si="78"/>
        <v>210.56394618933919</v>
      </c>
      <c r="AC53" s="210">
        <f t="shared" si="78"/>
        <v>210.56394618933919</v>
      </c>
      <c r="AD53" s="210">
        <f t="shared" si="78"/>
        <v>210.56394618933919</v>
      </c>
      <c r="AE53" s="210">
        <f t="shared" si="78"/>
        <v>210.56394618933919</v>
      </c>
      <c r="AF53" s="210">
        <f t="shared" si="78"/>
        <v>210.56394618933919</v>
      </c>
      <c r="AG53" s="210">
        <f t="shared" si="78"/>
        <v>210.56394618933919</v>
      </c>
      <c r="AH53" s="210">
        <f t="shared" si="78"/>
        <v>210.56394618933919</v>
      </c>
      <c r="AI53" s="210">
        <f t="shared" si="78"/>
        <v>210.56394618933919</v>
      </c>
      <c r="AJ53" s="210">
        <f t="shared" si="78"/>
        <v>210.56394618933919</v>
      </c>
      <c r="AK53" s="210">
        <f t="shared" si="78"/>
        <v>210.56394618933919</v>
      </c>
      <c r="AL53" s="210">
        <f t="shared" ref="AL53:BQ53" si="79">IF(AL$22&lt;=$E$24,IF(AL$22&lt;=$D$24,IF(AL$22&lt;=$C$24,IF(AL$22&lt;=$B$24,$B119,($C36-$B36)/($C$24-$B$24)),($D36-$C36)/($D$24-$C$24)),($E36-$D36)/($E$24-$D$24)),$F119)</f>
        <v>210.56394618933919</v>
      </c>
      <c r="AM53" s="210">
        <f t="shared" si="79"/>
        <v>210.56394618933919</v>
      </c>
      <c r="AN53" s="210">
        <f t="shared" si="79"/>
        <v>210.56394618933919</v>
      </c>
      <c r="AO53" s="210">
        <f t="shared" si="79"/>
        <v>210.56394618933919</v>
      </c>
      <c r="AP53" s="210">
        <f t="shared" si="79"/>
        <v>210.56394618933919</v>
      </c>
      <c r="AQ53" s="210">
        <f t="shared" si="79"/>
        <v>210.56394618933919</v>
      </c>
      <c r="AR53" s="210">
        <f t="shared" si="79"/>
        <v>210.56394618933919</v>
      </c>
      <c r="AS53" s="210">
        <f t="shared" si="79"/>
        <v>210.56394618933919</v>
      </c>
      <c r="AT53" s="210">
        <f t="shared" si="79"/>
        <v>210.56394618933919</v>
      </c>
      <c r="AU53" s="210">
        <f t="shared" si="79"/>
        <v>210.56394618933919</v>
      </c>
      <c r="AV53" s="210">
        <f t="shared" si="79"/>
        <v>210.56394618933919</v>
      </c>
      <c r="AW53" s="210">
        <f t="shared" si="79"/>
        <v>210.56394618933919</v>
      </c>
      <c r="AX53" s="210">
        <f t="shared" si="79"/>
        <v>210.56394618933919</v>
      </c>
      <c r="AY53" s="210">
        <f t="shared" si="79"/>
        <v>210.56394618933919</v>
      </c>
      <c r="AZ53" s="210">
        <f t="shared" si="79"/>
        <v>210.56394618933919</v>
      </c>
      <c r="BA53" s="210">
        <f t="shared" si="79"/>
        <v>210.56394618933919</v>
      </c>
      <c r="BB53" s="210">
        <f t="shared" si="79"/>
        <v>210.56394618933919</v>
      </c>
      <c r="BC53" s="210">
        <f t="shared" si="79"/>
        <v>210.56394618933919</v>
      </c>
      <c r="BD53" s="210">
        <f t="shared" si="79"/>
        <v>210.56394618933919</v>
      </c>
      <c r="BE53" s="210">
        <f t="shared" si="79"/>
        <v>210.56394618933919</v>
      </c>
      <c r="BF53" s="210">
        <f t="shared" si="79"/>
        <v>210.56394618933919</v>
      </c>
      <c r="BG53" s="210">
        <f t="shared" si="79"/>
        <v>210.56394618933919</v>
      </c>
      <c r="BH53" s="210">
        <f t="shared" si="79"/>
        <v>210.56394618933919</v>
      </c>
      <c r="BI53" s="210">
        <f t="shared" si="79"/>
        <v>210.56394618933919</v>
      </c>
      <c r="BJ53" s="210">
        <f t="shared" si="79"/>
        <v>210.56394618933919</v>
      </c>
      <c r="BK53" s="210">
        <f t="shared" si="79"/>
        <v>-877.12901161313641</v>
      </c>
      <c r="BL53" s="210">
        <f t="shared" si="79"/>
        <v>-877.12901161313641</v>
      </c>
      <c r="BM53" s="210">
        <f t="shared" si="79"/>
        <v>-877.12901161313641</v>
      </c>
      <c r="BN53" s="210">
        <f t="shared" si="79"/>
        <v>-877.12901161313641</v>
      </c>
      <c r="BO53" s="210">
        <f t="shared" si="79"/>
        <v>-877.12901161313641</v>
      </c>
      <c r="BP53" s="210">
        <f t="shared" si="79"/>
        <v>-877.12901161313641</v>
      </c>
      <c r="BQ53" s="210">
        <f t="shared" si="79"/>
        <v>-877.12901161313641</v>
      </c>
      <c r="BR53" s="210">
        <f t="shared" ref="BR53:DA53" si="80">IF(BR$22&lt;=$E$24,IF(BR$22&lt;=$D$24,IF(BR$22&lt;=$C$24,IF(BR$22&lt;=$B$24,$B119,($C36-$B36)/($C$24-$B$24)),($D36-$C36)/($D$24-$C$24)),($E36-$D36)/($E$24-$D$24)),$F119)</f>
        <v>-877.12901161313641</v>
      </c>
      <c r="BS53" s="210">
        <f t="shared" si="80"/>
        <v>-877.12901161313641</v>
      </c>
      <c r="BT53" s="210">
        <f t="shared" si="80"/>
        <v>-877.12901161313641</v>
      </c>
      <c r="BU53" s="210">
        <f t="shared" si="80"/>
        <v>-877.12901161313641</v>
      </c>
      <c r="BV53" s="210">
        <f t="shared" si="80"/>
        <v>-877.12901161313641</v>
      </c>
      <c r="BW53" s="210">
        <f t="shared" si="80"/>
        <v>-877.12901161313641</v>
      </c>
      <c r="BX53" s="210">
        <f t="shared" si="80"/>
        <v>-877.12901161313641</v>
      </c>
      <c r="BY53" s="210">
        <f t="shared" si="80"/>
        <v>-877.12901161313641</v>
      </c>
      <c r="BZ53" s="210">
        <f t="shared" si="80"/>
        <v>-877.12901161313641</v>
      </c>
      <c r="CA53" s="210">
        <f t="shared" si="80"/>
        <v>-877.12901161313641</v>
      </c>
      <c r="CB53" s="210">
        <f t="shared" si="80"/>
        <v>-877.12901161313641</v>
      </c>
      <c r="CC53" s="210">
        <f t="shared" si="80"/>
        <v>-877.12901161313641</v>
      </c>
      <c r="CD53" s="210">
        <f t="shared" si="80"/>
        <v>-877.12901161313641</v>
      </c>
      <c r="CE53" s="210">
        <f t="shared" si="80"/>
        <v>-877.12901161313641</v>
      </c>
      <c r="CF53" s="210">
        <f t="shared" si="80"/>
        <v>-877.12901161313641</v>
      </c>
      <c r="CG53" s="210">
        <f t="shared" si="80"/>
        <v>-877.12901161313641</v>
      </c>
      <c r="CH53" s="210">
        <f t="shared" si="80"/>
        <v>-877.12901161313641</v>
      </c>
      <c r="CI53" s="210">
        <f t="shared" si="80"/>
        <v>-877.12901161313641</v>
      </c>
      <c r="CJ53" s="210">
        <f t="shared" si="80"/>
        <v>142.29781653537847</v>
      </c>
      <c r="CK53" s="210">
        <f t="shared" si="80"/>
        <v>142.29781653537847</v>
      </c>
      <c r="CL53" s="210">
        <f t="shared" si="80"/>
        <v>142.29781653537847</v>
      </c>
      <c r="CM53" s="210">
        <f t="shared" si="80"/>
        <v>142.29781653537847</v>
      </c>
      <c r="CN53" s="210">
        <f t="shared" si="80"/>
        <v>142.29781653537847</v>
      </c>
      <c r="CO53" s="210">
        <f t="shared" si="80"/>
        <v>142.29781653537847</v>
      </c>
      <c r="CP53" s="210">
        <f t="shared" si="80"/>
        <v>142.29781653537847</v>
      </c>
      <c r="CQ53" s="210">
        <f t="shared" si="80"/>
        <v>142.29781653537847</v>
      </c>
      <c r="CR53" s="210">
        <f t="shared" si="80"/>
        <v>142.29781653537847</v>
      </c>
      <c r="CS53" s="210">
        <f t="shared" si="80"/>
        <v>142.29781653537847</v>
      </c>
      <c r="CT53" s="210">
        <f t="shared" si="80"/>
        <v>142.29781653537847</v>
      </c>
      <c r="CU53" s="210">
        <f t="shared" si="80"/>
        <v>142.29781653537847</v>
      </c>
      <c r="CV53" s="210">
        <f t="shared" si="80"/>
        <v>142.29781653537847</v>
      </c>
      <c r="CW53" s="210">
        <f t="shared" si="80"/>
        <v>-1127.83</v>
      </c>
      <c r="CX53" s="210">
        <f t="shared" si="80"/>
        <v>-1127.83</v>
      </c>
      <c r="CY53" s="210">
        <f t="shared" si="80"/>
        <v>-1127.83</v>
      </c>
      <c r="CZ53" s="210">
        <f t="shared" si="80"/>
        <v>-1127.83</v>
      </c>
      <c r="DA53" s="210">
        <f t="shared" si="80"/>
        <v>-1127.83</v>
      </c>
    </row>
    <row r="54" spans="1:105">
      <c r="A54" s="201" t="str">
        <f>Income!A86</f>
        <v>Cash transfer - gifts</v>
      </c>
      <c r="F54" s="210">
        <f t="shared" ref="F54:AK54" si="81">IF(F$22&lt;=$E$24,IF(F$22&lt;=$D$24,IF(F$22&lt;=$C$24,IF(F$22&lt;=$B$24,$B120,($C37-$B37)/($C$24-$B$24)),($D37-$C37)/($D$24-$C$24)),($E37-$D37)/($E$24-$D$24)),$F120)</f>
        <v>0</v>
      </c>
      <c r="G54" s="210">
        <f t="shared" si="81"/>
        <v>0</v>
      </c>
      <c r="H54" s="210">
        <f t="shared" si="81"/>
        <v>0</v>
      </c>
      <c r="I54" s="210">
        <f t="shared" si="81"/>
        <v>0</v>
      </c>
      <c r="J54" s="210">
        <f t="shared" si="81"/>
        <v>0</v>
      </c>
      <c r="K54" s="210">
        <f t="shared" si="81"/>
        <v>0</v>
      </c>
      <c r="L54" s="210">
        <f t="shared" si="81"/>
        <v>0</v>
      </c>
      <c r="M54" s="210">
        <f t="shared" si="81"/>
        <v>0</v>
      </c>
      <c r="N54" s="210">
        <f t="shared" si="81"/>
        <v>0</v>
      </c>
      <c r="O54" s="210">
        <f t="shared" si="81"/>
        <v>0</v>
      </c>
      <c r="P54" s="210">
        <f t="shared" si="81"/>
        <v>0</v>
      </c>
      <c r="Q54" s="210">
        <f t="shared" si="81"/>
        <v>0</v>
      </c>
      <c r="R54" s="210">
        <f t="shared" si="81"/>
        <v>0</v>
      </c>
      <c r="S54" s="210">
        <f t="shared" si="81"/>
        <v>0</v>
      </c>
      <c r="T54" s="210">
        <f t="shared" si="81"/>
        <v>0</v>
      </c>
      <c r="U54" s="210">
        <f t="shared" si="81"/>
        <v>0</v>
      </c>
      <c r="V54" s="210">
        <f t="shared" si="81"/>
        <v>0</v>
      </c>
      <c r="W54" s="210">
        <f t="shared" si="81"/>
        <v>0</v>
      </c>
      <c r="X54" s="210">
        <f t="shared" si="81"/>
        <v>0</v>
      </c>
      <c r="Y54" s="210">
        <f t="shared" si="81"/>
        <v>0</v>
      </c>
      <c r="Z54" s="210">
        <f t="shared" si="81"/>
        <v>9.5516786349097202</v>
      </c>
      <c r="AA54" s="210">
        <f t="shared" si="81"/>
        <v>9.5516786349097202</v>
      </c>
      <c r="AB54" s="210">
        <f t="shared" si="81"/>
        <v>9.5516786349097202</v>
      </c>
      <c r="AC54" s="210">
        <f t="shared" si="81"/>
        <v>9.5516786349097202</v>
      </c>
      <c r="AD54" s="210">
        <f t="shared" si="81"/>
        <v>9.5516786349097202</v>
      </c>
      <c r="AE54" s="210">
        <f t="shared" si="81"/>
        <v>9.5516786349097202</v>
      </c>
      <c r="AF54" s="210">
        <f t="shared" si="81"/>
        <v>9.5516786349097202</v>
      </c>
      <c r="AG54" s="210">
        <f t="shared" si="81"/>
        <v>9.5516786349097202</v>
      </c>
      <c r="AH54" s="210">
        <f t="shared" si="81"/>
        <v>9.5516786349097202</v>
      </c>
      <c r="AI54" s="210">
        <f t="shared" si="81"/>
        <v>9.5516786349097202</v>
      </c>
      <c r="AJ54" s="210">
        <f t="shared" si="81"/>
        <v>9.5516786349097202</v>
      </c>
      <c r="AK54" s="210">
        <f t="shared" si="81"/>
        <v>9.5516786349097202</v>
      </c>
      <c r="AL54" s="210">
        <f t="shared" ref="AL54:BQ54" si="82">IF(AL$22&lt;=$E$24,IF(AL$22&lt;=$D$24,IF(AL$22&lt;=$C$24,IF(AL$22&lt;=$B$24,$B120,($C37-$B37)/($C$24-$B$24)),($D37-$C37)/($D$24-$C$24)),($E37-$D37)/($E$24-$D$24)),$F120)</f>
        <v>9.5516786349097202</v>
      </c>
      <c r="AM54" s="210">
        <f t="shared" si="82"/>
        <v>9.5516786349097202</v>
      </c>
      <c r="AN54" s="210">
        <f t="shared" si="82"/>
        <v>9.5516786349097202</v>
      </c>
      <c r="AO54" s="210">
        <f t="shared" si="82"/>
        <v>9.5516786349097202</v>
      </c>
      <c r="AP54" s="210">
        <f t="shared" si="82"/>
        <v>9.5516786349097202</v>
      </c>
      <c r="AQ54" s="210">
        <f t="shared" si="82"/>
        <v>9.5516786349097202</v>
      </c>
      <c r="AR54" s="210">
        <f t="shared" si="82"/>
        <v>9.5516786349097202</v>
      </c>
      <c r="AS54" s="210">
        <f t="shared" si="82"/>
        <v>9.5516786349097202</v>
      </c>
      <c r="AT54" s="210">
        <f t="shared" si="82"/>
        <v>9.5516786349097202</v>
      </c>
      <c r="AU54" s="210">
        <f t="shared" si="82"/>
        <v>9.5516786349097202</v>
      </c>
      <c r="AV54" s="210">
        <f t="shared" si="82"/>
        <v>9.5516786349097202</v>
      </c>
      <c r="AW54" s="210">
        <f t="shared" si="82"/>
        <v>9.5516786349097202</v>
      </c>
      <c r="AX54" s="210">
        <f t="shared" si="82"/>
        <v>9.5516786349097202</v>
      </c>
      <c r="AY54" s="210">
        <f t="shared" si="82"/>
        <v>9.5516786349097202</v>
      </c>
      <c r="AZ54" s="210">
        <f t="shared" si="82"/>
        <v>9.5516786349097202</v>
      </c>
      <c r="BA54" s="210">
        <f t="shared" si="82"/>
        <v>9.5516786349097202</v>
      </c>
      <c r="BB54" s="210">
        <f t="shared" si="82"/>
        <v>9.5516786349097202</v>
      </c>
      <c r="BC54" s="210">
        <f t="shared" si="82"/>
        <v>9.5516786349097202</v>
      </c>
      <c r="BD54" s="210">
        <f t="shared" si="82"/>
        <v>9.5516786349097202</v>
      </c>
      <c r="BE54" s="210">
        <f t="shared" si="82"/>
        <v>9.5516786349097202</v>
      </c>
      <c r="BF54" s="210">
        <f t="shared" si="82"/>
        <v>9.5516786349097202</v>
      </c>
      <c r="BG54" s="210">
        <f t="shared" si="82"/>
        <v>9.5516786349097202</v>
      </c>
      <c r="BH54" s="210">
        <f t="shared" si="82"/>
        <v>9.5516786349097202</v>
      </c>
      <c r="BI54" s="210">
        <f t="shared" si="82"/>
        <v>9.5516786349097202</v>
      </c>
      <c r="BJ54" s="210">
        <f t="shared" si="82"/>
        <v>9.5516786349097202</v>
      </c>
      <c r="BK54" s="210">
        <f t="shared" si="82"/>
        <v>236.3695317449988</v>
      </c>
      <c r="BL54" s="210">
        <f t="shared" si="82"/>
        <v>236.3695317449988</v>
      </c>
      <c r="BM54" s="210">
        <f t="shared" si="82"/>
        <v>236.3695317449988</v>
      </c>
      <c r="BN54" s="210">
        <f t="shared" si="82"/>
        <v>236.3695317449988</v>
      </c>
      <c r="BO54" s="210">
        <f t="shared" si="82"/>
        <v>236.3695317449988</v>
      </c>
      <c r="BP54" s="210">
        <f t="shared" si="82"/>
        <v>236.3695317449988</v>
      </c>
      <c r="BQ54" s="210">
        <f t="shared" si="82"/>
        <v>236.3695317449988</v>
      </c>
      <c r="BR54" s="210">
        <f t="shared" ref="BR54:DA54" si="83">IF(BR$22&lt;=$E$24,IF(BR$22&lt;=$D$24,IF(BR$22&lt;=$C$24,IF(BR$22&lt;=$B$24,$B120,($C37-$B37)/($C$24-$B$24)),($D37-$C37)/($D$24-$C$24)),($E37-$D37)/($E$24-$D$24)),$F120)</f>
        <v>236.3695317449988</v>
      </c>
      <c r="BS54" s="210">
        <f t="shared" si="83"/>
        <v>236.3695317449988</v>
      </c>
      <c r="BT54" s="210">
        <f t="shared" si="83"/>
        <v>236.3695317449988</v>
      </c>
      <c r="BU54" s="210">
        <f t="shared" si="83"/>
        <v>236.3695317449988</v>
      </c>
      <c r="BV54" s="210">
        <f t="shared" si="83"/>
        <v>236.3695317449988</v>
      </c>
      <c r="BW54" s="210">
        <f t="shared" si="83"/>
        <v>236.3695317449988</v>
      </c>
      <c r="BX54" s="210">
        <f t="shared" si="83"/>
        <v>236.3695317449988</v>
      </c>
      <c r="BY54" s="210">
        <f t="shared" si="83"/>
        <v>236.3695317449988</v>
      </c>
      <c r="BZ54" s="210">
        <f t="shared" si="83"/>
        <v>236.3695317449988</v>
      </c>
      <c r="CA54" s="210">
        <f t="shared" si="83"/>
        <v>236.3695317449988</v>
      </c>
      <c r="CB54" s="210">
        <f t="shared" si="83"/>
        <v>236.3695317449988</v>
      </c>
      <c r="CC54" s="210">
        <f t="shared" si="83"/>
        <v>236.3695317449988</v>
      </c>
      <c r="CD54" s="210">
        <f t="shared" si="83"/>
        <v>236.3695317449988</v>
      </c>
      <c r="CE54" s="210">
        <f t="shared" si="83"/>
        <v>236.3695317449988</v>
      </c>
      <c r="CF54" s="210">
        <f t="shared" si="83"/>
        <v>236.3695317449988</v>
      </c>
      <c r="CG54" s="210">
        <f t="shared" si="83"/>
        <v>236.3695317449988</v>
      </c>
      <c r="CH54" s="210">
        <f t="shared" si="83"/>
        <v>236.3695317449988</v>
      </c>
      <c r="CI54" s="210">
        <f t="shared" si="83"/>
        <v>236.3695317449988</v>
      </c>
      <c r="CJ54" s="210">
        <f t="shared" si="83"/>
        <v>1236.4802510641387</v>
      </c>
      <c r="CK54" s="210">
        <f t="shared" si="83"/>
        <v>1236.4802510641387</v>
      </c>
      <c r="CL54" s="210">
        <f t="shared" si="83"/>
        <v>1236.4802510641387</v>
      </c>
      <c r="CM54" s="210">
        <f t="shared" si="83"/>
        <v>1236.4802510641387</v>
      </c>
      <c r="CN54" s="210">
        <f t="shared" si="83"/>
        <v>1236.4802510641387</v>
      </c>
      <c r="CO54" s="210">
        <f t="shared" si="83"/>
        <v>1236.4802510641387</v>
      </c>
      <c r="CP54" s="210">
        <f t="shared" si="83"/>
        <v>1236.4802510641387</v>
      </c>
      <c r="CQ54" s="210">
        <f t="shared" si="83"/>
        <v>1236.4802510641387</v>
      </c>
      <c r="CR54" s="210">
        <f t="shared" si="83"/>
        <v>1236.4802510641387</v>
      </c>
      <c r="CS54" s="210">
        <f t="shared" si="83"/>
        <v>1236.4802510641387</v>
      </c>
      <c r="CT54" s="210">
        <f t="shared" si="83"/>
        <v>1236.4802510641387</v>
      </c>
      <c r="CU54" s="210">
        <f t="shared" si="83"/>
        <v>1236.4802510641387</v>
      </c>
      <c r="CV54" s="210">
        <f t="shared" si="83"/>
        <v>1236.4802510641387</v>
      </c>
      <c r="CW54" s="210">
        <f t="shared" si="83"/>
        <v>296.33</v>
      </c>
      <c r="CX54" s="210">
        <f t="shared" si="83"/>
        <v>296.33</v>
      </c>
      <c r="CY54" s="210">
        <f t="shared" si="83"/>
        <v>296.33</v>
      </c>
      <c r="CZ54" s="210">
        <f t="shared" si="83"/>
        <v>296.33</v>
      </c>
      <c r="DA54" s="210">
        <f t="shared" si="83"/>
        <v>296.33</v>
      </c>
    </row>
    <row r="55" spans="1:105">
      <c r="A55" s="201" t="str">
        <f>Income!A88</f>
        <v>TOTAL</v>
      </c>
    </row>
    <row r="56" spans="1:105">
      <c r="A56" s="201" t="str">
        <f>Income!A89</f>
        <v>Food Poverty line</v>
      </c>
    </row>
    <row r="57" spans="1:105">
      <c r="A57" s="201" t="str">
        <f>Income!A90</f>
        <v>Lower Bound Poverty line</v>
      </c>
    </row>
    <row r="59" spans="1:105" s="204" customFormat="1">
      <c r="A59" s="204" t="str">
        <f>Income!A72</f>
        <v>Own crops Consumed</v>
      </c>
      <c r="F59" s="204">
        <f t="shared" ref="F59:AK59" si="84">IF(F$22&lt;=$E$24,IF(F$22&lt;=$D$24,IF(F$22&lt;=$C$24,IF(F$22&lt;=$B$24,IF(F3=0,0,IF($B25+($B$24-F$22)*F42&lt;0,0,$B25+($B$24-F$22)*F42)),$B25+(F$22-$B$24)*F42),$C25+(F$22-$C$24)*F42),$D25+(F$22-$D$24)*F42),IF($E25+(F$22-$E$24)*F42&lt;0,0,$E25+(F$22-$E$24)*F42))</f>
        <v>1637.8612483790453</v>
      </c>
      <c r="G59" s="204">
        <f t="shared" si="84"/>
        <v>1637.8612483790453</v>
      </c>
      <c r="H59" s="204">
        <f t="shared" si="84"/>
        <v>1637.8612483790453</v>
      </c>
      <c r="I59" s="204">
        <f t="shared" si="84"/>
        <v>1637.8612483790453</v>
      </c>
      <c r="J59" s="204">
        <f t="shared" si="84"/>
        <v>1637.8612483790453</v>
      </c>
      <c r="K59" s="204">
        <f t="shared" si="84"/>
        <v>1637.8612483790453</v>
      </c>
      <c r="L59" s="204">
        <f t="shared" si="84"/>
        <v>1637.8612483790453</v>
      </c>
      <c r="M59" s="204">
        <f t="shared" si="84"/>
        <v>1637.8612483790453</v>
      </c>
      <c r="N59" s="204">
        <f t="shared" si="84"/>
        <v>1637.8612483790453</v>
      </c>
      <c r="O59" s="204">
        <f t="shared" si="84"/>
        <v>1637.8612483790453</v>
      </c>
      <c r="P59" s="204">
        <f t="shared" si="84"/>
        <v>1637.8612483790453</v>
      </c>
      <c r="Q59" s="204">
        <f t="shared" si="84"/>
        <v>1637.8612483790453</v>
      </c>
      <c r="R59" s="204">
        <f t="shared" si="84"/>
        <v>1637.8612483790453</v>
      </c>
      <c r="S59" s="204">
        <f t="shared" si="84"/>
        <v>1637.8612483790453</v>
      </c>
      <c r="T59" s="204">
        <f t="shared" si="84"/>
        <v>1637.8612483790453</v>
      </c>
      <c r="U59" s="204">
        <f t="shared" si="84"/>
        <v>1637.8612483790453</v>
      </c>
      <c r="V59" s="204">
        <f t="shared" si="84"/>
        <v>1637.8612483790453</v>
      </c>
      <c r="W59" s="204">
        <f t="shared" si="84"/>
        <v>1637.8612483790453</v>
      </c>
      <c r="X59" s="204">
        <f t="shared" si="84"/>
        <v>1637.8612483790453</v>
      </c>
      <c r="Y59" s="204">
        <f t="shared" si="84"/>
        <v>1637.8612483790453</v>
      </c>
      <c r="Z59" s="204">
        <f t="shared" si="84"/>
        <v>1649.320293711618</v>
      </c>
      <c r="AA59" s="204">
        <f t="shared" si="84"/>
        <v>1695.1564750419091</v>
      </c>
      <c r="AB59" s="204">
        <f t="shared" si="84"/>
        <v>1740.9926563721999</v>
      </c>
      <c r="AC59" s="204">
        <f t="shared" si="84"/>
        <v>1786.828837702491</v>
      </c>
      <c r="AD59" s="204">
        <f t="shared" si="84"/>
        <v>1832.6650190327819</v>
      </c>
      <c r="AE59" s="204">
        <f t="shared" si="84"/>
        <v>1878.5012003630729</v>
      </c>
      <c r="AF59" s="204">
        <f t="shared" si="84"/>
        <v>1924.3373816933638</v>
      </c>
      <c r="AG59" s="204">
        <f t="shared" si="84"/>
        <v>1970.1735630236549</v>
      </c>
      <c r="AH59" s="204">
        <f t="shared" si="84"/>
        <v>2016.0097443539457</v>
      </c>
      <c r="AI59" s="204">
        <f t="shared" si="84"/>
        <v>2061.8459256842366</v>
      </c>
      <c r="AJ59" s="204">
        <f t="shared" si="84"/>
        <v>2107.6821070145279</v>
      </c>
      <c r="AK59" s="204">
        <f t="shared" si="84"/>
        <v>2153.5182883448188</v>
      </c>
      <c r="AL59" s="204">
        <f t="shared" ref="AL59:BQ59" si="85">IF(AL$22&lt;=$E$24,IF(AL$22&lt;=$D$24,IF(AL$22&lt;=$C$24,IF(AL$22&lt;=$B$24,IF(AL3=0,0,IF($B25+($B$24-AL$22)*AL42&lt;0,0,$B25+($B$24-AL$22)*AL42)),$B25+(AL$22-$B$24)*AL42),$C25+(AL$22-$C$24)*AL42),$D25+(AL$22-$D$24)*AL42),IF($E25+(AL$22-$E$24)*AL42&lt;0,0,$E25+(AL$22-$E$24)*AL42))</f>
        <v>2199.3544696751096</v>
      </c>
      <c r="AM59" s="204">
        <f t="shared" si="85"/>
        <v>2245.1906510054005</v>
      </c>
      <c r="AN59" s="204">
        <f t="shared" si="85"/>
        <v>2291.0268323356913</v>
      </c>
      <c r="AO59" s="204">
        <f t="shared" si="85"/>
        <v>2336.8630136659826</v>
      </c>
      <c r="AP59" s="204">
        <f t="shared" si="85"/>
        <v>2382.6991949962735</v>
      </c>
      <c r="AQ59" s="204">
        <f t="shared" si="85"/>
        <v>2428.5353763265643</v>
      </c>
      <c r="AR59" s="204">
        <f t="shared" si="85"/>
        <v>2474.3715576568557</v>
      </c>
      <c r="AS59" s="204">
        <f t="shared" si="85"/>
        <v>2520.2077389871465</v>
      </c>
      <c r="AT59" s="204">
        <f t="shared" si="85"/>
        <v>2566.0439203174374</v>
      </c>
      <c r="AU59" s="204">
        <f t="shared" si="85"/>
        <v>2611.8801016477282</v>
      </c>
      <c r="AV59" s="204">
        <f t="shared" si="85"/>
        <v>2657.7162829780191</v>
      </c>
      <c r="AW59" s="204">
        <f t="shared" si="85"/>
        <v>2703.5524643083104</v>
      </c>
      <c r="AX59" s="204">
        <f t="shared" si="85"/>
        <v>2749.3886456386012</v>
      </c>
      <c r="AY59" s="204">
        <f t="shared" si="85"/>
        <v>2795.2248269688926</v>
      </c>
      <c r="AZ59" s="204">
        <f t="shared" si="85"/>
        <v>2841.0610082991834</v>
      </c>
      <c r="BA59" s="204">
        <f t="shared" si="85"/>
        <v>2886.8971896294743</v>
      </c>
      <c r="BB59" s="204">
        <f t="shared" si="85"/>
        <v>2932.7333709597651</v>
      </c>
      <c r="BC59" s="204">
        <f t="shared" si="85"/>
        <v>2978.569552290056</v>
      </c>
      <c r="BD59" s="204">
        <f t="shared" si="85"/>
        <v>3024.4057336203468</v>
      </c>
      <c r="BE59" s="204">
        <f t="shared" si="85"/>
        <v>3070.2419149506381</v>
      </c>
      <c r="BF59" s="204">
        <f t="shared" si="85"/>
        <v>3116.078096280929</v>
      </c>
      <c r="BG59" s="204">
        <f t="shared" si="85"/>
        <v>3161.9142776112203</v>
      </c>
      <c r="BH59" s="204">
        <f t="shared" si="85"/>
        <v>3207.7504589415112</v>
      </c>
      <c r="BI59" s="204">
        <f t="shared" si="85"/>
        <v>3253.586640271802</v>
      </c>
      <c r="BJ59" s="204">
        <f t="shared" si="85"/>
        <v>3299.4228216020929</v>
      </c>
      <c r="BK59" s="204">
        <f t="shared" si="85"/>
        <v>3298.2774785243814</v>
      </c>
      <c r="BL59" s="204">
        <f t="shared" si="85"/>
        <v>3281.4716273106696</v>
      </c>
      <c r="BM59" s="204">
        <f t="shared" si="85"/>
        <v>3264.6657760969579</v>
      </c>
      <c r="BN59" s="204">
        <f t="shared" si="85"/>
        <v>3247.8599248832456</v>
      </c>
      <c r="BO59" s="204">
        <f t="shared" si="85"/>
        <v>3231.0540736695339</v>
      </c>
      <c r="BP59" s="204">
        <f t="shared" si="85"/>
        <v>3214.2482224558216</v>
      </c>
      <c r="BQ59" s="204">
        <f t="shared" si="85"/>
        <v>3197.4423712421099</v>
      </c>
      <c r="BR59" s="204">
        <f t="shared" ref="BR59:DA59" si="86">IF(BR$22&lt;=$E$24,IF(BR$22&lt;=$D$24,IF(BR$22&lt;=$C$24,IF(BR$22&lt;=$B$24,IF(BR3=0,0,IF($B25+($B$24-BR$22)*BR42&lt;0,0,$B25+($B$24-BR$22)*BR42)),$B25+(BR$22-$B$24)*BR42),$C25+(BR$22-$C$24)*BR42),$D25+(BR$22-$D$24)*BR42),IF($E25+(BR$22-$E$24)*BR42&lt;0,0,$E25+(BR$22-$E$24)*BR42))</f>
        <v>3180.6365200283981</v>
      </c>
      <c r="BS59" s="204">
        <f t="shared" si="86"/>
        <v>3163.8306688146859</v>
      </c>
      <c r="BT59" s="204">
        <f t="shared" si="86"/>
        <v>3147.0248176009741</v>
      </c>
      <c r="BU59" s="204">
        <f t="shared" si="86"/>
        <v>3130.2189663872618</v>
      </c>
      <c r="BV59" s="204">
        <f t="shared" si="86"/>
        <v>3113.4131151735501</v>
      </c>
      <c r="BW59" s="204">
        <f t="shared" si="86"/>
        <v>3096.6072639598383</v>
      </c>
      <c r="BX59" s="204">
        <f t="shared" si="86"/>
        <v>3079.8014127461261</v>
      </c>
      <c r="BY59" s="204">
        <f t="shared" si="86"/>
        <v>3062.9955615324143</v>
      </c>
      <c r="BZ59" s="204">
        <f t="shared" si="86"/>
        <v>3046.1897103187021</v>
      </c>
      <c r="CA59" s="204">
        <f t="shared" si="86"/>
        <v>3029.3838591049903</v>
      </c>
      <c r="CB59" s="204">
        <f t="shared" si="86"/>
        <v>3012.5780078912785</v>
      </c>
      <c r="CC59" s="204">
        <f t="shared" si="86"/>
        <v>2995.7721566775663</v>
      </c>
      <c r="CD59" s="204">
        <f t="shared" si="86"/>
        <v>2978.9663054638545</v>
      </c>
      <c r="CE59" s="204">
        <f t="shared" si="86"/>
        <v>2962.1604542501427</v>
      </c>
      <c r="CF59" s="204">
        <f t="shared" si="86"/>
        <v>2945.3546030364305</v>
      </c>
      <c r="CG59" s="204">
        <f t="shared" si="86"/>
        <v>2928.5487518227187</v>
      </c>
      <c r="CH59" s="204">
        <f t="shared" si="86"/>
        <v>2911.7429006090065</v>
      </c>
      <c r="CI59" s="204">
        <f t="shared" si="86"/>
        <v>2894.9370493952947</v>
      </c>
      <c r="CJ59" s="204">
        <f t="shared" si="86"/>
        <v>2831.5510465444236</v>
      </c>
      <c r="CK59" s="204">
        <f t="shared" si="86"/>
        <v>2752.6383264811666</v>
      </c>
      <c r="CL59" s="204">
        <f t="shared" si="86"/>
        <v>2673.7256064179091</v>
      </c>
      <c r="CM59" s="204">
        <f t="shared" si="86"/>
        <v>2594.8128863546522</v>
      </c>
      <c r="CN59" s="204">
        <f t="shared" si="86"/>
        <v>2515.9001662913947</v>
      </c>
      <c r="CO59" s="204">
        <f t="shared" si="86"/>
        <v>2436.9874462281377</v>
      </c>
      <c r="CP59" s="204">
        <f t="shared" si="86"/>
        <v>2358.0747261648803</v>
      </c>
      <c r="CQ59" s="204">
        <f t="shared" si="86"/>
        <v>2279.1620061016229</v>
      </c>
      <c r="CR59" s="204">
        <f t="shared" si="86"/>
        <v>2200.2492860383659</v>
      </c>
      <c r="CS59" s="204">
        <f t="shared" si="86"/>
        <v>2121.3365659751084</v>
      </c>
      <c r="CT59" s="204">
        <f t="shared" si="86"/>
        <v>2042.4238459118515</v>
      </c>
      <c r="CU59" s="204">
        <f t="shared" si="86"/>
        <v>1963.511125848594</v>
      </c>
      <c r="CV59" s="204">
        <f t="shared" si="86"/>
        <v>1884.5984057853368</v>
      </c>
      <c r="CW59" s="204">
        <f t="shared" si="86"/>
        <v>1852.0038657378939</v>
      </c>
      <c r="CX59" s="204">
        <f t="shared" si="86"/>
        <v>1958.363865737894</v>
      </c>
      <c r="CY59" s="204">
        <f t="shared" si="86"/>
        <v>2064.7238657378939</v>
      </c>
      <c r="CZ59" s="204">
        <f t="shared" si="86"/>
        <v>2171.083865737894</v>
      </c>
      <c r="DA59" s="204">
        <f t="shared" si="86"/>
        <v>2277.4438657378942</v>
      </c>
    </row>
    <row r="60" spans="1:105" s="204" customFormat="1">
      <c r="A60" s="204" t="str">
        <f>Income!A73</f>
        <v>Own crops sold</v>
      </c>
      <c r="F60" s="204">
        <f t="shared" ref="F60:AK60" si="87">IF(F$22&lt;=$E$24,IF(F$22&lt;=$D$24,IF(F$22&lt;=$C$24,IF(F$22&lt;=$B$24,IF(F4=0,0,IF($B26+($B$24-F$22)*F43&lt;0,0,$B26+($B$24-F$22)*F43)),$B26+(F$22-$B$24)*F43),$C26+(F$22-$C$24)*F43),$D26+(F$22-$D$24)*F43),IF($E26+(F$22-$E$24)*F43&lt;0,0,$E26+(F$22-$E$24)*F43))</f>
        <v>6745.975100024677</v>
      </c>
      <c r="G60" s="204">
        <f t="shared" si="87"/>
        <v>6405.7151000246768</v>
      </c>
      <c r="H60" s="204">
        <f t="shared" si="87"/>
        <v>6065.4551000246765</v>
      </c>
      <c r="I60" s="204">
        <f t="shared" si="87"/>
        <v>5725.1951000246763</v>
      </c>
      <c r="J60" s="204">
        <f t="shared" si="87"/>
        <v>5384.935100024677</v>
      </c>
      <c r="K60" s="204">
        <f t="shared" si="87"/>
        <v>5044.6751000246768</v>
      </c>
      <c r="L60" s="204">
        <f t="shared" si="87"/>
        <v>4704.4151000246766</v>
      </c>
      <c r="M60" s="204">
        <f t="shared" si="87"/>
        <v>4364.1551000246764</v>
      </c>
      <c r="N60" s="204">
        <f t="shared" si="87"/>
        <v>4023.8951000246761</v>
      </c>
      <c r="O60" s="204">
        <f t="shared" si="87"/>
        <v>3683.6351000246764</v>
      </c>
      <c r="P60" s="204">
        <f t="shared" si="87"/>
        <v>3343.3751000246762</v>
      </c>
      <c r="Q60" s="204">
        <f t="shared" si="87"/>
        <v>3003.1151000246764</v>
      </c>
      <c r="R60" s="204">
        <f t="shared" si="87"/>
        <v>2662.8551000246762</v>
      </c>
      <c r="S60" s="204">
        <f t="shared" si="87"/>
        <v>2322.5951000246764</v>
      </c>
      <c r="T60" s="204">
        <f t="shared" si="87"/>
        <v>1982.3351000246762</v>
      </c>
      <c r="U60" s="204">
        <f t="shared" si="87"/>
        <v>1642.0751000246762</v>
      </c>
      <c r="V60" s="204">
        <f t="shared" si="87"/>
        <v>1301.8151000246762</v>
      </c>
      <c r="W60" s="204">
        <f t="shared" si="87"/>
        <v>961.55510002467622</v>
      </c>
      <c r="X60" s="204">
        <f t="shared" si="87"/>
        <v>621.29510002467623</v>
      </c>
      <c r="Y60" s="204">
        <f t="shared" si="87"/>
        <v>281.03510002467635</v>
      </c>
      <c r="Z60" s="204">
        <f t="shared" si="87"/>
        <v>36.116582508940994</v>
      </c>
      <c r="AA60" s="204">
        <f t="shared" si="87"/>
        <v>77.222512445999527</v>
      </c>
      <c r="AB60" s="204">
        <f t="shared" si="87"/>
        <v>118.32844238305807</v>
      </c>
      <c r="AC60" s="204">
        <f t="shared" si="87"/>
        <v>159.43437232011661</v>
      </c>
      <c r="AD60" s="204">
        <f t="shared" si="87"/>
        <v>200.54030225717517</v>
      </c>
      <c r="AE60" s="204">
        <f t="shared" si="87"/>
        <v>241.6462321942337</v>
      </c>
      <c r="AF60" s="204">
        <f t="shared" si="87"/>
        <v>282.75216213129227</v>
      </c>
      <c r="AG60" s="204">
        <f t="shared" si="87"/>
        <v>323.8580920683508</v>
      </c>
      <c r="AH60" s="204">
        <f t="shared" si="87"/>
        <v>364.96402200540933</v>
      </c>
      <c r="AI60" s="204">
        <f t="shared" si="87"/>
        <v>406.06995194246787</v>
      </c>
      <c r="AJ60" s="204">
        <f t="shared" si="87"/>
        <v>447.1758818795264</v>
      </c>
      <c r="AK60" s="204">
        <f t="shared" si="87"/>
        <v>488.28181181658493</v>
      </c>
      <c r="AL60" s="204">
        <f t="shared" ref="AL60:BQ60" si="88">IF(AL$22&lt;=$E$24,IF(AL$22&lt;=$D$24,IF(AL$22&lt;=$C$24,IF(AL$22&lt;=$B$24,IF(AL4=0,0,IF($B26+($B$24-AL$22)*AL43&lt;0,0,$B26+($B$24-AL$22)*AL43)),$B26+(AL$22-$B$24)*AL43),$C26+(AL$22-$C$24)*AL43),$D26+(AL$22-$D$24)*AL43),IF($E26+(AL$22-$E$24)*AL43&lt;0,0,$E26+(AL$22-$E$24)*AL43))</f>
        <v>529.38774175364347</v>
      </c>
      <c r="AM60" s="204">
        <f t="shared" si="88"/>
        <v>570.49367169070194</v>
      </c>
      <c r="AN60" s="204">
        <f t="shared" si="88"/>
        <v>611.59960162776053</v>
      </c>
      <c r="AO60" s="204">
        <f t="shared" si="88"/>
        <v>652.70553156481901</v>
      </c>
      <c r="AP60" s="204">
        <f t="shared" si="88"/>
        <v>693.8114615018776</v>
      </c>
      <c r="AQ60" s="204">
        <f t="shared" si="88"/>
        <v>734.91739143893608</v>
      </c>
      <c r="AR60" s="204">
        <f t="shared" si="88"/>
        <v>776.02332137599467</v>
      </c>
      <c r="AS60" s="204">
        <f t="shared" si="88"/>
        <v>817.12925131305326</v>
      </c>
      <c r="AT60" s="204">
        <f t="shared" si="88"/>
        <v>858.23518125011174</v>
      </c>
      <c r="AU60" s="204">
        <f t="shared" si="88"/>
        <v>899.34111118717033</v>
      </c>
      <c r="AV60" s="204">
        <f t="shared" si="88"/>
        <v>940.4470411242288</v>
      </c>
      <c r="AW60" s="204">
        <f t="shared" si="88"/>
        <v>981.55297106128739</v>
      </c>
      <c r="AX60" s="204">
        <f t="shared" si="88"/>
        <v>1022.6589009983459</v>
      </c>
      <c r="AY60" s="204">
        <f t="shared" si="88"/>
        <v>1063.7648309354045</v>
      </c>
      <c r="AZ60" s="204">
        <f t="shared" si="88"/>
        <v>1104.8707608724631</v>
      </c>
      <c r="BA60" s="204">
        <f t="shared" si="88"/>
        <v>1145.9766908095216</v>
      </c>
      <c r="BB60" s="204">
        <f t="shared" si="88"/>
        <v>1187.08262074658</v>
      </c>
      <c r="BC60" s="204">
        <f t="shared" si="88"/>
        <v>1228.1885506836386</v>
      </c>
      <c r="BD60" s="204">
        <f t="shared" si="88"/>
        <v>1269.2944806206972</v>
      </c>
      <c r="BE60" s="204">
        <f t="shared" si="88"/>
        <v>1310.4004105577558</v>
      </c>
      <c r="BF60" s="204">
        <f t="shared" si="88"/>
        <v>1351.5063404948141</v>
      </c>
      <c r="BG60" s="204">
        <f t="shared" si="88"/>
        <v>1392.6122704318727</v>
      </c>
      <c r="BH60" s="204">
        <f t="shared" si="88"/>
        <v>1433.7182003689313</v>
      </c>
      <c r="BI60" s="204">
        <f t="shared" si="88"/>
        <v>1474.8241303059899</v>
      </c>
      <c r="BJ60" s="204">
        <f t="shared" si="88"/>
        <v>1515.9300602430485</v>
      </c>
      <c r="BK60" s="204">
        <f t="shared" si="88"/>
        <v>1806.2517029471269</v>
      </c>
      <c r="BL60" s="204">
        <f t="shared" si="88"/>
        <v>2179.6452499068791</v>
      </c>
      <c r="BM60" s="204">
        <f t="shared" si="88"/>
        <v>2553.0387968666309</v>
      </c>
      <c r="BN60" s="204">
        <f t="shared" si="88"/>
        <v>2926.4323438263827</v>
      </c>
      <c r="BO60" s="204">
        <f t="shared" si="88"/>
        <v>3299.825890786135</v>
      </c>
      <c r="BP60" s="204">
        <f t="shared" si="88"/>
        <v>3673.2194377458873</v>
      </c>
      <c r="BQ60" s="204">
        <f t="shared" si="88"/>
        <v>4046.6129847056391</v>
      </c>
      <c r="BR60" s="204">
        <f t="shared" ref="BR60:CZ60" si="89">IF(BR$22&lt;=$E$24,IF(BR$22&lt;=$D$24,IF(BR$22&lt;=$C$24,IF(BR$22&lt;=$B$24,IF(BR4=0,0,IF($B26+($B$24-BR$22)*BR43&lt;0,0,$B26+($B$24-BR$22)*BR43)),$B26+(BR$22-$B$24)*BR43),$C26+(BR$22-$C$24)*BR43),$D26+(BR$22-$D$24)*BR43),IF($E26+(BR$22-$E$24)*BR43&lt;0,0,$E26+(BR$22-$E$24)*BR43))</f>
        <v>4420.0065316653909</v>
      </c>
      <c r="BS60" s="204">
        <f t="shared" si="89"/>
        <v>4793.4000786251427</v>
      </c>
      <c r="BT60" s="204">
        <f t="shared" si="89"/>
        <v>5166.7936255848945</v>
      </c>
      <c r="BU60" s="204">
        <f t="shared" si="89"/>
        <v>5540.1871725446472</v>
      </c>
      <c r="BV60" s="204">
        <f t="shared" si="89"/>
        <v>5913.5807195043981</v>
      </c>
      <c r="BW60" s="204">
        <f t="shared" si="89"/>
        <v>6286.9742664641508</v>
      </c>
      <c r="BX60" s="204">
        <f t="shared" si="89"/>
        <v>6660.3678134239026</v>
      </c>
      <c r="BY60" s="204">
        <f t="shared" si="89"/>
        <v>7033.7613603836544</v>
      </c>
      <c r="BZ60" s="204">
        <f t="shared" si="89"/>
        <v>7407.1549073434062</v>
      </c>
      <c r="CA60" s="204">
        <f t="shared" si="89"/>
        <v>7780.548454303158</v>
      </c>
      <c r="CB60" s="204">
        <f t="shared" si="89"/>
        <v>8153.9420012629107</v>
      </c>
      <c r="CC60" s="204">
        <f t="shared" si="89"/>
        <v>8527.3355482226634</v>
      </c>
      <c r="CD60" s="204">
        <f t="shared" si="89"/>
        <v>8900.7290951824143</v>
      </c>
      <c r="CE60" s="204">
        <f t="shared" si="89"/>
        <v>9274.122642142167</v>
      </c>
      <c r="CF60" s="204">
        <f t="shared" si="89"/>
        <v>9647.5161891019179</v>
      </c>
      <c r="CG60" s="204">
        <f t="shared" si="89"/>
        <v>10020.909736061671</v>
      </c>
      <c r="CH60" s="204">
        <f t="shared" si="89"/>
        <v>10394.303283021423</v>
      </c>
      <c r="CI60" s="204">
        <f t="shared" si="89"/>
        <v>10767.696829981174</v>
      </c>
      <c r="CJ60" s="204">
        <f t="shared" si="89"/>
        <v>11486.344854495277</v>
      </c>
      <c r="CK60" s="204">
        <f t="shared" si="89"/>
        <v>12320.077704860827</v>
      </c>
      <c r="CL60" s="204">
        <f t="shared" si="89"/>
        <v>13153.810555226377</v>
      </c>
      <c r="CM60" s="204">
        <f t="shared" si="89"/>
        <v>13987.543405591929</v>
      </c>
      <c r="CN60" s="204">
        <f t="shared" si="89"/>
        <v>14821.276255957478</v>
      </c>
      <c r="CO60" s="204">
        <f t="shared" si="89"/>
        <v>15655.009106323028</v>
      </c>
      <c r="CP60" s="204">
        <f t="shared" si="89"/>
        <v>16488.74195668858</v>
      </c>
      <c r="CQ60" s="204">
        <f t="shared" si="89"/>
        <v>17322.474807054128</v>
      </c>
      <c r="CR60" s="204">
        <f t="shared" si="89"/>
        <v>18156.20765741968</v>
      </c>
      <c r="CS60" s="204">
        <f t="shared" si="89"/>
        <v>18989.940507785232</v>
      </c>
      <c r="CT60" s="204">
        <f t="shared" si="89"/>
        <v>19823.67335815078</v>
      </c>
      <c r="CU60" s="204">
        <f t="shared" si="89"/>
        <v>20657.406208516331</v>
      </c>
      <c r="CV60" s="204">
        <f t="shared" si="89"/>
        <v>21491.139058881883</v>
      </c>
      <c r="CW60" s="204">
        <f t="shared" si="89"/>
        <v>22297.653696656045</v>
      </c>
      <c r="CX60" s="204">
        <f t="shared" si="89"/>
        <v>23022.513696656046</v>
      </c>
      <c r="CY60" s="204">
        <f t="shared" si="89"/>
        <v>23747.373696656046</v>
      </c>
      <c r="CZ60" s="204">
        <f t="shared" si="89"/>
        <v>24472.233696656047</v>
      </c>
      <c r="DA60" s="204">
        <f>IF(DA$22&lt;=$E$24,IF(DA$22&lt;=$D$24,IF(DA$22&lt;=$C$24,IF(DA$22&lt;=$B$24,IF(DA4=0,0,IF($B26+($B$24-DA$22)*DA43&lt;0,0,$B26+($B$24-DA$22)*DA43)),$B26+(DA$22-$B$24)*DA43),$C26+(DA$22-$C$24)*DA43),$D26+(DA$22-$D$24)*DA43),IF($E26+(DA$22-$E$24)*DA43&lt;0,0,$E26+(DA$22-$E$24)*DA43))</f>
        <v>25197.093696656048</v>
      </c>
    </row>
    <row r="61" spans="1:105" s="204" customFormat="1">
      <c r="A61" s="204" t="str">
        <f>Income!A74</f>
        <v>Animal products consumed</v>
      </c>
      <c r="F61" s="204">
        <f t="shared" ref="F61:AK61" si="90">IF(F$22&lt;=$E$24,IF(F$22&lt;=$D$24,IF(F$22&lt;=$C$24,IF(F$22&lt;=$B$24,IF(F5=0,0,IF($B27+($B$24-F$22)*F44&lt;0,0,$B27+($B$24-F$22)*F44)),$B27+(F$22-$B$24)*F44),$C27+(F$22-$C$24)*F44),$D27+(F$22-$D$24)*F44),IF($E27+(F$22-$E$24)*F44&lt;0,0,$E27+(F$22-$E$24)*F44))</f>
        <v>600.96174511333197</v>
      </c>
      <c r="G61" s="204">
        <f t="shared" si="90"/>
        <v>600.96174511333197</v>
      </c>
      <c r="H61" s="204">
        <f t="shared" si="90"/>
        <v>600.96174511333197</v>
      </c>
      <c r="I61" s="204">
        <f t="shared" si="90"/>
        <v>600.96174511333197</v>
      </c>
      <c r="J61" s="204">
        <f t="shared" si="90"/>
        <v>600.96174511333197</v>
      </c>
      <c r="K61" s="204">
        <f t="shared" si="90"/>
        <v>600.96174511333197</v>
      </c>
      <c r="L61" s="204">
        <f t="shared" si="90"/>
        <v>600.96174511333197</v>
      </c>
      <c r="M61" s="204">
        <f t="shared" si="90"/>
        <v>600.96174511333197</v>
      </c>
      <c r="N61" s="204">
        <f t="shared" si="90"/>
        <v>600.96174511333197</v>
      </c>
      <c r="O61" s="204">
        <f t="shared" si="90"/>
        <v>600.96174511333197</v>
      </c>
      <c r="P61" s="204">
        <f t="shared" si="90"/>
        <v>600.96174511333197</v>
      </c>
      <c r="Q61" s="204">
        <f t="shared" si="90"/>
        <v>600.96174511333197</v>
      </c>
      <c r="R61" s="204">
        <f t="shared" si="90"/>
        <v>600.96174511333197</v>
      </c>
      <c r="S61" s="204">
        <f t="shared" si="90"/>
        <v>600.96174511333197</v>
      </c>
      <c r="T61" s="204">
        <f t="shared" si="90"/>
        <v>600.96174511333197</v>
      </c>
      <c r="U61" s="204">
        <f t="shared" si="90"/>
        <v>600.96174511333197</v>
      </c>
      <c r="V61" s="204">
        <f t="shared" si="90"/>
        <v>600.96174511333197</v>
      </c>
      <c r="W61" s="204">
        <f t="shared" si="90"/>
        <v>600.96174511333197</v>
      </c>
      <c r="X61" s="204">
        <f t="shared" si="90"/>
        <v>600.96174511333197</v>
      </c>
      <c r="Y61" s="204">
        <f t="shared" si="90"/>
        <v>600.96174511333197</v>
      </c>
      <c r="Z61" s="204">
        <f t="shared" si="90"/>
        <v>604.34946671826106</v>
      </c>
      <c r="AA61" s="204">
        <f t="shared" si="90"/>
        <v>617.90035313797716</v>
      </c>
      <c r="AB61" s="204">
        <f t="shared" si="90"/>
        <v>631.45123955769327</v>
      </c>
      <c r="AC61" s="204">
        <f t="shared" si="90"/>
        <v>645.00212597740949</v>
      </c>
      <c r="AD61" s="204">
        <f t="shared" si="90"/>
        <v>658.5530123971256</v>
      </c>
      <c r="AE61" s="204">
        <f t="shared" si="90"/>
        <v>672.10389881684182</v>
      </c>
      <c r="AF61" s="204">
        <f t="shared" si="90"/>
        <v>685.65478523655793</v>
      </c>
      <c r="AG61" s="204">
        <f t="shared" si="90"/>
        <v>699.20567165627403</v>
      </c>
      <c r="AH61" s="204">
        <f t="shared" si="90"/>
        <v>712.75655807599026</v>
      </c>
      <c r="AI61" s="204">
        <f t="shared" si="90"/>
        <v>726.30744449570636</v>
      </c>
      <c r="AJ61" s="204">
        <f t="shared" si="90"/>
        <v>739.85833091542258</v>
      </c>
      <c r="AK61" s="204">
        <f t="shared" si="90"/>
        <v>753.40921733513869</v>
      </c>
      <c r="AL61" s="204">
        <f t="shared" ref="AL61:BQ61" si="91">IF(AL$22&lt;=$E$24,IF(AL$22&lt;=$D$24,IF(AL$22&lt;=$C$24,IF(AL$22&lt;=$B$24,IF(AL5=0,0,IF($B27+($B$24-AL$22)*AL44&lt;0,0,$B27+($B$24-AL$22)*AL44)),$B27+(AL$22-$B$24)*AL44),$C27+(AL$22-$C$24)*AL44),$D27+(AL$22-$D$24)*AL44),IF($E27+(AL$22-$E$24)*AL44&lt;0,0,$E27+(AL$22-$E$24)*AL44))</f>
        <v>766.9601037548548</v>
      </c>
      <c r="AM61" s="204">
        <f t="shared" si="91"/>
        <v>780.51099017457102</v>
      </c>
      <c r="AN61" s="204">
        <f t="shared" si="91"/>
        <v>794.06187659428713</v>
      </c>
      <c r="AO61" s="204">
        <f t="shared" si="91"/>
        <v>807.61276301400335</v>
      </c>
      <c r="AP61" s="204">
        <f t="shared" si="91"/>
        <v>821.16364943371946</v>
      </c>
      <c r="AQ61" s="204">
        <f t="shared" si="91"/>
        <v>834.71453585343556</v>
      </c>
      <c r="AR61" s="204">
        <f t="shared" si="91"/>
        <v>848.26542227315178</v>
      </c>
      <c r="AS61" s="204">
        <f t="shared" si="91"/>
        <v>861.81630869286801</v>
      </c>
      <c r="AT61" s="204">
        <f t="shared" si="91"/>
        <v>875.36719511258411</v>
      </c>
      <c r="AU61" s="204">
        <f t="shared" si="91"/>
        <v>888.91808153230022</v>
      </c>
      <c r="AV61" s="204">
        <f t="shared" si="91"/>
        <v>902.46896795201633</v>
      </c>
      <c r="AW61" s="204">
        <f t="shared" si="91"/>
        <v>916.01985437173255</v>
      </c>
      <c r="AX61" s="204">
        <f t="shared" si="91"/>
        <v>929.57074079144877</v>
      </c>
      <c r="AY61" s="204">
        <f t="shared" si="91"/>
        <v>943.12162721116488</v>
      </c>
      <c r="AZ61" s="204">
        <f t="shared" si="91"/>
        <v>956.67251363088099</v>
      </c>
      <c r="BA61" s="204">
        <f t="shared" si="91"/>
        <v>970.22340005059709</v>
      </c>
      <c r="BB61" s="204">
        <f t="shared" si="91"/>
        <v>983.77428647031331</v>
      </c>
      <c r="BC61" s="204">
        <f t="shared" si="91"/>
        <v>997.32517289002953</v>
      </c>
      <c r="BD61" s="204">
        <f t="shared" si="91"/>
        <v>1010.8760593097456</v>
      </c>
      <c r="BE61" s="204">
        <f t="shared" si="91"/>
        <v>1024.4269457294617</v>
      </c>
      <c r="BF61" s="204">
        <f t="shared" si="91"/>
        <v>1037.9778321491779</v>
      </c>
      <c r="BG61" s="204">
        <f t="shared" si="91"/>
        <v>1051.528718568894</v>
      </c>
      <c r="BH61" s="204">
        <f t="shared" si="91"/>
        <v>1065.0796049886103</v>
      </c>
      <c r="BI61" s="204">
        <f t="shared" si="91"/>
        <v>1078.6304914083264</v>
      </c>
      <c r="BJ61" s="204">
        <f t="shared" si="91"/>
        <v>1092.1813778280425</v>
      </c>
      <c r="BK61" s="204">
        <f t="shared" si="91"/>
        <v>1120.2010472602888</v>
      </c>
      <c r="BL61" s="204">
        <f t="shared" si="91"/>
        <v>1153.0436443633782</v>
      </c>
      <c r="BM61" s="204">
        <f t="shared" si="91"/>
        <v>1185.8862414664677</v>
      </c>
      <c r="BN61" s="204">
        <f t="shared" si="91"/>
        <v>1218.7288385695572</v>
      </c>
      <c r="BO61" s="204">
        <f t="shared" si="91"/>
        <v>1251.5714356726467</v>
      </c>
      <c r="BP61" s="204">
        <f t="shared" si="91"/>
        <v>1284.4140327757361</v>
      </c>
      <c r="BQ61" s="204">
        <f t="shared" si="91"/>
        <v>1317.2566298788256</v>
      </c>
      <c r="BR61" s="204">
        <f t="shared" ref="BR61:DA61" si="92">IF(BR$22&lt;=$E$24,IF(BR$22&lt;=$D$24,IF(BR$22&lt;=$C$24,IF(BR$22&lt;=$B$24,IF(BR5=0,0,IF($B27+($B$24-BR$22)*BR44&lt;0,0,$B27+($B$24-BR$22)*BR44)),$B27+(BR$22-$B$24)*BR44),$C27+(BR$22-$C$24)*BR44),$D27+(BR$22-$D$24)*BR44),IF($E27+(BR$22-$E$24)*BR44&lt;0,0,$E27+(BR$22-$E$24)*BR44))</f>
        <v>1350.0992269819151</v>
      </c>
      <c r="BS61" s="204">
        <f t="shared" si="92"/>
        <v>1382.9418240850046</v>
      </c>
      <c r="BT61" s="204">
        <f t="shared" si="92"/>
        <v>1415.784421188094</v>
      </c>
      <c r="BU61" s="204">
        <f t="shared" si="92"/>
        <v>1448.6270182911835</v>
      </c>
      <c r="BV61" s="204">
        <f t="shared" si="92"/>
        <v>1481.469615394273</v>
      </c>
      <c r="BW61" s="204">
        <f t="shared" si="92"/>
        <v>1514.3122124973625</v>
      </c>
      <c r="BX61" s="204">
        <f t="shared" si="92"/>
        <v>1547.1548096004519</v>
      </c>
      <c r="BY61" s="204">
        <f t="shared" si="92"/>
        <v>1579.9974067035414</v>
      </c>
      <c r="BZ61" s="204">
        <f t="shared" si="92"/>
        <v>1612.8400038066309</v>
      </c>
      <c r="CA61" s="204">
        <f t="shared" si="92"/>
        <v>1645.6826009097203</v>
      </c>
      <c r="CB61" s="204">
        <f t="shared" si="92"/>
        <v>1678.5251980128101</v>
      </c>
      <c r="CC61" s="204">
        <f t="shared" si="92"/>
        <v>1711.3677951158993</v>
      </c>
      <c r="CD61" s="204">
        <f t="shared" si="92"/>
        <v>1744.210392218989</v>
      </c>
      <c r="CE61" s="204">
        <f t="shared" si="92"/>
        <v>1777.0529893220782</v>
      </c>
      <c r="CF61" s="204">
        <f t="shared" si="92"/>
        <v>1809.8955864251679</v>
      </c>
      <c r="CG61" s="204">
        <f t="shared" si="92"/>
        <v>1842.7381835282572</v>
      </c>
      <c r="CH61" s="204">
        <f t="shared" si="92"/>
        <v>1875.5807806313469</v>
      </c>
      <c r="CI61" s="204">
        <f t="shared" si="92"/>
        <v>1908.4233777344361</v>
      </c>
      <c r="CJ61" s="204">
        <f t="shared" si="92"/>
        <v>1931.9480119848367</v>
      </c>
      <c r="CK61" s="204">
        <f t="shared" si="92"/>
        <v>1952.3666586176739</v>
      </c>
      <c r="CL61" s="204">
        <f t="shared" si="92"/>
        <v>1972.7853052505111</v>
      </c>
      <c r="CM61" s="204">
        <f t="shared" si="92"/>
        <v>1993.2039518833485</v>
      </c>
      <c r="CN61" s="204">
        <f t="shared" si="92"/>
        <v>2013.6225985161857</v>
      </c>
      <c r="CO61" s="204">
        <f t="shared" si="92"/>
        <v>2034.0412451490231</v>
      </c>
      <c r="CP61" s="204">
        <f t="shared" si="92"/>
        <v>2054.4598917818603</v>
      </c>
      <c r="CQ61" s="204">
        <f t="shared" si="92"/>
        <v>2074.8785384146977</v>
      </c>
      <c r="CR61" s="204">
        <f t="shared" si="92"/>
        <v>2095.2971850475346</v>
      </c>
      <c r="CS61" s="204">
        <f t="shared" si="92"/>
        <v>2115.715831680372</v>
      </c>
      <c r="CT61" s="204">
        <f t="shared" si="92"/>
        <v>2136.1344783132095</v>
      </c>
      <c r="CU61" s="204">
        <f t="shared" si="92"/>
        <v>2156.5531249460464</v>
      </c>
      <c r="CV61" s="204">
        <f t="shared" si="92"/>
        <v>2176.9717715788838</v>
      </c>
      <c r="CW61" s="204">
        <f t="shared" si="92"/>
        <v>2194.393506553512</v>
      </c>
      <c r="CX61" s="204">
        <f t="shared" si="92"/>
        <v>2202.824506553512</v>
      </c>
      <c r="CY61" s="204">
        <f t="shared" si="92"/>
        <v>2211.2555065535121</v>
      </c>
      <c r="CZ61" s="204">
        <f t="shared" si="92"/>
        <v>2219.6865065535117</v>
      </c>
      <c r="DA61" s="204">
        <f t="shared" si="92"/>
        <v>2228.1175065535117</v>
      </c>
    </row>
    <row r="62" spans="1:105" s="204" customFormat="1">
      <c r="A62" s="204" t="str">
        <f>Income!A75</f>
        <v>Animal products sold</v>
      </c>
      <c r="F62" s="204">
        <f t="shared" ref="F62:AK62" si="93">IF(F$22&lt;=$E$24,IF(F$22&lt;=$D$24,IF(F$22&lt;=$C$24,IF(F$22&lt;=$B$24,IF(F6=0,0,IF($B28+($B$24-F$22)*F45&lt;0,0,$B28+($B$24-F$22)*F45)),$B28+(F$22-$B$24)*F45),$C28+(F$22-$C$24)*F45),$D28+(F$22-$D$24)*F45),IF($E28+(F$22-$E$24)*F45&lt;0,0,$E28+(F$22-$E$24)*F45))</f>
        <v>0</v>
      </c>
      <c r="G62" s="204">
        <f t="shared" si="93"/>
        <v>0</v>
      </c>
      <c r="H62" s="204">
        <f t="shared" si="93"/>
        <v>0</v>
      </c>
      <c r="I62" s="204">
        <f t="shared" si="93"/>
        <v>0</v>
      </c>
      <c r="J62" s="204">
        <f t="shared" si="93"/>
        <v>0</v>
      </c>
      <c r="K62" s="204">
        <f t="shared" si="93"/>
        <v>0</v>
      </c>
      <c r="L62" s="204">
        <f t="shared" si="93"/>
        <v>0</v>
      </c>
      <c r="M62" s="204">
        <f t="shared" si="93"/>
        <v>0</v>
      </c>
      <c r="N62" s="204">
        <f t="shared" si="93"/>
        <v>0</v>
      </c>
      <c r="O62" s="204">
        <f t="shared" si="93"/>
        <v>0</v>
      </c>
      <c r="P62" s="204">
        <f t="shared" si="93"/>
        <v>0</v>
      </c>
      <c r="Q62" s="204">
        <f t="shared" si="93"/>
        <v>0</v>
      </c>
      <c r="R62" s="204">
        <f t="shared" si="93"/>
        <v>0</v>
      </c>
      <c r="S62" s="204">
        <f t="shared" si="93"/>
        <v>0</v>
      </c>
      <c r="T62" s="204">
        <f t="shared" si="93"/>
        <v>0</v>
      </c>
      <c r="U62" s="204">
        <f t="shared" si="93"/>
        <v>0</v>
      </c>
      <c r="V62" s="204">
        <f t="shared" si="93"/>
        <v>0</v>
      </c>
      <c r="W62" s="204">
        <f t="shared" si="93"/>
        <v>0</v>
      </c>
      <c r="X62" s="204">
        <f t="shared" si="93"/>
        <v>0</v>
      </c>
      <c r="Y62" s="204">
        <f t="shared" si="93"/>
        <v>0</v>
      </c>
      <c r="Z62" s="204">
        <f t="shared" si="93"/>
        <v>0</v>
      </c>
      <c r="AA62" s="204">
        <f t="shared" si="93"/>
        <v>0</v>
      </c>
      <c r="AB62" s="204">
        <f t="shared" si="93"/>
        <v>0</v>
      </c>
      <c r="AC62" s="204">
        <f t="shared" si="93"/>
        <v>0</v>
      </c>
      <c r="AD62" s="204">
        <f t="shared" si="93"/>
        <v>0</v>
      </c>
      <c r="AE62" s="204">
        <f t="shared" si="93"/>
        <v>0</v>
      </c>
      <c r="AF62" s="204">
        <f t="shared" si="93"/>
        <v>0</v>
      </c>
      <c r="AG62" s="204">
        <f t="shared" si="93"/>
        <v>0</v>
      </c>
      <c r="AH62" s="204">
        <f t="shared" si="93"/>
        <v>0</v>
      </c>
      <c r="AI62" s="204">
        <f t="shared" si="93"/>
        <v>0</v>
      </c>
      <c r="AJ62" s="204">
        <f t="shared" si="93"/>
        <v>0</v>
      </c>
      <c r="AK62" s="204">
        <f t="shared" si="93"/>
        <v>0</v>
      </c>
      <c r="AL62" s="204">
        <f t="shared" ref="AL62:BQ62" si="94">IF(AL$22&lt;=$E$24,IF(AL$22&lt;=$D$24,IF(AL$22&lt;=$C$24,IF(AL$22&lt;=$B$24,IF(AL6=0,0,IF($B28+($B$24-AL$22)*AL45&lt;0,0,$B28+($B$24-AL$22)*AL45)),$B28+(AL$22-$B$24)*AL45),$C28+(AL$22-$C$24)*AL45),$D28+(AL$22-$D$24)*AL45),IF($E28+(AL$22-$E$24)*AL45&lt;0,0,$E28+(AL$22-$E$24)*AL45))</f>
        <v>0</v>
      </c>
      <c r="AM62" s="204">
        <f t="shared" si="94"/>
        <v>0</v>
      </c>
      <c r="AN62" s="204">
        <f t="shared" si="94"/>
        <v>0</v>
      </c>
      <c r="AO62" s="204">
        <f t="shared" si="94"/>
        <v>0</v>
      </c>
      <c r="AP62" s="204">
        <f t="shared" si="94"/>
        <v>0</v>
      </c>
      <c r="AQ62" s="204">
        <f t="shared" si="94"/>
        <v>0</v>
      </c>
      <c r="AR62" s="204">
        <f t="shared" si="94"/>
        <v>0</v>
      </c>
      <c r="AS62" s="204">
        <f t="shared" si="94"/>
        <v>0</v>
      </c>
      <c r="AT62" s="204">
        <f t="shared" si="94"/>
        <v>0</v>
      </c>
      <c r="AU62" s="204">
        <f t="shared" si="94"/>
        <v>0</v>
      </c>
      <c r="AV62" s="204">
        <f t="shared" si="94"/>
        <v>0</v>
      </c>
      <c r="AW62" s="204">
        <f t="shared" si="94"/>
        <v>0</v>
      </c>
      <c r="AX62" s="204">
        <f t="shared" si="94"/>
        <v>0</v>
      </c>
      <c r="AY62" s="204">
        <f t="shared" si="94"/>
        <v>0</v>
      </c>
      <c r="AZ62" s="204">
        <f t="shared" si="94"/>
        <v>0</v>
      </c>
      <c r="BA62" s="204">
        <f t="shared" si="94"/>
        <v>0</v>
      </c>
      <c r="BB62" s="204">
        <f t="shared" si="94"/>
        <v>0</v>
      </c>
      <c r="BC62" s="204">
        <f t="shared" si="94"/>
        <v>0</v>
      </c>
      <c r="BD62" s="204">
        <f t="shared" si="94"/>
        <v>0</v>
      </c>
      <c r="BE62" s="204">
        <f t="shared" si="94"/>
        <v>0</v>
      </c>
      <c r="BF62" s="204">
        <f t="shared" si="94"/>
        <v>0</v>
      </c>
      <c r="BG62" s="204">
        <f t="shared" si="94"/>
        <v>0</v>
      </c>
      <c r="BH62" s="204">
        <f t="shared" si="94"/>
        <v>0</v>
      </c>
      <c r="BI62" s="204">
        <f t="shared" si="94"/>
        <v>0</v>
      </c>
      <c r="BJ62" s="204">
        <f t="shared" si="94"/>
        <v>0</v>
      </c>
      <c r="BK62" s="204">
        <f t="shared" si="94"/>
        <v>0</v>
      </c>
      <c r="BL62" s="204">
        <f t="shared" si="94"/>
        <v>0</v>
      </c>
      <c r="BM62" s="204">
        <f t="shared" si="94"/>
        <v>0</v>
      </c>
      <c r="BN62" s="204">
        <f t="shared" si="94"/>
        <v>0</v>
      </c>
      <c r="BO62" s="204">
        <f t="shared" si="94"/>
        <v>0</v>
      </c>
      <c r="BP62" s="204">
        <f t="shared" si="94"/>
        <v>0</v>
      </c>
      <c r="BQ62" s="204">
        <f t="shared" si="94"/>
        <v>0</v>
      </c>
      <c r="BR62" s="204">
        <f t="shared" ref="BR62:DA62" si="95">IF(BR$22&lt;=$E$24,IF(BR$22&lt;=$D$24,IF(BR$22&lt;=$C$24,IF(BR$22&lt;=$B$24,IF(BR6=0,0,IF($B28+($B$24-BR$22)*BR45&lt;0,0,$B28+($B$24-BR$22)*BR45)),$B28+(BR$22-$B$24)*BR45),$C28+(BR$22-$C$24)*BR45),$D28+(BR$22-$D$24)*BR45),IF($E28+(BR$22-$E$24)*BR45&lt;0,0,$E28+(BR$22-$E$24)*BR45))</f>
        <v>0</v>
      </c>
      <c r="BS62" s="204">
        <f t="shared" si="95"/>
        <v>0</v>
      </c>
      <c r="BT62" s="204">
        <f t="shared" si="95"/>
        <v>0</v>
      </c>
      <c r="BU62" s="204">
        <f t="shared" si="95"/>
        <v>0</v>
      </c>
      <c r="BV62" s="204">
        <f t="shared" si="95"/>
        <v>0</v>
      </c>
      <c r="BW62" s="204">
        <f t="shared" si="95"/>
        <v>0</v>
      </c>
      <c r="BX62" s="204">
        <f t="shared" si="95"/>
        <v>0</v>
      </c>
      <c r="BY62" s="204">
        <f t="shared" si="95"/>
        <v>0</v>
      </c>
      <c r="BZ62" s="204">
        <f t="shared" si="95"/>
        <v>0</v>
      </c>
      <c r="CA62" s="204">
        <f t="shared" si="95"/>
        <v>0</v>
      </c>
      <c r="CB62" s="204">
        <f t="shared" si="95"/>
        <v>0</v>
      </c>
      <c r="CC62" s="204">
        <f t="shared" si="95"/>
        <v>0</v>
      </c>
      <c r="CD62" s="204">
        <f t="shared" si="95"/>
        <v>0</v>
      </c>
      <c r="CE62" s="204">
        <f t="shared" si="95"/>
        <v>0</v>
      </c>
      <c r="CF62" s="204">
        <f t="shared" si="95"/>
        <v>0</v>
      </c>
      <c r="CG62" s="204">
        <f t="shared" si="95"/>
        <v>0</v>
      </c>
      <c r="CH62" s="204">
        <f t="shared" si="95"/>
        <v>0</v>
      </c>
      <c r="CI62" s="204">
        <f t="shared" si="95"/>
        <v>0</v>
      </c>
      <c r="CJ62" s="204">
        <f t="shared" si="95"/>
        <v>0</v>
      </c>
      <c r="CK62" s="204">
        <f t="shared" si="95"/>
        <v>0</v>
      </c>
      <c r="CL62" s="204">
        <f t="shared" si="95"/>
        <v>0</v>
      </c>
      <c r="CM62" s="204">
        <f t="shared" si="95"/>
        <v>0</v>
      </c>
      <c r="CN62" s="204">
        <f t="shared" si="95"/>
        <v>0</v>
      </c>
      <c r="CO62" s="204">
        <f t="shared" si="95"/>
        <v>0</v>
      </c>
      <c r="CP62" s="204">
        <f t="shared" si="95"/>
        <v>0</v>
      </c>
      <c r="CQ62" s="204">
        <f t="shared" si="95"/>
        <v>0</v>
      </c>
      <c r="CR62" s="204">
        <f t="shared" si="95"/>
        <v>0</v>
      </c>
      <c r="CS62" s="204">
        <f t="shared" si="95"/>
        <v>0</v>
      </c>
      <c r="CT62" s="204">
        <f t="shared" si="95"/>
        <v>0</v>
      </c>
      <c r="CU62" s="204">
        <f t="shared" si="95"/>
        <v>0</v>
      </c>
      <c r="CV62" s="204">
        <f t="shared" si="95"/>
        <v>0</v>
      </c>
      <c r="CW62" s="204">
        <f t="shared" si="95"/>
        <v>0</v>
      </c>
      <c r="CX62" s="204">
        <f t="shared" si="95"/>
        <v>0</v>
      </c>
      <c r="CY62" s="204">
        <f t="shared" si="95"/>
        <v>0</v>
      </c>
      <c r="CZ62" s="204">
        <f t="shared" si="95"/>
        <v>0</v>
      </c>
      <c r="DA62" s="204">
        <f t="shared" si="95"/>
        <v>0</v>
      </c>
    </row>
    <row r="63" spans="1:105" s="204" customFormat="1">
      <c r="A63" s="204" t="str">
        <f>Income!A76</f>
        <v>Animals sold</v>
      </c>
      <c r="F63" s="204">
        <f t="shared" ref="F63:BQ63" si="96">IF(F$22&lt;=$E$24,IF(F$22&lt;=$D$24,IF(F$22&lt;=$C$24,IF(F$22&lt;=$B$24,IF(F7=0,0,IF($B29+($B$24-F$22)*F46&lt;0,0,$B29+($B$24-F$22)*F46)),$B29+(F$22-$B$24)*F46),$C29+(F$22-$C$24)*F46),$D29+(F$22-$D$24)*F46),IF($E29+(F$22-$E$24)*F46&lt;0,0,$E29+(F$22-$E$24)*F46))</f>
        <v>3045.4403600511423</v>
      </c>
      <c r="G63" s="204">
        <f t="shared" si="96"/>
        <v>3045.4403600511423</v>
      </c>
      <c r="H63" s="204">
        <f t="shared" si="96"/>
        <v>3045.4403600511423</v>
      </c>
      <c r="I63" s="204">
        <f t="shared" si="96"/>
        <v>3045.4403600511423</v>
      </c>
      <c r="J63" s="204">
        <f t="shared" si="96"/>
        <v>3045.4403600511423</v>
      </c>
      <c r="K63" s="204">
        <f t="shared" si="96"/>
        <v>3045.4403600511423</v>
      </c>
      <c r="L63" s="204">
        <f t="shared" ref="L63:L69" si="97">IF(L$22&lt;=$E$24,IF(L$22&lt;=$D$24,IF(L$22&lt;=$C$24,IF(L$22&lt;=$B$24,IF(L7=0,0,IF($B29+($B$24-L$22)*L46&lt;0,0,$B29+($B$24-L$22)*L46)),$B29+(L$22-$B$24)*L46),$C29+(L$22-$C$24)*L46),$D29+(L$22-$D$24)*L46),IF($E29+(L$22-$E$24)*L46&lt;0,0,$E29+(L$22-$E$24)*L46))</f>
        <v>3045.4403600511423</v>
      </c>
      <c r="M63" s="204">
        <f t="shared" si="96"/>
        <v>3045.4403600511423</v>
      </c>
      <c r="N63" s="204">
        <f t="shared" si="96"/>
        <v>3045.4403600511423</v>
      </c>
      <c r="O63" s="204">
        <f t="shared" si="96"/>
        <v>3045.4403600511423</v>
      </c>
      <c r="P63" s="204">
        <f t="shared" si="96"/>
        <v>3045.4403600511423</v>
      </c>
      <c r="Q63" s="204">
        <f t="shared" si="96"/>
        <v>3045.4403600511423</v>
      </c>
      <c r="R63" s="204">
        <f t="shared" si="96"/>
        <v>3045.4403600511423</v>
      </c>
      <c r="S63" s="204">
        <f t="shared" si="96"/>
        <v>3045.4403600511423</v>
      </c>
      <c r="T63" s="204">
        <f t="shared" si="96"/>
        <v>3045.4403600511423</v>
      </c>
      <c r="U63" s="204">
        <f t="shared" si="96"/>
        <v>3045.4403600511423</v>
      </c>
      <c r="V63" s="204">
        <f t="shared" si="96"/>
        <v>3045.4403600511423</v>
      </c>
      <c r="W63" s="204">
        <f t="shared" si="96"/>
        <v>3045.4403600511423</v>
      </c>
      <c r="X63" s="204">
        <f t="shared" si="96"/>
        <v>3045.4403600511423</v>
      </c>
      <c r="Y63" s="204">
        <f t="shared" si="96"/>
        <v>3045.4403600511423</v>
      </c>
      <c r="Z63" s="204">
        <f t="shared" si="96"/>
        <v>3093.4066427018624</v>
      </c>
      <c r="AA63" s="204">
        <f t="shared" si="96"/>
        <v>3285.271773304743</v>
      </c>
      <c r="AB63" s="204">
        <f t="shared" si="96"/>
        <v>3477.1369039076239</v>
      </c>
      <c r="AC63" s="204">
        <f t="shared" si="96"/>
        <v>3669.0020345105045</v>
      </c>
      <c r="AD63" s="204">
        <f t="shared" si="96"/>
        <v>3860.8671651133855</v>
      </c>
      <c r="AE63" s="204">
        <f t="shared" si="96"/>
        <v>4052.732295716266</v>
      </c>
      <c r="AF63" s="204">
        <f t="shared" si="96"/>
        <v>4244.5974263191465</v>
      </c>
      <c r="AG63" s="204">
        <f t="shared" si="96"/>
        <v>4436.462556922027</v>
      </c>
      <c r="AH63" s="204">
        <f t="shared" si="96"/>
        <v>4628.3276875249085</v>
      </c>
      <c r="AI63" s="204">
        <f t="shared" si="96"/>
        <v>4820.192818127789</v>
      </c>
      <c r="AJ63" s="204">
        <f t="shared" si="96"/>
        <v>5012.0579487306695</v>
      </c>
      <c r="AK63" s="204">
        <f t="shared" si="96"/>
        <v>5203.92307933355</v>
      </c>
      <c r="AL63" s="204">
        <f t="shared" si="96"/>
        <v>5395.7882099364306</v>
      </c>
      <c r="AM63" s="204">
        <f t="shared" si="96"/>
        <v>5587.6533405393111</v>
      </c>
      <c r="AN63" s="204">
        <f t="shared" si="96"/>
        <v>5779.5184711421916</v>
      </c>
      <c r="AO63" s="204">
        <f t="shared" si="96"/>
        <v>5971.3836017450731</v>
      </c>
      <c r="AP63" s="204">
        <f t="shared" si="96"/>
        <v>6163.2487323479536</v>
      </c>
      <c r="AQ63" s="204">
        <f t="shared" si="96"/>
        <v>6355.1138629508341</v>
      </c>
      <c r="AR63" s="204">
        <f t="shared" si="96"/>
        <v>6546.9789935537156</v>
      </c>
      <c r="AS63" s="204">
        <f t="shared" si="96"/>
        <v>6738.8441241565961</v>
      </c>
      <c r="AT63" s="204">
        <f t="shared" si="96"/>
        <v>6930.7092547594766</v>
      </c>
      <c r="AU63" s="204">
        <f t="shared" si="96"/>
        <v>7122.5743853623571</v>
      </c>
      <c r="AV63" s="204">
        <f t="shared" si="96"/>
        <v>7314.4395159652377</v>
      </c>
      <c r="AW63" s="204">
        <f t="shared" si="96"/>
        <v>7506.3046465681182</v>
      </c>
      <c r="AX63" s="204">
        <f t="shared" si="96"/>
        <v>7698.1697771709996</v>
      </c>
      <c r="AY63" s="204">
        <f t="shared" si="96"/>
        <v>7890.0349077738801</v>
      </c>
      <c r="AZ63" s="204">
        <f t="shared" si="96"/>
        <v>8081.9000383767607</v>
      </c>
      <c r="BA63" s="204">
        <f t="shared" si="96"/>
        <v>8273.7651689796403</v>
      </c>
      <c r="BB63" s="204">
        <f t="shared" si="96"/>
        <v>8465.6302995825208</v>
      </c>
      <c r="BC63" s="204">
        <f t="shared" si="96"/>
        <v>8657.4954301854013</v>
      </c>
      <c r="BD63" s="204">
        <f t="shared" si="96"/>
        <v>8849.3605607882837</v>
      </c>
      <c r="BE63" s="204">
        <f t="shared" si="96"/>
        <v>9041.2256913911642</v>
      </c>
      <c r="BF63" s="204">
        <f t="shared" si="96"/>
        <v>9233.0908219940447</v>
      </c>
      <c r="BG63" s="204">
        <f t="shared" si="96"/>
        <v>9424.9559525969253</v>
      </c>
      <c r="BH63" s="204">
        <f t="shared" si="96"/>
        <v>9616.8210831998058</v>
      </c>
      <c r="BI63" s="204">
        <f t="shared" si="96"/>
        <v>9808.6862138026881</v>
      </c>
      <c r="BJ63" s="204">
        <f t="shared" si="96"/>
        <v>10000.551344405569</v>
      </c>
      <c r="BK63" s="204">
        <f t="shared" si="96"/>
        <v>10400.974833562939</v>
      </c>
      <c r="BL63" s="204">
        <f t="shared" si="96"/>
        <v>10870.91777557181</v>
      </c>
      <c r="BM63" s="204">
        <f t="shared" si="96"/>
        <v>11340.860717580679</v>
      </c>
      <c r="BN63" s="204">
        <f t="shared" si="96"/>
        <v>11810.803659589548</v>
      </c>
      <c r="BO63" s="204">
        <f t="shared" si="96"/>
        <v>12280.746601598417</v>
      </c>
      <c r="BP63" s="204">
        <f t="shared" si="96"/>
        <v>12750.689543607286</v>
      </c>
      <c r="BQ63" s="204">
        <f t="shared" si="96"/>
        <v>13220.632485616155</v>
      </c>
      <c r="BR63" s="204">
        <f t="shared" ref="BR63:DA63" si="98">IF(BR$22&lt;=$E$24,IF(BR$22&lt;=$D$24,IF(BR$22&lt;=$C$24,IF(BR$22&lt;=$B$24,IF(BR7=0,0,IF($B29+($B$24-BR$22)*BR46&lt;0,0,$B29+($B$24-BR$22)*BR46)),$B29+(BR$22-$B$24)*BR46),$C29+(BR$22-$C$24)*BR46),$D29+(BR$22-$D$24)*BR46),IF($E29+(BR$22-$E$24)*BR46&lt;0,0,$E29+(BR$22-$E$24)*BR46))</f>
        <v>13690.575427625026</v>
      </c>
      <c r="BS63" s="204">
        <f t="shared" si="98"/>
        <v>14160.518369633895</v>
      </c>
      <c r="BT63" s="204">
        <f t="shared" si="98"/>
        <v>14630.461311642764</v>
      </c>
      <c r="BU63" s="204">
        <f t="shared" si="98"/>
        <v>15100.404253651635</v>
      </c>
      <c r="BV63" s="204">
        <f t="shared" si="98"/>
        <v>15570.347195660503</v>
      </c>
      <c r="BW63" s="204">
        <f t="shared" si="98"/>
        <v>16040.290137669374</v>
      </c>
      <c r="BX63" s="204">
        <f t="shared" si="98"/>
        <v>16510.233079678241</v>
      </c>
      <c r="BY63" s="204">
        <f t="shared" si="98"/>
        <v>16980.176021687112</v>
      </c>
      <c r="BZ63" s="204">
        <f t="shared" si="98"/>
        <v>17450.118963695983</v>
      </c>
      <c r="CA63" s="204">
        <f t="shared" si="98"/>
        <v>17920.06190570485</v>
      </c>
      <c r="CB63" s="204">
        <f t="shared" si="98"/>
        <v>18390.004847713721</v>
      </c>
      <c r="CC63" s="204">
        <f t="shared" si="98"/>
        <v>18859.947789722588</v>
      </c>
      <c r="CD63" s="204">
        <f t="shared" si="98"/>
        <v>19329.890731731459</v>
      </c>
      <c r="CE63" s="204">
        <f t="shared" si="98"/>
        <v>19799.83367374033</v>
      </c>
      <c r="CF63" s="204">
        <f t="shared" si="98"/>
        <v>20269.776615749197</v>
      </c>
      <c r="CG63" s="204">
        <f t="shared" si="98"/>
        <v>20739.719557758068</v>
      </c>
      <c r="CH63" s="204">
        <f t="shared" si="98"/>
        <v>21209.662499766935</v>
      </c>
      <c r="CI63" s="204">
        <f t="shared" si="98"/>
        <v>21679.605441775806</v>
      </c>
      <c r="CJ63" s="204">
        <f t="shared" si="98"/>
        <v>22326.403185017585</v>
      </c>
      <c r="CK63" s="204">
        <f t="shared" si="98"/>
        <v>23032.152528670336</v>
      </c>
      <c r="CL63" s="204">
        <f t="shared" si="98"/>
        <v>23737.901872323087</v>
      </c>
      <c r="CM63" s="204">
        <f t="shared" si="98"/>
        <v>24443.651215975839</v>
      </c>
      <c r="CN63" s="204">
        <f t="shared" si="98"/>
        <v>25149.40055962859</v>
      </c>
      <c r="CO63" s="204">
        <f t="shared" si="98"/>
        <v>25855.149903281341</v>
      </c>
      <c r="CP63" s="204">
        <f t="shared" si="98"/>
        <v>26560.899246934092</v>
      </c>
      <c r="CQ63" s="204">
        <f t="shared" si="98"/>
        <v>27266.648590586843</v>
      </c>
      <c r="CR63" s="204">
        <f t="shared" si="98"/>
        <v>27972.397934239594</v>
      </c>
      <c r="CS63" s="204">
        <f t="shared" si="98"/>
        <v>28678.147277892345</v>
      </c>
      <c r="CT63" s="204">
        <f t="shared" si="98"/>
        <v>29383.896621545096</v>
      </c>
      <c r="CU63" s="204">
        <f t="shared" si="98"/>
        <v>30089.645965197848</v>
      </c>
      <c r="CV63" s="204">
        <f t="shared" si="98"/>
        <v>30795.395308850595</v>
      </c>
      <c r="CW63" s="204">
        <f t="shared" si="98"/>
        <v>31324.70731659016</v>
      </c>
      <c r="CX63" s="204">
        <f t="shared" si="98"/>
        <v>31324.70731659016</v>
      </c>
      <c r="CY63" s="204">
        <f t="shared" si="98"/>
        <v>31324.70731659016</v>
      </c>
      <c r="CZ63" s="204">
        <f t="shared" si="98"/>
        <v>31324.70731659016</v>
      </c>
      <c r="DA63" s="204">
        <f t="shared" si="98"/>
        <v>31324.70731659016</v>
      </c>
    </row>
    <row r="64" spans="1:105" s="204" customFormat="1">
      <c r="A64" s="204" t="str">
        <f>Income!A77</f>
        <v>Wild foods consumed and sold</v>
      </c>
      <c r="F64" s="204">
        <f t="shared" ref="F64:BQ64" si="99">IF(F$22&lt;=$E$24,IF(F$22&lt;=$D$24,IF(F$22&lt;=$C$24,IF(F$22&lt;=$B$24,IF(F8=0,0,IF($B30+($B$24-F$22)*F47&lt;0,0,$B30+($B$24-F$22)*F47)),$B30+(F$22-$B$24)*F47),$C30+(F$22-$C$24)*F47),$D30+(F$22-$D$24)*F47),IF($E30+(F$22-$E$24)*F47&lt;0,0,$E30+(F$22-$E$24)*F47))</f>
        <v>0</v>
      </c>
      <c r="G64" s="204">
        <f t="shared" si="99"/>
        <v>0</v>
      </c>
      <c r="H64" s="204">
        <f t="shared" si="99"/>
        <v>0</v>
      </c>
      <c r="I64" s="204">
        <f t="shared" si="99"/>
        <v>0</v>
      </c>
      <c r="J64" s="204">
        <f t="shared" si="99"/>
        <v>0</v>
      </c>
      <c r="K64" s="204">
        <f t="shared" si="99"/>
        <v>0</v>
      </c>
      <c r="L64" s="204">
        <f t="shared" si="97"/>
        <v>0</v>
      </c>
      <c r="M64" s="204">
        <f t="shared" si="99"/>
        <v>0</v>
      </c>
      <c r="N64" s="204">
        <f t="shared" si="99"/>
        <v>0</v>
      </c>
      <c r="O64" s="204">
        <f t="shared" si="99"/>
        <v>0</v>
      </c>
      <c r="P64" s="204">
        <f t="shared" si="99"/>
        <v>0</v>
      </c>
      <c r="Q64" s="204">
        <f t="shared" si="99"/>
        <v>0</v>
      </c>
      <c r="R64" s="204">
        <f t="shared" si="99"/>
        <v>0</v>
      </c>
      <c r="S64" s="204">
        <f t="shared" si="99"/>
        <v>0</v>
      </c>
      <c r="T64" s="204">
        <f t="shared" si="99"/>
        <v>0</v>
      </c>
      <c r="U64" s="204">
        <f t="shared" si="99"/>
        <v>0</v>
      </c>
      <c r="V64" s="204">
        <f t="shared" si="99"/>
        <v>0</v>
      </c>
      <c r="W64" s="204">
        <f t="shared" si="99"/>
        <v>0</v>
      </c>
      <c r="X64" s="204">
        <f t="shared" si="99"/>
        <v>0</v>
      </c>
      <c r="Y64" s="204">
        <f t="shared" si="99"/>
        <v>0</v>
      </c>
      <c r="Z64" s="204">
        <f t="shared" si="99"/>
        <v>0.83019212022481648</v>
      </c>
      <c r="AA64" s="204">
        <f t="shared" si="99"/>
        <v>4.1509606011240825</v>
      </c>
      <c r="AB64" s="204">
        <f t="shared" si="99"/>
        <v>7.471729082023348</v>
      </c>
      <c r="AC64" s="204">
        <f t="shared" si="99"/>
        <v>10.792497562922614</v>
      </c>
      <c r="AD64" s="204">
        <f t="shared" si="99"/>
        <v>14.113266043821881</v>
      </c>
      <c r="AE64" s="204">
        <f t="shared" si="99"/>
        <v>17.434034524721145</v>
      </c>
      <c r="AF64" s="204">
        <f t="shared" si="99"/>
        <v>20.754803005620413</v>
      </c>
      <c r="AG64" s="204">
        <f t="shared" si="99"/>
        <v>24.075571486519678</v>
      </c>
      <c r="AH64" s="204">
        <f t="shared" si="99"/>
        <v>27.396339967418943</v>
      </c>
      <c r="AI64" s="204">
        <f t="shared" si="99"/>
        <v>30.717108448318211</v>
      </c>
      <c r="AJ64" s="204">
        <f t="shared" si="99"/>
        <v>34.037876929217475</v>
      </c>
      <c r="AK64" s="204">
        <f t="shared" si="99"/>
        <v>37.358645410116743</v>
      </c>
      <c r="AL64" s="204">
        <f t="shared" si="99"/>
        <v>40.679413891016004</v>
      </c>
      <c r="AM64" s="204">
        <f t="shared" si="99"/>
        <v>44.000182371915272</v>
      </c>
      <c r="AN64" s="204">
        <f t="shared" si="99"/>
        <v>47.320950852814541</v>
      </c>
      <c r="AO64" s="204">
        <f t="shared" si="99"/>
        <v>50.641719333713802</v>
      </c>
      <c r="AP64" s="204">
        <f t="shared" si="99"/>
        <v>53.96248781461307</v>
      </c>
      <c r="AQ64" s="204">
        <f t="shared" si="99"/>
        <v>57.283256295512338</v>
      </c>
      <c r="AR64" s="204">
        <f t="shared" si="99"/>
        <v>60.604024776411606</v>
      </c>
      <c r="AS64" s="204">
        <f t="shared" si="99"/>
        <v>63.924793257310867</v>
      </c>
      <c r="AT64" s="204">
        <f t="shared" si="99"/>
        <v>67.245561738210128</v>
      </c>
      <c r="AU64" s="204">
        <f t="shared" si="99"/>
        <v>70.566330219109403</v>
      </c>
      <c r="AV64" s="204">
        <f t="shared" si="99"/>
        <v>73.887098700008664</v>
      </c>
      <c r="AW64" s="204">
        <f t="shared" si="99"/>
        <v>77.207867180907925</v>
      </c>
      <c r="AX64" s="204">
        <f t="shared" si="99"/>
        <v>80.528635661807201</v>
      </c>
      <c r="AY64" s="204">
        <f t="shared" si="99"/>
        <v>83.849404142706462</v>
      </c>
      <c r="AZ64" s="204">
        <f t="shared" si="99"/>
        <v>87.170172623605737</v>
      </c>
      <c r="BA64" s="204">
        <f t="shared" si="99"/>
        <v>90.490941104504998</v>
      </c>
      <c r="BB64" s="204">
        <f t="shared" si="99"/>
        <v>93.811709585404259</v>
      </c>
      <c r="BC64" s="204">
        <f t="shared" si="99"/>
        <v>97.132478066303534</v>
      </c>
      <c r="BD64" s="204">
        <f t="shared" si="99"/>
        <v>100.4532465472028</v>
      </c>
      <c r="BE64" s="204">
        <f t="shared" si="99"/>
        <v>103.77401502810206</v>
      </c>
      <c r="BF64" s="204">
        <f t="shared" si="99"/>
        <v>107.09478350900133</v>
      </c>
      <c r="BG64" s="204">
        <f t="shared" si="99"/>
        <v>110.41555198990059</v>
      </c>
      <c r="BH64" s="204">
        <f t="shared" si="99"/>
        <v>113.73632047079985</v>
      </c>
      <c r="BI64" s="204">
        <f t="shared" si="99"/>
        <v>117.05708895169913</v>
      </c>
      <c r="BJ64" s="204">
        <f t="shared" si="99"/>
        <v>120.37785743259839</v>
      </c>
      <c r="BK64" s="204">
        <f t="shared" si="99"/>
        <v>120.12531982119404</v>
      </c>
      <c r="BL64" s="204">
        <f t="shared" si="99"/>
        <v>118.68168017902184</v>
      </c>
      <c r="BM64" s="204">
        <f t="shared" si="99"/>
        <v>117.23804053684964</v>
      </c>
      <c r="BN64" s="204">
        <f t="shared" si="99"/>
        <v>115.79440089467744</v>
      </c>
      <c r="BO64" s="204">
        <f t="shared" si="99"/>
        <v>114.35076125250522</v>
      </c>
      <c r="BP64" s="204">
        <f t="shared" si="99"/>
        <v>112.90712161033302</v>
      </c>
      <c r="BQ64" s="204">
        <f t="shared" si="99"/>
        <v>111.46348196816082</v>
      </c>
      <c r="BR64" s="204">
        <f t="shared" ref="BR64:DA64" si="100">IF(BR$22&lt;=$E$24,IF(BR$22&lt;=$D$24,IF(BR$22&lt;=$C$24,IF(BR$22&lt;=$B$24,IF(BR8=0,0,IF($B30+($B$24-BR$22)*BR47&lt;0,0,$B30+($B$24-BR$22)*BR47)),$B30+(BR$22-$B$24)*BR47),$C30+(BR$22-$C$24)*BR47),$D30+(BR$22-$D$24)*BR47),IF($E30+(BR$22-$E$24)*BR47&lt;0,0,$E30+(BR$22-$E$24)*BR47))</f>
        <v>110.01984232598862</v>
      </c>
      <c r="BS64" s="204">
        <f t="shared" si="100"/>
        <v>108.5762026838164</v>
      </c>
      <c r="BT64" s="204">
        <f t="shared" si="100"/>
        <v>107.1325630416442</v>
      </c>
      <c r="BU64" s="204">
        <f t="shared" si="100"/>
        <v>105.688923399472</v>
      </c>
      <c r="BV64" s="204">
        <f t="shared" si="100"/>
        <v>104.2452837572998</v>
      </c>
      <c r="BW64" s="204">
        <f t="shared" si="100"/>
        <v>102.8016441151276</v>
      </c>
      <c r="BX64" s="204">
        <f t="shared" si="100"/>
        <v>101.35800447295539</v>
      </c>
      <c r="BY64" s="204">
        <f t="shared" si="100"/>
        <v>99.914364830783185</v>
      </c>
      <c r="BZ64" s="204">
        <f t="shared" si="100"/>
        <v>98.470725188610984</v>
      </c>
      <c r="CA64" s="204">
        <f t="shared" si="100"/>
        <v>97.027085546438769</v>
      </c>
      <c r="CB64" s="204">
        <f t="shared" si="100"/>
        <v>95.583445904266569</v>
      </c>
      <c r="CC64" s="204">
        <f t="shared" si="100"/>
        <v>94.139806262094368</v>
      </c>
      <c r="CD64" s="204">
        <f t="shared" si="100"/>
        <v>92.696166619922167</v>
      </c>
      <c r="CE64" s="204">
        <f t="shared" si="100"/>
        <v>91.252526977749966</v>
      </c>
      <c r="CF64" s="204">
        <f t="shared" si="100"/>
        <v>89.808887335577765</v>
      </c>
      <c r="CG64" s="204">
        <f t="shared" si="100"/>
        <v>88.36524769340555</v>
      </c>
      <c r="CH64" s="204">
        <f t="shared" si="100"/>
        <v>86.921608051233349</v>
      </c>
      <c r="CI64" s="204">
        <f t="shared" si="100"/>
        <v>85.477968409061134</v>
      </c>
      <c r="CJ64" s="204">
        <f t="shared" si="100"/>
        <v>80.388333026378191</v>
      </c>
      <c r="CK64" s="204">
        <f t="shared" si="100"/>
        <v>74.083365730191673</v>
      </c>
      <c r="CL64" s="204">
        <f t="shared" si="100"/>
        <v>67.77839843400514</v>
      </c>
      <c r="CM64" s="204">
        <f t="shared" si="100"/>
        <v>61.473431137818622</v>
      </c>
      <c r="CN64" s="204">
        <f t="shared" si="100"/>
        <v>55.168463841632096</v>
      </c>
      <c r="CO64" s="204">
        <f t="shared" si="100"/>
        <v>48.863496545445571</v>
      </c>
      <c r="CP64" s="204">
        <f t="shared" si="100"/>
        <v>42.558529249259045</v>
      </c>
      <c r="CQ64" s="204">
        <f t="shared" si="100"/>
        <v>36.25356195307252</v>
      </c>
      <c r="CR64" s="204">
        <f t="shared" si="100"/>
        <v>29.948594656885994</v>
      </c>
      <c r="CS64" s="204">
        <f t="shared" si="100"/>
        <v>23.643627360699469</v>
      </c>
      <c r="CT64" s="204">
        <f t="shared" si="100"/>
        <v>17.338660064512936</v>
      </c>
      <c r="CU64" s="204">
        <f t="shared" si="100"/>
        <v>11.033692768326418</v>
      </c>
      <c r="CV64" s="204">
        <f t="shared" si="100"/>
        <v>4.7287254721398853</v>
      </c>
      <c r="CW64" s="204">
        <f t="shared" si="100"/>
        <v>13.047499999999971</v>
      </c>
      <c r="CX64" s="204">
        <f t="shared" si="100"/>
        <v>65.237499999999855</v>
      </c>
      <c r="CY64" s="204">
        <f t="shared" si="100"/>
        <v>117.42749999999974</v>
      </c>
      <c r="CZ64" s="204">
        <f t="shared" si="100"/>
        <v>169.61749999999961</v>
      </c>
      <c r="DA64" s="204">
        <f t="shared" si="100"/>
        <v>221.80749999999949</v>
      </c>
    </row>
    <row r="65" spans="1:105" s="204" customFormat="1">
      <c r="A65" s="204" t="str">
        <f>Income!A78</f>
        <v>Labour - casual</v>
      </c>
      <c r="F65" s="204">
        <f t="shared" ref="F65:BQ65" si="101">IF(F$22&lt;=$E$24,IF(F$22&lt;=$D$24,IF(F$22&lt;=$C$24,IF(F$22&lt;=$B$24,IF(F9=0,0,IF($B31+($B$24-F$22)*F48&lt;0,0,$B31+($B$24-F$22)*F48)),$B31+(F$22-$B$24)*F48),$C31+(F$22-$C$24)*F48),$D31+(F$22-$D$24)*F48),IF($E31+(F$22-$E$24)*F48&lt;0,0,$E31+(F$22-$E$24)*F48))</f>
        <v>5317.1555759881148</v>
      </c>
      <c r="G65" s="204">
        <f t="shared" si="101"/>
        <v>5317.1555759881148</v>
      </c>
      <c r="H65" s="204">
        <f t="shared" si="101"/>
        <v>5317.1555759881148</v>
      </c>
      <c r="I65" s="204">
        <f t="shared" si="101"/>
        <v>5317.1555759881148</v>
      </c>
      <c r="J65" s="204">
        <f t="shared" si="101"/>
        <v>5317.1555759881148</v>
      </c>
      <c r="K65" s="204">
        <f t="shared" si="101"/>
        <v>5317.1555759881148</v>
      </c>
      <c r="L65" s="204">
        <f t="shared" si="97"/>
        <v>5317.1555759881148</v>
      </c>
      <c r="M65" s="204">
        <f t="shared" si="101"/>
        <v>5317.1555759881148</v>
      </c>
      <c r="N65" s="204">
        <f t="shared" si="101"/>
        <v>5317.1555759881148</v>
      </c>
      <c r="O65" s="204">
        <f t="shared" si="101"/>
        <v>5317.1555759881148</v>
      </c>
      <c r="P65" s="204">
        <f t="shared" si="101"/>
        <v>5317.1555759881148</v>
      </c>
      <c r="Q65" s="204">
        <f t="shared" si="101"/>
        <v>5317.1555759881148</v>
      </c>
      <c r="R65" s="204">
        <f t="shared" si="101"/>
        <v>5317.1555759881148</v>
      </c>
      <c r="S65" s="204">
        <f t="shared" si="101"/>
        <v>5317.1555759881148</v>
      </c>
      <c r="T65" s="204">
        <f t="shared" si="101"/>
        <v>5317.1555759881148</v>
      </c>
      <c r="U65" s="204">
        <f t="shared" si="101"/>
        <v>5317.1555759881148</v>
      </c>
      <c r="V65" s="204">
        <f t="shared" si="101"/>
        <v>5317.1555759881148</v>
      </c>
      <c r="W65" s="204">
        <f t="shared" si="101"/>
        <v>5317.1555759881148</v>
      </c>
      <c r="X65" s="204">
        <f t="shared" si="101"/>
        <v>5317.1555759881148</v>
      </c>
      <c r="Y65" s="204">
        <f t="shared" si="101"/>
        <v>5317.1555759881148</v>
      </c>
      <c r="Z65" s="204">
        <f t="shared" si="101"/>
        <v>5297.7049783431694</v>
      </c>
      <c r="AA65" s="204">
        <f t="shared" si="101"/>
        <v>5219.9025877633885</v>
      </c>
      <c r="AB65" s="204">
        <f t="shared" si="101"/>
        <v>5142.1001971836076</v>
      </c>
      <c r="AC65" s="204">
        <f t="shared" si="101"/>
        <v>5064.2978066038268</v>
      </c>
      <c r="AD65" s="204">
        <f t="shared" si="101"/>
        <v>4986.4954160240468</v>
      </c>
      <c r="AE65" s="204">
        <f t="shared" si="101"/>
        <v>4908.6930254442659</v>
      </c>
      <c r="AF65" s="204">
        <f t="shared" si="101"/>
        <v>4830.890634864485</v>
      </c>
      <c r="AG65" s="204">
        <f t="shared" si="101"/>
        <v>4753.0882442847042</v>
      </c>
      <c r="AH65" s="204">
        <f t="shared" si="101"/>
        <v>4675.2858537049233</v>
      </c>
      <c r="AI65" s="204">
        <f t="shared" si="101"/>
        <v>4597.4834631251424</v>
      </c>
      <c r="AJ65" s="204">
        <f t="shared" si="101"/>
        <v>4519.6810725453615</v>
      </c>
      <c r="AK65" s="204">
        <f t="shared" si="101"/>
        <v>4441.8786819655807</v>
      </c>
      <c r="AL65" s="204">
        <f t="shared" si="101"/>
        <v>4364.0762913857998</v>
      </c>
      <c r="AM65" s="204">
        <f t="shared" si="101"/>
        <v>4286.2739008060189</v>
      </c>
      <c r="AN65" s="204">
        <f t="shared" si="101"/>
        <v>4208.471510226238</v>
      </c>
      <c r="AO65" s="204">
        <f t="shared" si="101"/>
        <v>4130.6691196464571</v>
      </c>
      <c r="AP65" s="204">
        <f t="shared" si="101"/>
        <v>4052.8667290666763</v>
      </c>
      <c r="AQ65" s="204">
        <f t="shared" si="101"/>
        <v>3975.0643384868954</v>
      </c>
      <c r="AR65" s="204">
        <f t="shared" si="101"/>
        <v>3897.261947907115</v>
      </c>
      <c r="AS65" s="204">
        <f t="shared" si="101"/>
        <v>3819.4595573273341</v>
      </c>
      <c r="AT65" s="204">
        <f t="shared" si="101"/>
        <v>3741.6571667475532</v>
      </c>
      <c r="AU65" s="204">
        <f t="shared" si="101"/>
        <v>3663.8547761677723</v>
      </c>
      <c r="AV65" s="204">
        <f t="shared" si="101"/>
        <v>3586.0523855879919</v>
      </c>
      <c r="AW65" s="204">
        <f t="shared" si="101"/>
        <v>3508.249995008211</v>
      </c>
      <c r="AX65" s="204">
        <f t="shared" si="101"/>
        <v>3430.4476044284302</v>
      </c>
      <c r="AY65" s="204">
        <f t="shared" si="101"/>
        <v>3352.6452138486493</v>
      </c>
      <c r="AZ65" s="204">
        <f t="shared" si="101"/>
        <v>3274.8428232688684</v>
      </c>
      <c r="BA65" s="204">
        <f t="shared" si="101"/>
        <v>3197.0404326890875</v>
      </c>
      <c r="BB65" s="204">
        <f t="shared" si="101"/>
        <v>3119.2380421093067</v>
      </c>
      <c r="BC65" s="204">
        <f t="shared" si="101"/>
        <v>3041.4356515295258</v>
      </c>
      <c r="BD65" s="204">
        <f t="shared" si="101"/>
        <v>2963.6332609497449</v>
      </c>
      <c r="BE65" s="204">
        <f t="shared" si="101"/>
        <v>2885.830870369964</v>
      </c>
      <c r="BF65" s="204">
        <f t="shared" si="101"/>
        <v>2808.0284797901836</v>
      </c>
      <c r="BG65" s="204">
        <f t="shared" si="101"/>
        <v>2730.2260892104027</v>
      </c>
      <c r="BH65" s="204">
        <f t="shared" si="101"/>
        <v>2652.4236986306219</v>
      </c>
      <c r="BI65" s="204">
        <f t="shared" si="101"/>
        <v>2574.621308050841</v>
      </c>
      <c r="BJ65" s="204">
        <f t="shared" si="101"/>
        <v>2496.8189174710601</v>
      </c>
      <c r="BK65" s="204">
        <f t="shared" si="101"/>
        <v>4191.8150107150504</v>
      </c>
      <c r="BL65" s="204">
        <f t="shared" si="101"/>
        <v>6477.7439319002988</v>
      </c>
      <c r="BM65" s="204">
        <f t="shared" si="101"/>
        <v>8763.6728530855471</v>
      </c>
      <c r="BN65" s="204">
        <f t="shared" si="101"/>
        <v>11049.601774270795</v>
      </c>
      <c r="BO65" s="204">
        <f t="shared" si="101"/>
        <v>13335.530695456042</v>
      </c>
      <c r="BP65" s="204">
        <f t="shared" si="101"/>
        <v>15621.45961664129</v>
      </c>
      <c r="BQ65" s="204">
        <f t="shared" si="101"/>
        <v>17907.388537826537</v>
      </c>
      <c r="BR65" s="204">
        <f t="shared" ref="BR65:DA65" si="102">IF(BR$22&lt;=$E$24,IF(BR$22&lt;=$D$24,IF(BR$22&lt;=$C$24,IF(BR$22&lt;=$B$24,IF(BR9=0,0,IF($B31+($B$24-BR$22)*BR48&lt;0,0,$B31+($B$24-BR$22)*BR48)),$B31+(BR$22-$B$24)*BR48),$C31+(BR$22-$C$24)*BR48),$D31+(BR$22-$D$24)*BR48),IF($E31+(BR$22-$E$24)*BR48&lt;0,0,$E31+(BR$22-$E$24)*BR48))</f>
        <v>20193.317459011785</v>
      </c>
      <c r="BS65" s="204">
        <f t="shared" si="102"/>
        <v>22479.246380197033</v>
      </c>
      <c r="BT65" s="204">
        <f t="shared" si="102"/>
        <v>24765.175301382282</v>
      </c>
      <c r="BU65" s="204">
        <f t="shared" si="102"/>
        <v>27051.104222567526</v>
      </c>
      <c r="BV65" s="204">
        <f t="shared" si="102"/>
        <v>29337.033143752775</v>
      </c>
      <c r="BW65" s="204">
        <f t="shared" si="102"/>
        <v>31622.962064938023</v>
      </c>
      <c r="BX65" s="204">
        <f t="shared" si="102"/>
        <v>33908.890986123275</v>
      </c>
      <c r="BY65" s="204">
        <f t="shared" si="102"/>
        <v>36194.81990730852</v>
      </c>
      <c r="BZ65" s="204">
        <f t="shared" si="102"/>
        <v>38480.748828493764</v>
      </c>
      <c r="CA65" s="204">
        <f t="shared" si="102"/>
        <v>40766.677749679016</v>
      </c>
      <c r="CB65" s="204">
        <f t="shared" si="102"/>
        <v>43052.606670864261</v>
      </c>
      <c r="CC65" s="204">
        <f t="shared" si="102"/>
        <v>45338.535592049513</v>
      </c>
      <c r="CD65" s="204">
        <f t="shared" si="102"/>
        <v>47624.464513234758</v>
      </c>
      <c r="CE65" s="204">
        <f t="shared" si="102"/>
        <v>49910.39343442001</v>
      </c>
      <c r="CF65" s="204">
        <f t="shared" si="102"/>
        <v>52196.322355605254</v>
      </c>
      <c r="CG65" s="204">
        <f t="shared" si="102"/>
        <v>54482.251276790499</v>
      </c>
      <c r="CH65" s="204">
        <f t="shared" si="102"/>
        <v>56768.180197975751</v>
      </c>
      <c r="CI65" s="204">
        <f t="shared" si="102"/>
        <v>59054.109119160996</v>
      </c>
      <c r="CJ65" s="204">
        <f t="shared" si="102"/>
        <v>56313.05849670968</v>
      </c>
      <c r="CK65" s="204">
        <f t="shared" si="102"/>
        <v>51896.348026379514</v>
      </c>
      <c r="CL65" s="204">
        <f t="shared" si="102"/>
        <v>47479.63755604934</v>
      </c>
      <c r="CM65" s="204">
        <f t="shared" si="102"/>
        <v>43062.927085719173</v>
      </c>
      <c r="CN65" s="204">
        <f t="shared" si="102"/>
        <v>38646.216615388999</v>
      </c>
      <c r="CO65" s="204">
        <f t="shared" si="102"/>
        <v>34229.506145058825</v>
      </c>
      <c r="CP65" s="204">
        <f t="shared" si="102"/>
        <v>29812.795674728655</v>
      </c>
      <c r="CQ65" s="204">
        <f t="shared" si="102"/>
        <v>25396.085204398485</v>
      </c>
      <c r="CR65" s="204">
        <f t="shared" si="102"/>
        <v>20979.374734068311</v>
      </c>
      <c r="CS65" s="204">
        <f t="shared" si="102"/>
        <v>16562.664263738145</v>
      </c>
      <c r="CT65" s="204">
        <f t="shared" si="102"/>
        <v>12145.953793407971</v>
      </c>
      <c r="CU65" s="204">
        <f t="shared" si="102"/>
        <v>7729.243323077797</v>
      </c>
      <c r="CV65" s="204">
        <f t="shared" si="102"/>
        <v>3312.5328527476304</v>
      </c>
      <c r="CW65" s="204">
        <f t="shared" si="102"/>
        <v>0</v>
      </c>
      <c r="CX65" s="204">
        <f t="shared" si="102"/>
        <v>0</v>
      </c>
      <c r="CY65" s="204">
        <f t="shared" si="102"/>
        <v>0</v>
      </c>
      <c r="CZ65" s="204">
        <f t="shared" si="102"/>
        <v>0</v>
      </c>
      <c r="DA65" s="204">
        <f t="shared" si="102"/>
        <v>0</v>
      </c>
    </row>
    <row r="66" spans="1:105" s="204" customFormat="1">
      <c r="A66" s="204" t="str">
        <f>Income!A79</f>
        <v>Labour - formal emp</v>
      </c>
      <c r="F66" s="204">
        <f t="shared" ref="F66:BQ66" si="103">IF(F$22&lt;=$E$24,IF(F$22&lt;=$D$24,IF(F$22&lt;=$C$24,IF(F$22&lt;=$B$24,IF(F10=0,0,IF($B32+($B$24-F$22)*F49&lt;0,0,$B32+($B$24-F$22)*F49)),$B32+(F$22-$B$24)*F49),$C32+(F$22-$C$24)*F49),$D32+(F$22-$D$24)*F49),IF($E32+(F$22-$E$24)*F49&lt;0,0,$E32+(F$22-$E$24)*F49))</f>
        <v>0</v>
      </c>
      <c r="G66" s="204">
        <f t="shared" si="103"/>
        <v>0</v>
      </c>
      <c r="H66" s="204">
        <f t="shared" si="103"/>
        <v>0</v>
      </c>
      <c r="I66" s="204">
        <f t="shared" si="103"/>
        <v>0</v>
      </c>
      <c r="J66" s="204">
        <f t="shared" si="103"/>
        <v>0</v>
      </c>
      <c r="K66" s="204">
        <f t="shared" si="103"/>
        <v>0</v>
      </c>
      <c r="L66" s="204">
        <f t="shared" si="97"/>
        <v>0</v>
      </c>
      <c r="M66" s="204">
        <f t="shared" si="103"/>
        <v>0</v>
      </c>
      <c r="N66" s="204">
        <f t="shared" si="103"/>
        <v>0</v>
      </c>
      <c r="O66" s="204">
        <f t="shared" si="103"/>
        <v>0</v>
      </c>
      <c r="P66" s="204">
        <f t="shared" si="103"/>
        <v>0</v>
      </c>
      <c r="Q66" s="204">
        <f t="shared" si="103"/>
        <v>0</v>
      </c>
      <c r="R66" s="204">
        <f t="shared" si="103"/>
        <v>0</v>
      </c>
      <c r="S66" s="204">
        <f t="shared" si="103"/>
        <v>0</v>
      </c>
      <c r="T66" s="204">
        <f t="shared" si="103"/>
        <v>0</v>
      </c>
      <c r="U66" s="204">
        <f t="shared" si="103"/>
        <v>0</v>
      </c>
      <c r="V66" s="204">
        <f t="shared" si="103"/>
        <v>0</v>
      </c>
      <c r="W66" s="204">
        <f t="shared" si="103"/>
        <v>0</v>
      </c>
      <c r="X66" s="204">
        <f t="shared" si="103"/>
        <v>0</v>
      </c>
      <c r="Y66" s="204">
        <f t="shared" si="103"/>
        <v>0</v>
      </c>
      <c r="Z66" s="204">
        <f t="shared" si="103"/>
        <v>0</v>
      </c>
      <c r="AA66" s="204">
        <f t="shared" si="103"/>
        <v>0</v>
      </c>
      <c r="AB66" s="204">
        <f t="shared" si="103"/>
        <v>0</v>
      </c>
      <c r="AC66" s="204">
        <f t="shared" si="103"/>
        <v>0</v>
      </c>
      <c r="AD66" s="204">
        <f t="shared" si="103"/>
        <v>0</v>
      </c>
      <c r="AE66" s="204">
        <f t="shared" si="103"/>
        <v>0</v>
      </c>
      <c r="AF66" s="204">
        <f t="shared" si="103"/>
        <v>0</v>
      </c>
      <c r="AG66" s="204">
        <f t="shared" si="103"/>
        <v>0</v>
      </c>
      <c r="AH66" s="204">
        <f t="shared" si="103"/>
        <v>0</v>
      </c>
      <c r="AI66" s="204">
        <f t="shared" si="103"/>
        <v>0</v>
      </c>
      <c r="AJ66" s="204">
        <f t="shared" si="103"/>
        <v>0</v>
      </c>
      <c r="AK66" s="204">
        <f t="shared" si="103"/>
        <v>0</v>
      </c>
      <c r="AL66" s="204">
        <f t="shared" si="103"/>
        <v>0</v>
      </c>
      <c r="AM66" s="204">
        <f t="shared" si="103"/>
        <v>0</v>
      </c>
      <c r="AN66" s="204">
        <f t="shared" si="103"/>
        <v>0</v>
      </c>
      <c r="AO66" s="204">
        <f t="shared" si="103"/>
        <v>0</v>
      </c>
      <c r="AP66" s="204">
        <f t="shared" si="103"/>
        <v>0</v>
      </c>
      <c r="AQ66" s="204">
        <f t="shared" si="103"/>
        <v>0</v>
      </c>
      <c r="AR66" s="204">
        <f t="shared" si="103"/>
        <v>0</v>
      </c>
      <c r="AS66" s="204">
        <f t="shared" si="103"/>
        <v>0</v>
      </c>
      <c r="AT66" s="204">
        <f t="shared" si="103"/>
        <v>0</v>
      </c>
      <c r="AU66" s="204">
        <f t="shared" si="103"/>
        <v>0</v>
      </c>
      <c r="AV66" s="204">
        <f t="shared" si="103"/>
        <v>0</v>
      </c>
      <c r="AW66" s="204">
        <f t="shared" si="103"/>
        <v>0</v>
      </c>
      <c r="AX66" s="204">
        <f t="shared" si="103"/>
        <v>0</v>
      </c>
      <c r="AY66" s="204">
        <f t="shared" si="103"/>
        <v>0</v>
      </c>
      <c r="AZ66" s="204">
        <f t="shared" si="103"/>
        <v>0</v>
      </c>
      <c r="BA66" s="204">
        <f t="shared" si="103"/>
        <v>0</v>
      </c>
      <c r="BB66" s="204">
        <f t="shared" si="103"/>
        <v>0</v>
      </c>
      <c r="BC66" s="204">
        <f t="shared" si="103"/>
        <v>0</v>
      </c>
      <c r="BD66" s="204">
        <f t="shared" si="103"/>
        <v>0</v>
      </c>
      <c r="BE66" s="204">
        <f t="shared" si="103"/>
        <v>0</v>
      </c>
      <c r="BF66" s="204">
        <f t="shared" si="103"/>
        <v>0</v>
      </c>
      <c r="BG66" s="204">
        <f t="shared" si="103"/>
        <v>0</v>
      </c>
      <c r="BH66" s="204">
        <f t="shared" si="103"/>
        <v>0</v>
      </c>
      <c r="BI66" s="204">
        <f t="shared" si="103"/>
        <v>0</v>
      </c>
      <c r="BJ66" s="204">
        <f t="shared" si="103"/>
        <v>0</v>
      </c>
      <c r="BK66" s="204">
        <f t="shared" si="103"/>
        <v>846.28964325715583</v>
      </c>
      <c r="BL66" s="204">
        <f t="shared" si="103"/>
        <v>1974.6758342666969</v>
      </c>
      <c r="BM66" s="204">
        <f t="shared" si="103"/>
        <v>3103.0620252762383</v>
      </c>
      <c r="BN66" s="204">
        <f t="shared" si="103"/>
        <v>4231.4482162857794</v>
      </c>
      <c r="BO66" s="204">
        <f t="shared" si="103"/>
        <v>5359.8344072953205</v>
      </c>
      <c r="BP66" s="204">
        <f t="shared" si="103"/>
        <v>6488.2205983048616</v>
      </c>
      <c r="BQ66" s="204">
        <f t="shared" si="103"/>
        <v>7616.6067893144027</v>
      </c>
      <c r="BR66" s="204">
        <f t="shared" ref="BR66:DA66" si="104">IF(BR$22&lt;=$E$24,IF(BR$22&lt;=$D$24,IF(BR$22&lt;=$C$24,IF(BR$22&lt;=$B$24,IF(BR10=0,0,IF($B32+($B$24-BR$22)*BR49&lt;0,0,$B32+($B$24-BR$22)*BR49)),$B32+(BR$22-$B$24)*BR49),$C32+(BR$22-$C$24)*BR49),$D32+(BR$22-$D$24)*BR49),IF($E32+(BR$22-$E$24)*BR49&lt;0,0,$E32+(BR$22-$E$24)*BR49))</f>
        <v>8744.9929803239429</v>
      </c>
      <c r="BS66" s="204">
        <f t="shared" si="104"/>
        <v>9873.3791713334849</v>
      </c>
      <c r="BT66" s="204">
        <f t="shared" si="104"/>
        <v>11001.765362343025</v>
      </c>
      <c r="BU66" s="204">
        <f t="shared" si="104"/>
        <v>12130.151553352567</v>
      </c>
      <c r="BV66" s="204">
        <f t="shared" si="104"/>
        <v>13258.537744362107</v>
      </c>
      <c r="BW66" s="204">
        <f t="shared" si="104"/>
        <v>14386.923935371649</v>
      </c>
      <c r="BX66" s="204">
        <f t="shared" si="104"/>
        <v>15515.31012638119</v>
      </c>
      <c r="BY66" s="204">
        <f t="shared" si="104"/>
        <v>16643.696317390732</v>
      </c>
      <c r="BZ66" s="204">
        <f t="shared" si="104"/>
        <v>17772.082508400272</v>
      </c>
      <c r="CA66" s="204">
        <f t="shared" si="104"/>
        <v>18900.468699409812</v>
      </c>
      <c r="CB66" s="204">
        <f t="shared" si="104"/>
        <v>20028.854890419356</v>
      </c>
      <c r="CC66" s="204">
        <f t="shared" si="104"/>
        <v>21157.241081428896</v>
      </c>
      <c r="CD66" s="204">
        <f t="shared" si="104"/>
        <v>22285.627272438436</v>
      </c>
      <c r="CE66" s="204">
        <f t="shared" si="104"/>
        <v>23414.013463447976</v>
      </c>
      <c r="CF66" s="204">
        <f t="shared" si="104"/>
        <v>24542.39965445752</v>
      </c>
      <c r="CG66" s="204">
        <f t="shared" si="104"/>
        <v>25670.78584546706</v>
      </c>
      <c r="CH66" s="204">
        <f t="shared" si="104"/>
        <v>26799.172036476601</v>
      </c>
      <c r="CI66" s="204">
        <f t="shared" si="104"/>
        <v>27927.558227486141</v>
      </c>
      <c r="CJ66" s="204">
        <f t="shared" si="104"/>
        <v>35220.710525938521</v>
      </c>
      <c r="CK66" s="204">
        <f t="shared" si="104"/>
        <v>44568.784860205174</v>
      </c>
      <c r="CL66" s="204">
        <f t="shared" si="104"/>
        <v>53916.859194471828</v>
      </c>
      <c r="CM66" s="204">
        <f t="shared" si="104"/>
        <v>63264.933528738489</v>
      </c>
      <c r="CN66" s="204">
        <f t="shared" si="104"/>
        <v>72613.007863005143</v>
      </c>
      <c r="CO66" s="204">
        <f t="shared" si="104"/>
        <v>81961.082197271797</v>
      </c>
      <c r="CP66" s="204">
        <f t="shared" si="104"/>
        <v>91309.156531538451</v>
      </c>
      <c r="CQ66" s="204">
        <f t="shared" si="104"/>
        <v>100657.2308658051</v>
      </c>
      <c r="CR66" s="204">
        <f t="shared" si="104"/>
        <v>110005.30520007176</v>
      </c>
      <c r="CS66" s="204">
        <f t="shared" si="104"/>
        <v>119353.37953433841</v>
      </c>
      <c r="CT66" s="204">
        <f t="shared" si="104"/>
        <v>128701.45386860507</v>
      </c>
      <c r="CU66" s="204">
        <f t="shared" si="104"/>
        <v>138049.52820287173</v>
      </c>
      <c r="CV66" s="204">
        <f t="shared" si="104"/>
        <v>147397.60253713839</v>
      </c>
      <c r="CW66" s="204">
        <f t="shared" si="104"/>
        <v>155076.58328783835</v>
      </c>
      <c r="CX66" s="204">
        <f t="shared" si="104"/>
        <v>157748.28328783836</v>
      </c>
      <c r="CY66" s="204">
        <f t="shared" si="104"/>
        <v>160419.98328783837</v>
      </c>
      <c r="CZ66" s="204">
        <f t="shared" si="104"/>
        <v>163091.68328783836</v>
      </c>
      <c r="DA66" s="204">
        <f t="shared" si="104"/>
        <v>165763.38328783837</v>
      </c>
    </row>
    <row r="67" spans="1:105" s="204" customFormat="1">
      <c r="A67" s="204" t="str">
        <f>Income!A81</f>
        <v>Self - employment</v>
      </c>
      <c r="F67" s="204">
        <f t="shared" ref="F67:BQ67" si="105">IF(F$22&lt;=$E$24,IF(F$22&lt;=$D$24,IF(F$22&lt;=$C$24,IF(F$22&lt;=$B$24,IF(F11=0,0,IF($B33+($B$24-F$22)*F50&lt;0,0,$B33+($B$24-F$22)*F50)),$B33+(F$22-$B$24)*F50),$C33+(F$22-$C$24)*F50),$D33+(F$22-$D$24)*F50),IF($E33+(F$22-$E$24)*F50&lt;0,0,$E33+(F$22-$E$24)*F50))</f>
        <v>0</v>
      </c>
      <c r="G67" s="204">
        <f t="shared" si="105"/>
        <v>0</v>
      </c>
      <c r="H67" s="204">
        <f t="shared" si="105"/>
        <v>0</v>
      </c>
      <c r="I67" s="204">
        <f t="shared" si="105"/>
        <v>0</v>
      </c>
      <c r="J67" s="204">
        <f t="shared" si="105"/>
        <v>0</v>
      </c>
      <c r="K67" s="204">
        <f t="shared" si="105"/>
        <v>0</v>
      </c>
      <c r="L67" s="204">
        <f t="shared" si="97"/>
        <v>0</v>
      </c>
      <c r="M67" s="204">
        <f t="shared" si="105"/>
        <v>0</v>
      </c>
      <c r="N67" s="204">
        <f t="shared" si="105"/>
        <v>0</v>
      </c>
      <c r="O67" s="204">
        <f t="shared" si="105"/>
        <v>0</v>
      </c>
      <c r="P67" s="204">
        <f t="shared" si="105"/>
        <v>0</v>
      </c>
      <c r="Q67" s="204">
        <f t="shared" si="105"/>
        <v>0</v>
      </c>
      <c r="R67" s="204">
        <f t="shared" si="105"/>
        <v>0</v>
      </c>
      <c r="S67" s="204">
        <f t="shared" si="105"/>
        <v>0</v>
      </c>
      <c r="T67" s="204">
        <f t="shared" si="105"/>
        <v>0</v>
      </c>
      <c r="U67" s="204">
        <f t="shared" si="105"/>
        <v>0</v>
      </c>
      <c r="V67" s="204">
        <f t="shared" si="105"/>
        <v>0</v>
      </c>
      <c r="W67" s="204">
        <f t="shared" si="105"/>
        <v>0</v>
      </c>
      <c r="X67" s="204">
        <f t="shared" si="105"/>
        <v>0</v>
      </c>
      <c r="Y67" s="204">
        <f t="shared" si="105"/>
        <v>0</v>
      </c>
      <c r="Z67" s="204">
        <f t="shared" si="105"/>
        <v>0</v>
      </c>
      <c r="AA67" s="204">
        <f t="shared" si="105"/>
        <v>0</v>
      </c>
      <c r="AB67" s="204">
        <f t="shared" si="105"/>
        <v>0</v>
      </c>
      <c r="AC67" s="204">
        <f t="shared" si="105"/>
        <v>0</v>
      </c>
      <c r="AD67" s="204">
        <f t="shared" si="105"/>
        <v>0</v>
      </c>
      <c r="AE67" s="204">
        <f t="shared" si="105"/>
        <v>0</v>
      </c>
      <c r="AF67" s="204">
        <f t="shared" si="105"/>
        <v>0</v>
      </c>
      <c r="AG67" s="204">
        <f t="shared" si="105"/>
        <v>0</v>
      </c>
      <c r="AH67" s="204">
        <f t="shared" si="105"/>
        <v>0</v>
      </c>
      <c r="AI67" s="204">
        <f t="shared" si="105"/>
        <v>0</v>
      </c>
      <c r="AJ67" s="204">
        <f t="shared" si="105"/>
        <v>0</v>
      </c>
      <c r="AK67" s="204">
        <f t="shared" si="105"/>
        <v>0</v>
      </c>
      <c r="AL67" s="204">
        <f t="shared" si="105"/>
        <v>0</v>
      </c>
      <c r="AM67" s="204">
        <f t="shared" si="105"/>
        <v>0</v>
      </c>
      <c r="AN67" s="204">
        <f t="shared" si="105"/>
        <v>0</v>
      </c>
      <c r="AO67" s="204">
        <f t="shared" si="105"/>
        <v>0</v>
      </c>
      <c r="AP67" s="204">
        <f t="shared" si="105"/>
        <v>0</v>
      </c>
      <c r="AQ67" s="204">
        <f t="shared" si="105"/>
        <v>0</v>
      </c>
      <c r="AR67" s="204">
        <f t="shared" si="105"/>
        <v>0</v>
      </c>
      <c r="AS67" s="204">
        <f t="shared" si="105"/>
        <v>0</v>
      </c>
      <c r="AT67" s="204">
        <f t="shared" si="105"/>
        <v>0</v>
      </c>
      <c r="AU67" s="204">
        <f t="shared" si="105"/>
        <v>0</v>
      </c>
      <c r="AV67" s="204">
        <f t="shared" si="105"/>
        <v>0</v>
      </c>
      <c r="AW67" s="204">
        <f t="shared" si="105"/>
        <v>0</v>
      </c>
      <c r="AX67" s="204">
        <f t="shared" si="105"/>
        <v>0</v>
      </c>
      <c r="AY67" s="204">
        <f t="shared" si="105"/>
        <v>0</v>
      </c>
      <c r="AZ67" s="204">
        <f t="shared" si="105"/>
        <v>0</v>
      </c>
      <c r="BA67" s="204">
        <f t="shared" si="105"/>
        <v>0</v>
      </c>
      <c r="BB67" s="204">
        <f t="shared" si="105"/>
        <v>0</v>
      </c>
      <c r="BC67" s="204">
        <f t="shared" si="105"/>
        <v>0</v>
      </c>
      <c r="BD67" s="204">
        <f t="shared" si="105"/>
        <v>0</v>
      </c>
      <c r="BE67" s="204">
        <f t="shared" si="105"/>
        <v>0</v>
      </c>
      <c r="BF67" s="204">
        <f t="shared" si="105"/>
        <v>0</v>
      </c>
      <c r="BG67" s="204">
        <f t="shared" si="105"/>
        <v>0</v>
      </c>
      <c r="BH67" s="204">
        <f t="shared" si="105"/>
        <v>0</v>
      </c>
      <c r="BI67" s="204">
        <f t="shared" si="105"/>
        <v>0</v>
      </c>
      <c r="BJ67" s="204">
        <f t="shared" si="105"/>
        <v>0</v>
      </c>
      <c r="BK67" s="204">
        <f t="shared" si="105"/>
        <v>0</v>
      </c>
      <c r="BL67" s="204">
        <f t="shared" si="105"/>
        <v>0</v>
      </c>
      <c r="BM67" s="204">
        <f t="shared" si="105"/>
        <v>0</v>
      </c>
      <c r="BN67" s="204">
        <f t="shared" si="105"/>
        <v>0</v>
      </c>
      <c r="BO67" s="204">
        <f t="shared" si="105"/>
        <v>0</v>
      </c>
      <c r="BP67" s="204">
        <f t="shared" si="105"/>
        <v>0</v>
      </c>
      <c r="BQ67" s="204">
        <f t="shared" si="105"/>
        <v>0</v>
      </c>
      <c r="BR67" s="204">
        <f t="shared" ref="BR67:DA67" si="106">IF(BR$22&lt;=$E$24,IF(BR$22&lt;=$D$24,IF(BR$22&lt;=$C$24,IF(BR$22&lt;=$B$24,IF(BR11=0,0,IF($B33+($B$24-BR$22)*BR50&lt;0,0,$B33+($B$24-BR$22)*BR50)),$B33+(BR$22-$B$24)*BR50),$C33+(BR$22-$C$24)*BR50),$D33+(BR$22-$D$24)*BR50),IF($E33+(BR$22-$E$24)*BR50&lt;0,0,$E33+(BR$22-$E$24)*BR50))</f>
        <v>0</v>
      </c>
      <c r="BS67" s="204">
        <f t="shared" si="106"/>
        <v>0</v>
      </c>
      <c r="BT67" s="204">
        <f t="shared" si="106"/>
        <v>0</v>
      </c>
      <c r="BU67" s="204">
        <f t="shared" si="106"/>
        <v>0</v>
      </c>
      <c r="BV67" s="204">
        <f t="shared" si="106"/>
        <v>0</v>
      </c>
      <c r="BW67" s="204">
        <f t="shared" si="106"/>
        <v>0</v>
      </c>
      <c r="BX67" s="204">
        <f t="shared" si="106"/>
        <v>0</v>
      </c>
      <c r="BY67" s="204">
        <f t="shared" si="106"/>
        <v>0</v>
      </c>
      <c r="BZ67" s="204">
        <f t="shared" si="106"/>
        <v>0</v>
      </c>
      <c r="CA67" s="204">
        <f t="shared" si="106"/>
        <v>0</v>
      </c>
      <c r="CB67" s="204">
        <f t="shared" si="106"/>
        <v>0</v>
      </c>
      <c r="CC67" s="204">
        <f t="shared" si="106"/>
        <v>0</v>
      </c>
      <c r="CD67" s="204">
        <f t="shared" si="106"/>
        <v>0</v>
      </c>
      <c r="CE67" s="204">
        <f t="shared" si="106"/>
        <v>0</v>
      </c>
      <c r="CF67" s="204">
        <f t="shared" si="106"/>
        <v>0</v>
      </c>
      <c r="CG67" s="204">
        <f t="shared" si="106"/>
        <v>0</v>
      </c>
      <c r="CH67" s="204">
        <f t="shared" si="106"/>
        <v>0</v>
      </c>
      <c r="CI67" s="204">
        <f t="shared" si="106"/>
        <v>0</v>
      </c>
      <c r="CJ67" s="204">
        <f t="shared" si="106"/>
        <v>0</v>
      </c>
      <c r="CK67" s="204">
        <f t="shared" si="106"/>
        <v>0</v>
      </c>
      <c r="CL67" s="204">
        <f t="shared" si="106"/>
        <v>0</v>
      </c>
      <c r="CM67" s="204">
        <f t="shared" si="106"/>
        <v>0</v>
      </c>
      <c r="CN67" s="204">
        <f t="shared" si="106"/>
        <v>0</v>
      </c>
      <c r="CO67" s="204">
        <f t="shared" si="106"/>
        <v>0</v>
      </c>
      <c r="CP67" s="204">
        <f t="shared" si="106"/>
        <v>0</v>
      </c>
      <c r="CQ67" s="204">
        <f t="shared" si="106"/>
        <v>0</v>
      </c>
      <c r="CR67" s="204">
        <f t="shared" si="106"/>
        <v>0</v>
      </c>
      <c r="CS67" s="204">
        <f t="shared" si="106"/>
        <v>0</v>
      </c>
      <c r="CT67" s="204">
        <f t="shared" si="106"/>
        <v>0</v>
      </c>
      <c r="CU67" s="204">
        <f t="shared" si="106"/>
        <v>0</v>
      </c>
      <c r="CV67" s="204">
        <f t="shared" si="106"/>
        <v>0</v>
      </c>
      <c r="CW67" s="204">
        <f t="shared" si="106"/>
        <v>207.38249999999999</v>
      </c>
      <c r="CX67" s="204">
        <f t="shared" si="106"/>
        <v>1036.9124999999999</v>
      </c>
      <c r="CY67" s="204">
        <f t="shared" si="106"/>
        <v>1866.4424999999999</v>
      </c>
      <c r="CZ67" s="204">
        <f t="shared" si="106"/>
        <v>2695.9724999999999</v>
      </c>
      <c r="DA67" s="204">
        <f t="shared" si="106"/>
        <v>3525.5025000000001</v>
      </c>
    </row>
    <row r="68" spans="1:105" s="204" customFormat="1">
      <c r="A68" s="204" t="str">
        <f>Income!A82</f>
        <v>Small business/petty trading</v>
      </c>
      <c r="F68" s="204">
        <f t="shared" ref="F68:BQ68" si="107">IF(F$22&lt;=$E$24,IF(F$22&lt;=$D$24,IF(F$22&lt;=$C$24,IF(F$22&lt;=$B$24,IF(F12=0,0,IF($B34+($B$24-F$22)*F51&lt;0,0,$B34+($B$24-F$22)*F51)),$B34+(F$22-$B$24)*F51),$C34+(F$22-$C$24)*F51),$D34+(F$22-$D$24)*F51),IF($E34+(F$22-$E$24)*F51&lt;0,0,$E34+(F$22-$E$24)*F51))</f>
        <v>1575.0156205517019</v>
      </c>
      <c r="G68" s="204">
        <f t="shared" si="107"/>
        <v>1575.0156205517019</v>
      </c>
      <c r="H68" s="204">
        <f t="shared" si="107"/>
        <v>1575.0156205517019</v>
      </c>
      <c r="I68" s="204">
        <f t="shared" si="107"/>
        <v>1575.0156205517019</v>
      </c>
      <c r="J68" s="204">
        <f t="shared" si="107"/>
        <v>1575.0156205517019</v>
      </c>
      <c r="K68" s="204">
        <f t="shared" si="107"/>
        <v>1575.0156205517019</v>
      </c>
      <c r="L68" s="204">
        <f t="shared" si="97"/>
        <v>1575.0156205517019</v>
      </c>
      <c r="M68" s="204">
        <f t="shared" si="107"/>
        <v>1575.0156205517019</v>
      </c>
      <c r="N68" s="204">
        <f t="shared" si="107"/>
        <v>1575.0156205517019</v>
      </c>
      <c r="O68" s="204">
        <f t="shared" si="107"/>
        <v>1575.0156205517019</v>
      </c>
      <c r="P68" s="204">
        <f t="shared" si="107"/>
        <v>1575.0156205517019</v>
      </c>
      <c r="Q68" s="204">
        <f t="shared" si="107"/>
        <v>1575.0156205517019</v>
      </c>
      <c r="R68" s="204">
        <f t="shared" si="107"/>
        <v>1575.0156205517019</v>
      </c>
      <c r="S68" s="204">
        <f t="shared" si="107"/>
        <v>1575.0156205517019</v>
      </c>
      <c r="T68" s="204">
        <f t="shared" si="107"/>
        <v>1575.0156205517019</v>
      </c>
      <c r="U68" s="204">
        <f t="shared" si="107"/>
        <v>1575.0156205517019</v>
      </c>
      <c r="V68" s="204">
        <f t="shared" si="107"/>
        <v>1575.0156205517019</v>
      </c>
      <c r="W68" s="204">
        <f t="shared" si="107"/>
        <v>1575.0156205517019</v>
      </c>
      <c r="X68" s="204">
        <f t="shared" si="107"/>
        <v>1575.0156205517019</v>
      </c>
      <c r="Y68" s="204">
        <f t="shared" si="107"/>
        <v>1575.0156205517019</v>
      </c>
      <c r="Z68" s="204">
        <f t="shared" si="107"/>
        <v>1572.0939306163177</v>
      </c>
      <c r="AA68" s="204">
        <f t="shared" si="107"/>
        <v>1560.4071708747811</v>
      </c>
      <c r="AB68" s="204">
        <f t="shared" si="107"/>
        <v>1548.7204111332446</v>
      </c>
      <c r="AC68" s="204">
        <f t="shared" si="107"/>
        <v>1537.033651391708</v>
      </c>
      <c r="AD68" s="204">
        <f t="shared" si="107"/>
        <v>1525.3468916501713</v>
      </c>
      <c r="AE68" s="204">
        <f t="shared" si="107"/>
        <v>1513.6601319086346</v>
      </c>
      <c r="AF68" s="204">
        <f t="shared" si="107"/>
        <v>1501.9733721670982</v>
      </c>
      <c r="AG68" s="204">
        <f t="shared" si="107"/>
        <v>1490.2866124255615</v>
      </c>
      <c r="AH68" s="204">
        <f t="shared" si="107"/>
        <v>1478.5998526840249</v>
      </c>
      <c r="AI68" s="204">
        <f t="shared" si="107"/>
        <v>1466.9130929424882</v>
      </c>
      <c r="AJ68" s="204">
        <f t="shared" si="107"/>
        <v>1455.2263332009518</v>
      </c>
      <c r="AK68" s="204">
        <f t="shared" si="107"/>
        <v>1443.5395734594151</v>
      </c>
      <c r="AL68" s="204">
        <f t="shared" si="107"/>
        <v>1431.8528137178785</v>
      </c>
      <c r="AM68" s="204">
        <f t="shared" si="107"/>
        <v>1420.166053976342</v>
      </c>
      <c r="AN68" s="204">
        <f t="shared" si="107"/>
        <v>1408.4792942348054</v>
      </c>
      <c r="AO68" s="204">
        <f t="shared" si="107"/>
        <v>1396.7925344932687</v>
      </c>
      <c r="AP68" s="204">
        <f t="shared" si="107"/>
        <v>1385.105774751732</v>
      </c>
      <c r="AQ68" s="204">
        <f t="shared" si="107"/>
        <v>1373.4190150101956</v>
      </c>
      <c r="AR68" s="204">
        <f t="shared" si="107"/>
        <v>1361.7322552686589</v>
      </c>
      <c r="AS68" s="204">
        <f t="shared" si="107"/>
        <v>1350.0454955271223</v>
      </c>
      <c r="AT68" s="204">
        <f t="shared" si="107"/>
        <v>1338.3587357855858</v>
      </c>
      <c r="AU68" s="204">
        <f t="shared" si="107"/>
        <v>1326.6719760440492</v>
      </c>
      <c r="AV68" s="204">
        <f t="shared" si="107"/>
        <v>1314.9852163025125</v>
      </c>
      <c r="AW68" s="204">
        <f t="shared" si="107"/>
        <v>1303.2984565609759</v>
      </c>
      <c r="AX68" s="204">
        <f t="shared" si="107"/>
        <v>1291.6116968194394</v>
      </c>
      <c r="AY68" s="204">
        <f t="shared" si="107"/>
        <v>1279.9249370779028</v>
      </c>
      <c r="AZ68" s="204">
        <f t="shared" si="107"/>
        <v>1268.2381773363661</v>
      </c>
      <c r="BA68" s="204">
        <f t="shared" si="107"/>
        <v>1256.5514175948297</v>
      </c>
      <c r="BB68" s="204">
        <f t="shared" si="107"/>
        <v>1244.864657853293</v>
      </c>
      <c r="BC68" s="204">
        <f t="shared" si="107"/>
        <v>1233.1778981117563</v>
      </c>
      <c r="BD68" s="204">
        <f t="shared" si="107"/>
        <v>1221.4911383702197</v>
      </c>
      <c r="BE68" s="204">
        <f t="shared" si="107"/>
        <v>1209.804378628683</v>
      </c>
      <c r="BF68" s="204">
        <f t="shared" si="107"/>
        <v>1198.1176188871466</v>
      </c>
      <c r="BG68" s="204">
        <f t="shared" si="107"/>
        <v>1186.4308591456099</v>
      </c>
      <c r="BH68" s="204">
        <f t="shared" si="107"/>
        <v>1174.7440994040733</v>
      </c>
      <c r="BI68" s="204">
        <f t="shared" si="107"/>
        <v>1163.0573396625368</v>
      </c>
      <c r="BJ68" s="204">
        <f t="shared" si="107"/>
        <v>1151.3705799210002</v>
      </c>
      <c r="BK68" s="204">
        <f t="shared" si="107"/>
        <v>1113.9954232860475</v>
      </c>
      <c r="BL68" s="204">
        <f t="shared" si="107"/>
        <v>1068.0574676866229</v>
      </c>
      <c r="BM68" s="204">
        <f t="shared" si="107"/>
        <v>1022.1195120871982</v>
      </c>
      <c r="BN68" s="204">
        <f t="shared" si="107"/>
        <v>976.18155648777361</v>
      </c>
      <c r="BO68" s="204">
        <f t="shared" si="107"/>
        <v>930.24360088834896</v>
      </c>
      <c r="BP68" s="204">
        <f t="shared" si="107"/>
        <v>884.30564528892432</v>
      </c>
      <c r="BQ68" s="204">
        <f t="shared" si="107"/>
        <v>838.36768968949968</v>
      </c>
      <c r="BR68" s="204">
        <f t="shared" ref="BR68:DA68" si="108">IF(BR$22&lt;=$E$24,IF(BR$22&lt;=$D$24,IF(BR$22&lt;=$C$24,IF(BR$22&lt;=$B$24,IF(BR12=0,0,IF($B34+($B$24-BR$22)*BR51&lt;0,0,$B34+($B$24-BR$22)*BR51)),$B34+(BR$22-$B$24)*BR51),$C34+(BR$22-$C$24)*BR51),$D34+(BR$22-$D$24)*BR51),IF($E34+(BR$22-$E$24)*BR51&lt;0,0,$E34+(BR$22-$E$24)*BR51))</f>
        <v>792.42973409007504</v>
      </c>
      <c r="BS68" s="204">
        <f t="shared" si="108"/>
        <v>746.4917784906504</v>
      </c>
      <c r="BT68" s="204">
        <f t="shared" si="108"/>
        <v>700.55382289122576</v>
      </c>
      <c r="BU68" s="204">
        <f t="shared" si="108"/>
        <v>654.61586729180112</v>
      </c>
      <c r="BV68" s="204">
        <f t="shared" si="108"/>
        <v>608.67791169237648</v>
      </c>
      <c r="BW68" s="204">
        <f t="shared" si="108"/>
        <v>562.73995609295184</v>
      </c>
      <c r="BX68" s="204">
        <f t="shared" si="108"/>
        <v>516.8020004935272</v>
      </c>
      <c r="BY68" s="204">
        <f t="shared" si="108"/>
        <v>470.86404489410256</v>
      </c>
      <c r="BZ68" s="204">
        <f t="shared" si="108"/>
        <v>424.92608929467792</v>
      </c>
      <c r="CA68" s="204">
        <f t="shared" si="108"/>
        <v>378.98813369525328</v>
      </c>
      <c r="CB68" s="204">
        <f t="shared" si="108"/>
        <v>333.05017809582864</v>
      </c>
      <c r="CC68" s="204">
        <f t="shared" si="108"/>
        <v>287.112222496404</v>
      </c>
      <c r="CD68" s="204">
        <f t="shared" si="108"/>
        <v>241.17426689697936</v>
      </c>
      <c r="CE68" s="204">
        <f t="shared" si="108"/>
        <v>195.23631129755472</v>
      </c>
      <c r="CF68" s="204">
        <f t="shared" si="108"/>
        <v>149.29835569813008</v>
      </c>
      <c r="CG68" s="204">
        <f t="shared" si="108"/>
        <v>103.36040009870544</v>
      </c>
      <c r="CH68" s="204">
        <f t="shared" si="108"/>
        <v>57.4224444992808</v>
      </c>
      <c r="CI68" s="204">
        <f t="shared" si="108"/>
        <v>11.48448889985616</v>
      </c>
      <c r="CJ68" s="204">
        <f t="shared" si="108"/>
        <v>3386.7715729497031</v>
      </c>
      <c r="CK68" s="204">
        <f t="shared" si="108"/>
        <v>7902.4670035493073</v>
      </c>
      <c r="CL68" s="204">
        <f t="shared" si="108"/>
        <v>12418.162434148911</v>
      </c>
      <c r="CM68" s="204">
        <f t="shared" si="108"/>
        <v>16933.857864748516</v>
      </c>
      <c r="CN68" s="204">
        <f t="shared" si="108"/>
        <v>21449.55329534812</v>
      </c>
      <c r="CO68" s="204">
        <f t="shared" si="108"/>
        <v>25965.248725947724</v>
      </c>
      <c r="CP68" s="204">
        <f t="shared" si="108"/>
        <v>30480.944156547328</v>
      </c>
      <c r="CQ68" s="204">
        <f t="shared" si="108"/>
        <v>34996.639587146929</v>
      </c>
      <c r="CR68" s="204">
        <f t="shared" si="108"/>
        <v>39512.335017746533</v>
      </c>
      <c r="CS68" s="204">
        <f t="shared" si="108"/>
        <v>44028.030448346137</v>
      </c>
      <c r="CT68" s="204">
        <f t="shared" si="108"/>
        <v>48543.725878945741</v>
      </c>
      <c r="CU68" s="204">
        <f t="shared" si="108"/>
        <v>53059.421309545345</v>
      </c>
      <c r="CV68" s="204">
        <f t="shared" si="108"/>
        <v>57575.116740144949</v>
      </c>
      <c r="CW68" s="204">
        <f t="shared" si="108"/>
        <v>62512.763313094656</v>
      </c>
      <c r="CX68" s="204">
        <f t="shared" si="108"/>
        <v>68716.263313094649</v>
      </c>
      <c r="CY68" s="204">
        <f t="shared" si="108"/>
        <v>74919.763313094649</v>
      </c>
      <c r="CZ68" s="204">
        <f t="shared" si="108"/>
        <v>81123.263313094649</v>
      </c>
      <c r="DA68" s="204">
        <f t="shared" si="108"/>
        <v>87326.763313094649</v>
      </c>
    </row>
    <row r="69" spans="1:105" s="204" customFormat="1">
      <c r="A69" s="204" t="str">
        <f>Income!A83</f>
        <v>Food transfer - official</v>
      </c>
      <c r="F69" s="204">
        <f t="shared" ref="F69:BQ70" si="109">IF(F$22&lt;=$E$24,IF(F$22&lt;=$D$24,IF(F$22&lt;=$C$24,IF(F$22&lt;=$B$24,IF(F13=0,0,IF($B35+($B$24-F$22)*F52&lt;0,0,$B35+($B$24-F$22)*F52)),$B35+(F$22-$B$24)*F52),$C35+(F$22-$C$24)*F52),$D35+(F$22-$D$24)*F52),IF($E35+(F$22-$E$24)*F52&lt;0,0,$E35+(F$22-$E$24)*F52))</f>
        <v>2542.6668466728388</v>
      </c>
      <c r="G69" s="204">
        <f t="shared" si="109"/>
        <v>2542.6668466728388</v>
      </c>
      <c r="H69" s="204">
        <f t="shared" si="109"/>
        <v>2542.6668466728388</v>
      </c>
      <c r="I69" s="204">
        <f t="shared" si="109"/>
        <v>2542.6668466728388</v>
      </c>
      <c r="J69" s="204">
        <f t="shared" si="109"/>
        <v>2542.6668466728388</v>
      </c>
      <c r="K69" s="204">
        <f t="shared" si="109"/>
        <v>2542.6668466728388</v>
      </c>
      <c r="L69" s="204">
        <f t="shared" si="97"/>
        <v>2542.6668466728388</v>
      </c>
      <c r="M69" s="204">
        <f t="shared" si="109"/>
        <v>2542.6668466728388</v>
      </c>
      <c r="N69" s="204">
        <f t="shared" si="109"/>
        <v>2542.6668466728388</v>
      </c>
      <c r="O69" s="204">
        <f t="shared" si="109"/>
        <v>2542.6668466728388</v>
      </c>
      <c r="P69" s="204">
        <f t="shared" si="109"/>
        <v>2542.6668466728388</v>
      </c>
      <c r="Q69" s="204">
        <f t="shared" si="109"/>
        <v>2542.6668466728388</v>
      </c>
      <c r="R69" s="204">
        <f t="shared" si="109"/>
        <v>2542.6668466728388</v>
      </c>
      <c r="S69" s="204">
        <f t="shared" si="109"/>
        <v>2542.6668466728388</v>
      </c>
      <c r="T69" s="204">
        <f t="shared" si="109"/>
        <v>2542.6668466728388</v>
      </c>
      <c r="U69" s="204">
        <f t="shared" si="109"/>
        <v>2542.6668466728388</v>
      </c>
      <c r="V69" s="204">
        <f t="shared" si="109"/>
        <v>2542.6668466728388</v>
      </c>
      <c r="W69" s="204">
        <f t="shared" si="109"/>
        <v>2542.6668466728388</v>
      </c>
      <c r="X69" s="204">
        <f t="shared" si="109"/>
        <v>2542.6668466728388</v>
      </c>
      <c r="Y69" s="204">
        <f t="shared" si="109"/>
        <v>2542.6668466728388</v>
      </c>
      <c r="Z69" s="204">
        <f t="shared" si="109"/>
        <v>2543.0091212340621</v>
      </c>
      <c r="AA69" s="204">
        <f t="shared" si="109"/>
        <v>2544.3782194789546</v>
      </c>
      <c r="AB69" s="204">
        <f t="shared" si="109"/>
        <v>2545.7473177238476</v>
      </c>
      <c r="AC69" s="204">
        <f t="shared" si="109"/>
        <v>2547.1164159687405</v>
      </c>
      <c r="AD69" s="204">
        <f t="shared" si="109"/>
        <v>2548.4855142136335</v>
      </c>
      <c r="AE69" s="204">
        <f t="shared" si="109"/>
        <v>2549.8546124585259</v>
      </c>
      <c r="AF69" s="204">
        <f t="shared" si="109"/>
        <v>2551.2237107034189</v>
      </c>
      <c r="AG69" s="204">
        <f t="shared" si="109"/>
        <v>2552.5928089483118</v>
      </c>
      <c r="AH69" s="204">
        <f t="shared" si="109"/>
        <v>2553.9619071932048</v>
      </c>
      <c r="AI69" s="204">
        <f t="shared" si="109"/>
        <v>2555.3310054380972</v>
      </c>
      <c r="AJ69" s="204">
        <f t="shared" si="109"/>
        <v>2556.7001036829902</v>
      </c>
      <c r="AK69" s="204">
        <f t="shared" si="109"/>
        <v>2558.0692019278831</v>
      </c>
      <c r="AL69" s="204">
        <f t="shared" si="109"/>
        <v>2559.4383001727761</v>
      </c>
      <c r="AM69" s="204">
        <f t="shared" si="109"/>
        <v>2560.8073984176685</v>
      </c>
      <c r="AN69" s="204">
        <f t="shared" si="109"/>
        <v>2562.1764966625615</v>
      </c>
      <c r="AO69" s="204">
        <f t="shared" si="109"/>
        <v>2563.5455949074544</v>
      </c>
      <c r="AP69" s="204">
        <f t="shared" si="109"/>
        <v>2564.9146931523474</v>
      </c>
      <c r="AQ69" s="204">
        <f t="shared" si="109"/>
        <v>2566.2837913972398</v>
      </c>
      <c r="AR69" s="204">
        <f t="shared" si="109"/>
        <v>2567.6528896421328</v>
      </c>
      <c r="AS69" s="204">
        <f t="shared" si="109"/>
        <v>2569.0219878870257</v>
      </c>
      <c r="AT69" s="204">
        <f t="shared" si="109"/>
        <v>2570.3910861319182</v>
      </c>
      <c r="AU69" s="204">
        <f t="shared" si="109"/>
        <v>2571.7601843768111</v>
      </c>
      <c r="AV69" s="204">
        <f t="shared" si="109"/>
        <v>2573.1292826217041</v>
      </c>
      <c r="AW69" s="204">
        <f t="shared" si="109"/>
        <v>2574.498380866597</v>
      </c>
      <c r="AX69" s="204">
        <f t="shared" si="109"/>
        <v>2575.8674791114895</v>
      </c>
      <c r="AY69" s="204">
        <f t="shared" si="109"/>
        <v>2577.2365773563824</v>
      </c>
      <c r="AZ69" s="204">
        <f t="shared" si="109"/>
        <v>2578.6056756012754</v>
      </c>
      <c r="BA69" s="204">
        <f t="shared" si="109"/>
        <v>2579.9747738461683</v>
      </c>
      <c r="BB69" s="204">
        <f t="shared" si="109"/>
        <v>2581.3438720910608</v>
      </c>
      <c r="BC69" s="204">
        <f t="shared" si="109"/>
        <v>2582.7129703359537</v>
      </c>
      <c r="BD69" s="204">
        <f t="shared" si="109"/>
        <v>2584.0820685808467</v>
      </c>
      <c r="BE69" s="204">
        <f t="shared" si="109"/>
        <v>2585.4511668257396</v>
      </c>
      <c r="BF69" s="204">
        <f t="shared" si="109"/>
        <v>2586.8202650706321</v>
      </c>
      <c r="BG69" s="204">
        <f t="shared" si="109"/>
        <v>2588.189363315525</v>
      </c>
      <c r="BH69" s="204">
        <f t="shared" si="109"/>
        <v>2589.558461560418</v>
      </c>
      <c r="BI69" s="204">
        <f t="shared" si="109"/>
        <v>2590.9275598053109</v>
      </c>
      <c r="BJ69" s="204">
        <f t="shared" si="109"/>
        <v>2592.2966580502034</v>
      </c>
      <c r="BK69" s="204">
        <f t="shared" si="109"/>
        <v>2584.0818501819072</v>
      </c>
      <c r="BL69" s="204">
        <f t="shared" si="109"/>
        <v>2572.6724069425477</v>
      </c>
      <c r="BM69" s="204">
        <f t="shared" si="109"/>
        <v>2561.2629637031887</v>
      </c>
      <c r="BN69" s="204">
        <f t="shared" si="109"/>
        <v>2549.8535204638292</v>
      </c>
      <c r="BO69" s="204">
        <f t="shared" si="109"/>
        <v>2538.4440772244698</v>
      </c>
      <c r="BP69" s="204">
        <f t="shared" si="109"/>
        <v>2527.0346339851103</v>
      </c>
      <c r="BQ69" s="204">
        <f t="shared" si="109"/>
        <v>2515.6251907457508</v>
      </c>
      <c r="BR69" s="204">
        <f t="shared" ref="BR69:DA69" si="110">IF(BR$22&lt;=$E$24,IF(BR$22&lt;=$D$24,IF(BR$22&lt;=$C$24,IF(BR$22&lt;=$B$24,IF(BR13=0,0,IF($B35+($B$24-BR$22)*BR52&lt;0,0,$B35+($B$24-BR$22)*BR52)),$B35+(BR$22-$B$24)*BR52),$C35+(BR$22-$C$24)*BR52),$D35+(BR$22-$D$24)*BR52),IF($E35+(BR$22-$E$24)*BR52&lt;0,0,$E35+(BR$22-$E$24)*BR52))</f>
        <v>2504.2157475063918</v>
      </c>
      <c r="BS69" s="204">
        <f t="shared" si="110"/>
        <v>2492.8063042670324</v>
      </c>
      <c r="BT69" s="204">
        <f t="shared" si="110"/>
        <v>2481.3968610276729</v>
      </c>
      <c r="BU69" s="204">
        <f t="shared" si="110"/>
        <v>2469.9874177883135</v>
      </c>
      <c r="BV69" s="204">
        <f t="shared" si="110"/>
        <v>2458.577974548954</v>
      </c>
      <c r="BW69" s="204">
        <f t="shared" si="110"/>
        <v>2447.168531309595</v>
      </c>
      <c r="BX69" s="204">
        <f t="shared" si="110"/>
        <v>2435.7590880702355</v>
      </c>
      <c r="BY69" s="204">
        <f t="shared" si="110"/>
        <v>2424.3496448308761</v>
      </c>
      <c r="BZ69" s="204">
        <f t="shared" si="110"/>
        <v>2412.9402015915166</v>
      </c>
      <c r="CA69" s="204">
        <f t="shared" si="110"/>
        <v>2401.5307583521571</v>
      </c>
      <c r="CB69" s="204">
        <f t="shared" si="110"/>
        <v>2390.1213151127981</v>
      </c>
      <c r="CC69" s="204">
        <f t="shared" si="110"/>
        <v>2378.7118718734387</v>
      </c>
      <c r="CD69" s="204">
        <f t="shared" si="110"/>
        <v>2367.3024286340792</v>
      </c>
      <c r="CE69" s="204">
        <f t="shared" si="110"/>
        <v>2355.8929853947197</v>
      </c>
      <c r="CF69" s="204">
        <f t="shared" si="110"/>
        <v>2344.4835421553603</v>
      </c>
      <c r="CG69" s="204">
        <f t="shared" si="110"/>
        <v>2333.0740989160013</v>
      </c>
      <c r="CH69" s="204">
        <f t="shared" si="110"/>
        <v>2321.6646556766418</v>
      </c>
      <c r="CI69" s="204">
        <f t="shared" si="110"/>
        <v>2310.2552124372824</v>
      </c>
      <c r="CJ69" s="204">
        <f t="shared" si="110"/>
        <v>2201.6558144748296</v>
      </c>
      <c r="CK69" s="204">
        <f t="shared" si="110"/>
        <v>2060.6597649380128</v>
      </c>
      <c r="CL69" s="204">
        <f t="shared" si="110"/>
        <v>1919.6637154011955</v>
      </c>
      <c r="CM69" s="204">
        <f t="shared" si="110"/>
        <v>1778.6676658643787</v>
      </c>
      <c r="CN69" s="204">
        <f t="shared" si="110"/>
        <v>1637.6716163275617</v>
      </c>
      <c r="CO69" s="204">
        <f t="shared" si="110"/>
        <v>1496.6755667907446</v>
      </c>
      <c r="CP69" s="204">
        <f t="shared" si="110"/>
        <v>1355.6795172539275</v>
      </c>
      <c r="CQ69" s="204">
        <f t="shared" si="110"/>
        <v>1214.6834677171105</v>
      </c>
      <c r="CR69" s="204">
        <f t="shared" si="110"/>
        <v>1073.6874181802934</v>
      </c>
      <c r="CS69" s="204">
        <f t="shared" si="110"/>
        <v>932.69136864347638</v>
      </c>
      <c r="CT69" s="204">
        <f t="shared" si="110"/>
        <v>791.69531910665955</v>
      </c>
      <c r="CU69" s="204">
        <f t="shared" si="110"/>
        <v>650.6992695698425</v>
      </c>
      <c r="CV69" s="204">
        <f t="shared" si="110"/>
        <v>509.70322003302545</v>
      </c>
      <c r="CW69" s="204">
        <f t="shared" si="110"/>
        <v>407.63868288041289</v>
      </c>
      <c r="CX69" s="204">
        <f t="shared" si="110"/>
        <v>422.3686828804129</v>
      </c>
      <c r="CY69" s="204">
        <f t="shared" si="110"/>
        <v>437.09868288041287</v>
      </c>
      <c r="CZ69" s="204">
        <f t="shared" si="110"/>
        <v>451.82868288041288</v>
      </c>
      <c r="DA69" s="204">
        <f t="shared" si="110"/>
        <v>466.5586828804129</v>
      </c>
    </row>
    <row r="70" spans="1:105" s="204" customFormat="1">
      <c r="A70" s="204" t="str">
        <f>Income!A85</f>
        <v>Cash transfer - official</v>
      </c>
      <c r="F70" s="204">
        <f t="shared" si="109"/>
        <v>23585.858917761736</v>
      </c>
      <c r="G70" s="204">
        <f t="shared" si="109"/>
        <v>23585.858917761736</v>
      </c>
      <c r="H70" s="204">
        <f t="shared" si="109"/>
        <v>23585.858917761736</v>
      </c>
      <c r="I70" s="204">
        <f t="shared" si="109"/>
        <v>23585.858917761736</v>
      </c>
      <c r="J70" s="204">
        <f t="shared" si="109"/>
        <v>23585.858917761736</v>
      </c>
      <c r="K70" s="204">
        <f t="shared" si="109"/>
        <v>23585.858917761736</v>
      </c>
      <c r="L70" s="204">
        <f t="shared" si="109"/>
        <v>23585.858917761736</v>
      </c>
      <c r="M70" s="204">
        <f t="shared" si="109"/>
        <v>23585.858917761736</v>
      </c>
      <c r="N70" s="204">
        <f t="shared" si="109"/>
        <v>23585.858917761736</v>
      </c>
      <c r="O70" s="204">
        <f t="shared" si="109"/>
        <v>23585.858917761736</v>
      </c>
      <c r="P70" s="204">
        <f t="shared" si="109"/>
        <v>23585.858917761736</v>
      </c>
      <c r="Q70" s="204">
        <f t="shared" si="109"/>
        <v>23585.858917761736</v>
      </c>
      <c r="R70" s="204">
        <f t="shared" si="109"/>
        <v>23585.858917761736</v>
      </c>
      <c r="S70" s="204">
        <f t="shared" si="109"/>
        <v>23585.858917761736</v>
      </c>
      <c r="T70" s="204">
        <f t="shared" si="109"/>
        <v>23585.858917761736</v>
      </c>
      <c r="U70" s="204">
        <f t="shared" si="109"/>
        <v>23585.858917761736</v>
      </c>
      <c r="V70" s="204">
        <f t="shared" si="109"/>
        <v>23585.858917761736</v>
      </c>
      <c r="W70" s="204">
        <f t="shared" si="109"/>
        <v>23585.858917761736</v>
      </c>
      <c r="X70" s="204">
        <f t="shared" si="109"/>
        <v>23585.858917761736</v>
      </c>
      <c r="Y70" s="204">
        <f t="shared" si="109"/>
        <v>23585.858917761736</v>
      </c>
      <c r="Z70" s="204">
        <f t="shared" si="109"/>
        <v>23638.499904309072</v>
      </c>
      <c r="AA70" s="204">
        <f t="shared" si="109"/>
        <v>23849.063850498409</v>
      </c>
      <c r="AB70" s="204">
        <f t="shared" si="109"/>
        <v>24059.62779668775</v>
      </c>
      <c r="AC70" s="204">
        <f t="shared" si="109"/>
        <v>24270.191742877087</v>
      </c>
      <c r="AD70" s="204">
        <f t="shared" si="109"/>
        <v>24480.755689066427</v>
      </c>
      <c r="AE70" s="204">
        <f t="shared" si="109"/>
        <v>24691.319635255768</v>
      </c>
      <c r="AF70" s="204">
        <f t="shared" si="109"/>
        <v>24901.883581445105</v>
      </c>
      <c r="AG70" s="204">
        <f t="shared" si="109"/>
        <v>25112.447527634446</v>
      </c>
      <c r="AH70" s="204">
        <f t="shared" si="109"/>
        <v>25323.011473823783</v>
      </c>
      <c r="AI70" s="204">
        <f t="shared" si="109"/>
        <v>25533.575420013123</v>
      </c>
      <c r="AJ70" s="204">
        <f t="shared" si="109"/>
        <v>25744.139366202464</v>
      </c>
      <c r="AK70" s="204">
        <f t="shared" si="109"/>
        <v>25954.703312391801</v>
      </c>
      <c r="AL70" s="204">
        <f t="shared" si="109"/>
        <v>26165.267258581142</v>
      </c>
      <c r="AM70" s="204">
        <f t="shared" si="109"/>
        <v>26375.831204770482</v>
      </c>
      <c r="AN70" s="204">
        <f t="shared" si="109"/>
        <v>26586.395150959819</v>
      </c>
      <c r="AO70" s="204">
        <f t="shared" si="109"/>
        <v>26796.95909714916</v>
      </c>
      <c r="AP70" s="204">
        <f t="shared" si="109"/>
        <v>27007.523043338497</v>
      </c>
      <c r="AQ70" s="204">
        <f t="shared" si="109"/>
        <v>27218.086989527837</v>
      </c>
      <c r="AR70" s="204">
        <f t="shared" si="109"/>
        <v>27428.650935717174</v>
      </c>
      <c r="AS70" s="204">
        <f t="shared" si="109"/>
        <v>27639.214881906515</v>
      </c>
      <c r="AT70" s="204">
        <f t="shared" si="109"/>
        <v>27849.778828095856</v>
      </c>
      <c r="AU70" s="204">
        <f t="shared" si="109"/>
        <v>28060.342774285193</v>
      </c>
      <c r="AV70" s="204">
        <f t="shared" si="109"/>
        <v>28270.906720474533</v>
      </c>
      <c r="AW70" s="204">
        <f t="shared" si="109"/>
        <v>28481.470666663874</v>
      </c>
      <c r="AX70" s="204">
        <f t="shared" si="109"/>
        <v>28692.034612853211</v>
      </c>
      <c r="AY70" s="204">
        <f t="shared" si="109"/>
        <v>28902.598559042552</v>
      </c>
      <c r="AZ70" s="204">
        <f t="shared" si="109"/>
        <v>29113.162505231889</v>
      </c>
      <c r="BA70" s="204">
        <f t="shared" si="109"/>
        <v>29323.726451421229</v>
      </c>
      <c r="BB70" s="204">
        <f t="shared" si="109"/>
        <v>29534.290397610566</v>
      </c>
      <c r="BC70" s="204">
        <f t="shared" si="109"/>
        <v>29744.854343799907</v>
      </c>
      <c r="BD70" s="204">
        <f t="shared" si="109"/>
        <v>29955.418289989248</v>
      </c>
      <c r="BE70" s="204">
        <f t="shared" si="109"/>
        <v>30165.982236178585</v>
      </c>
      <c r="BF70" s="204">
        <f t="shared" si="109"/>
        <v>30376.546182367925</v>
      </c>
      <c r="BG70" s="204">
        <f t="shared" si="109"/>
        <v>30587.110128557266</v>
      </c>
      <c r="BH70" s="204">
        <f t="shared" si="109"/>
        <v>30797.674074746603</v>
      </c>
      <c r="BI70" s="204">
        <f t="shared" si="109"/>
        <v>31008.238020935943</v>
      </c>
      <c r="BJ70" s="204">
        <f t="shared" si="109"/>
        <v>31218.80196712528</v>
      </c>
      <c r="BK70" s="204">
        <f t="shared" si="109"/>
        <v>30613.596194962764</v>
      </c>
      <c r="BL70" s="204">
        <f t="shared" si="109"/>
        <v>29736.467183349629</v>
      </c>
      <c r="BM70" s="204">
        <f t="shared" si="109"/>
        <v>28859.33817173649</v>
      </c>
      <c r="BN70" s="204">
        <f t="shared" si="109"/>
        <v>27982.209160123355</v>
      </c>
      <c r="BO70" s="204">
        <f t="shared" si="109"/>
        <v>27105.08014851022</v>
      </c>
      <c r="BP70" s="204">
        <f t="shared" si="109"/>
        <v>26227.951136897082</v>
      </c>
      <c r="BQ70" s="204">
        <f t="shared" si="109"/>
        <v>25350.822125283947</v>
      </c>
      <c r="BR70" s="204">
        <f t="shared" ref="BR70:DA70" si="111">IF(BR$22&lt;=$E$24,IF(BR$22&lt;=$D$24,IF(BR$22&lt;=$C$24,IF(BR$22&lt;=$B$24,IF(BR14=0,0,IF($B36+($B$24-BR$22)*BR53&lt;0,0,$B36+($B$24-BR$22)*BR53)),$B36+(BR$22-$B$24)*BR53),$C36+(BR$22-$C$24)*BR53),$D36+(BR$22-$D$24)*BR53),IF($E36+(BR$22-$E$24)*BR53&lt;0,0,$E36+(BR$22-$E$24)*BR53))</f>
        <v>24473.693113670808</v>
      </c>
      <c r="BS70" s="204">
        <f t="shared" si="111"/>
        <v>23596.564102057673</v>
      </c>
      <c r="BT70" s="204">
        <f t="shared" si="111"/>
        <v>22719.435090444538</v>
      </c>
      <c r="BU70" s="204">
        <f t="shared" si="111"/>
        <v>21842.3060788314</v>
      </c>
      <c r="BV70" s="204">
        <f t="shared" si="111"/>
        <v>20965.177067218261</v>
      </c>
      <c r="BW70" s="204">
        <f t="shared" si="111"/>
        <v>20088.048055605126</v>
      </c>
      <c r="BX70" s="204">
        <f t="shared" si="111"/>
        <v>19210.919043991991</v>
      </c>
      <c r="BY70" s="204">
        <f t="shared" si="111"/>
        <v>18333.790032378856</v>
      </c>
      <c r="BZ70" s="204">
        <f t="shared" si="111"/>
        <v>17456.661020765718</v>
      </c>
      <c r="CA70" s="204">
        <f t="shared" si="111"/>
        <v>16579.532009152579</v>
      </c>
      <c r="CB70" s="204">
        <f t="shared" si="111"/>
        <v>15702.402997539446</v>
      </c>
      <c r="CC70" s="204">
        <f t="shared" si="111"/>
        <v>14825.273985926309</v>
      </c>
      <c r="CD70" s="204">
        <f t="shared" si="111"/>
        <v>13948.144974313171</v>
      </c>
      <c r="CE70" s="204">
        <f t="shared" si="111"/>
        <v>13071.015962700036</v>
      </c>
      <c r="CF70" s="204">
        <f t="shared" si="111"/>
        <v>12193.886951086901</v>
      </c>
      <c r="CG70" s="204">
        <f t="shared" si="111"/>
        <v>11316.757939473762</v>
      </c>
      <c r="CH70" s="204">
        <f t="shared" si="111"/>
        <v>10439.628927860627</v>
      </c>
      <c r="CI70" s="204">
        <f t="shared" si="111"/>
        <v>9562.4999162474887</v>
      </c>
      <c r="CJ70" s="204">
        <f t="shared" si="111"/>
        <v>9449.9410257457384</v>
      </c>
      <c r="CK70" s="204">
        <f t="shared" si="111"/>
        <v>9592.2388422811182</v>
      </c>
      <c r="CL70" s="204">
        <f t="shared" si="111"/>
        <v>9734.5366588164961</v>
      </c>
      <c r="CM70" s="204">
        <f t="shared" si="111"/>
        <v>9876.8344753518741</v>
      </c>
      <c r="CN70" s="204">
        <f t="shared" si="111"/>
        <v>10019.132291887252</v>
      </c>
      <c r="CO70" s="204">
        <f t="shared" si="111"/>
        <v>10161.430108422632</v>
      </c>
      <c r="CP70" s="204">
        <f t="shared" si="111"/>
        <v>10303.72792495801</v>
      </c>
      <c r="CQ70" s="204">
        <f t="shared" si="111"/>
        <v>10446.025741493388</v>
      </c>
      <c r="CR70" s="204">
        <f t="shared" si="111"/>
        <v>10588.323558028767</v>
      </c>
      <c r="CS70" s="204">
        <f t="shared" si="111"/>
        <v>10730.621374564145</v>
      </c>
      <c r="CT70" s="204">
        <f t="shared" si="111"/>
        <v>10872.919191099523</v>
      </c>
      <c r="CU70" s="204">
        <f t="shared" si="111"/>
        <v>11015.217007634903</v>
      </c>
      <c r="CV70" s="204">
        <f t="shared" si="111"/>
        <v>11157.514824170281</v>
      </c>
      <c r="CW70" s="204">
        <f t="shared" si="111"/>
        <v>10982.280686571814</v>
      </c>
      <c r="CX70" s="204">
        <f t="shared" si="111"/>
        <v>9854.450686571814</v>
      </c>
      <c r="CY70" s="204">
        <f t="shared" si="111"/>
        <v>8726.6206865718141</v>
      </c>
      <c r="CZ70" s="204">
        <f t="shared" si="111"/>
        <v>7598.7906865718141</v>
      </c>
      <c r="DA70" s="204">
        <f t="shared" si="111"/>
        <v>6470.9606865718142</v>
      </c>
    </row>
    <row r="71" spans="1:105" s="204" customFormat="1">
      <c r="A71" s="204" t="str">
        <f>Income!A86</f>
        <v>Cash transfer - gifts</v>
      </c>
      <c r="F71" s="204">
        <f t="shared" ref="F71:BQ71" si="112">IF(F$22&lt;=$E$24,IF(F$22&lt;=$D$24,IF(F$22&lt;=$C$24,IF(F$22&lt;=$B$24,IF(F15=0,0,IF($B37+($B$24-F$22)*F54&lt;0,0,$B37+($B$24-F$22)*F54)),$B37+(F$22-$B$24)*F54),$C37+(F$22-$C$24)*F54),$D37+(F$22-$D$24)*F54),IF($E37+(F$22-$E$24)*F54&lt;0,0,$E37+(F$22-$E$24)*F54))</f>
        <v>0</v>
      </c>
      <c r="G71" s="204">
        <f t="shared" si="112"/>
        <v>0</v>
      </c>
      <c r="H71" s="204">
        <f t="shared" si="112"/>
        <v>0</v>
      </c>
      <c r="I71" s="204">
        <f t="shared" si="112"/>
        <v>0</v>
      </c>
      <c r="J71" s="204">
        <f t="shared" si="112"/>
        <v>0</v>
      </c>
      <c r="K71" s="204">
        <f t="shared" si="112"/>
        <v>0</v>
      </c>
      <c r="L71" s="204">
        <f>IF(L$22&lt;=$E$24,IF(L$22&lt;=$D$24,IF(L$22&lt;=$C$24,IF(L$22&lt;=$B$24,IF(L15=0,0,IF($B37+($B$24-L$22)*L54&lt;0,0,$B37+($B$24-L$22)*L54)),$B37+(L$22-$B$24)*L54),$C37+(L$22-$C$24)*L54),$D37+(L$22-$D$24)*L54),IF($E37+(L$22-$E$24)*L54&lt;0,0,$E37+(L$22-$E$24)*L54))</f>
        <v>0</v>
      </c>
      <c r="M71" s="204">
        <f t="shared" si="112"/>
        <v>0</v>
      </c>
      <c r="N71" s="204">
        <f t="shared" si="112"/>
        <v>0</v>
      </c>
      <c r="O71" s="204">
        <f t="shared" si="112"/>
        <v>0</v>
      </c>
      <c r="P71" s="204">
        <f t="shared" si="112"/>
        <v>0</v>
      </c>
      <c r="Q71" s="204">
        <f t="shared" si="112"/>
        <v>0</v>
      </c>
      <c r="R71" s="204">
        <f t="shared" si="112"/>
        <v>0</v>
      </c>
      <c r="S71" s="204">
        <f t="shared" si="112"/>
        <v>0</v>
      </c>
      <c r="T71" s="204">
        <f t="shared" si="112"/>
        <v>0</v>
      </c>
      <c r="U71" s="204">
        <f t="shared" si="112"/>
        <v>0</v>
      </c>
      <c r="V71" s="204">
        <f t="shared" si="112"/>
        <v>0</v>
      </c>
      <c r="W71" s="204">
        <f t="shared" si="112"/>
        <v>0</v>
      </c>
      <c r="X71" s="204">
        <f t="shared" si="112"/>
        <v>0</v>
      </c>
      <c r="Y71" s="204">
        <f t="shared" si="112"/>
        <v>0</v>
      </c>
      <c r="Z71" s="204">
        <f t="shared" si="112"/>
        <v>2.3879196587274301</v>
      </c>
      <c r="AA71" s="204">
        <f t="shared" si="112"/>
        <v>11.93959829363715</v>
      </c>
      <c r="AB71" s="204">
        <f t="shared" si="112"/>
        <v>21.491276928546871</v>
      </c>
      <c r="AC71" s="204">
        <f t="shared" si="112"/>
        <v>31.042955563456591</v>
      </c>
      <c r="AD71" s="204">
        <f t="shared" si="112"/>
        <v>40.594634198366307</v>
      </c>
      <c r="AE71" s="204">
        <f t="shared" si="112"/>
        <v>50.146312833276028</v>
      </c>
      <c r="AF71" s="204">
        <f t="shared" si="112"/>
        <v>59.697991468185748</v>
      </c>
      <c r="AG71" s="204">
        <f t="shared" si="112"/>
        <v>69.249670103095468</v>
      </c>
      <c r="AH71" s="204">
        <f t="shared" si="112"/>
        <v>78.801348738005188</v>
      </c>
      <c r="AI71" s="204">
        <f t="shared" si="112"/>
        <v>88.353027372914909</v>
      </c>
      <c r="AJ71" s="204">
        <f t="shared" si="112"/>
        <v>97.904706007824629</v>
      </c>
      <c r="AK71" s="204">
        <f t="shared" si="112"/>
        <v>107.45638464273435</v>
      </c>
      <c r="AL71" s="204">
        <f t="shared" si="112"/>
        <v>117.00806327764407</v>
      </c>
      <c r="AM71" s="204">
        <f t="shared" si="112"/>
        <v>126.55974191255379</v>
      </c>
      <c r="AN71" s="204">
        <f t="shared" si="112"/>
        <v>136.11142054746352</v>
      </c>
      <c r="AO71" s="204">
        <f t="shared" si="112"/>
        <v>145.66309918237323</v>
      </c>
      <c r="AP71" s="204">
        <f t="shared" si="112"/>
        <v>155.21477781728296</v>
      </c>
      <c r="AQ71" s="204">
        <f t="shared" si="112"/>
        <v>164.76645645219267</v>
      </c>
      <c r="AR71" s="204">
        <f t="shared" si="112"/>
        <v>174.31813508710241</v>
      </c>
      <c r="AS71" s="204">
        <f t="shared" si="112"/>
        <v>183.86981372201211</v>
      </c>
      <c r="AT71" s="204">
        <f t="shared" si="112"/>
        <v>193.42149235692185</v>
      </c>
      <c r="AU71" s="204">
        <f t="shared" si="112"/>
        <v>202.97317099183155</v>
      </c>
      <c r="AV71" s="204">
        <f t="shared" si="112"/>
        <v>212.52484962674129</v>
      </c>
      <c r="AW71" s="204">
        <f t="shared" si="112"/>
        <v>222.07652826165099</v>
      </c>
      <c r="AX71" s="204">
        <f t="shared" si="112"/>
        <v>231.62820689656073</v>
      </c>
      <c r="AY71" s="204">
        <f t="shared" si="112"/>
        <v>241.17988553147043</v>
      </c>
      <c r="AZ71" s="204">
        <f t="shared" si="112"/>
        <v>250.73156416638017</v>
      </c>
      <c r="BA71" s="204">
        <f t="shared" si="112"/>
        <v>260.28324280128987</v>
      </c>
      <c r="BB71" s="204">
        <f t="shared" si="112"/>
        <v>269.83492143619958</v>
      </c>
      <c r="BC71" s="204">
        <f t="shared" si="112"/>
        <v>279.38660007110934</v>
      </c>
      <c r="BD71" s="204">
        <f t="shared" si="112"/>
        <v>288.93827870601905</v>
      </c>
      <c r="BE71" s="204">
        <f t="shared" si="112"/>
        <v>298.48995734092875</v>
      </c>
      <c r="BF71" s="204">
        <f t="shared" si="112"/>
        <v>308.04163597583846</v>
      </c>
      <c r="BG71" s="204">
        <f t="shared" si="112"/>
        <v>317.59331461074822</v>
      </c>
      <c r="BH71" s="204">
        <f t="shared" si="112"/>
        <v>327.14499324565793</v>
      </c>
      <c r="BI71" s="204">
        <f t="shared" si="112"/>
        <v>336.69667188056764</v>
      </c>
      <c r="BJ71" s="204">
        <f t="shared" si="112"/>
        <v>346.24835051547734</v>
      </c>
      <c r="BK71" s="204">
        <f t="shared" si="112"/>
        <v>525.91341898295389</v>
      </c>
      <c r="BL71" s="204">
        <f t="shared" si="112"/>
        <v>762.28295072795277</v>
      </c>
      <c r="BM71" s="204">
        <f t="shared" si="112"/>
        <v>998.65248247295153</v>
      </c>
      <c r="BN71" s="204">
        <f t="shared" si="112"/>
        <v>1235.0220142179503</v>
      </c>
      <c r="BO71" s="204">
        <f t="shared" si="112"/>
        <v>1471.3915459629491</v>
      </c>
      <c r="BP71" s="204">
        <f t="shared" si="112"/>
        <v>1707.7610777079478</v>
      </c>
      <c r="BQ71" s="204">
        <f t="shared" si="112"/>
        <v>1944.1306094529466</v>
      </c>
      <c r="BR71" s="204">
        <f>IF(BR$22&lt;=$E$24,IF(BR$22&lt;=$D$24,IF(BR$22&lt;=$C$24,IF(BR$22&lt;=$B$24,IF(BR15=0,0,IF($B37+($B$24-BR$22)*BR54&lt;0,0,$B37+($B$24-BR$22)*BR54)),$B37+(BR$22-$B$24)*BR54),$C37+(BR$22-$C$24)*BR54),$D37+(BR$22-$D$24)*BR54),IF($E37+(BR$22-$E$24)*BR54&lt;0,0,$E37+(BR$22-$E$24)*BR54))</f>
        <v>2180.5001411979456</v>
      </c>
      <c r="BS71" s="204">
        <f>IF(BS$22&lt;=$E$24,IF(BS$22&lt;=$D$24,IF(BS$22&lt;=$C$24,IF(BS$22&lt;=$B$24,IF(BS15=0,0,IF($B37+($B$24-BS$22)*BS54&lt;0,0,$B37+($B$24-BS$22)*BS54)),$B37+(BS$22-$B$24)*BS54),$C37+(BS$22-$C$24)*BS54),$D37+(BS$22-$D$24)*BS54),IF($E37+(BS$22-$E$24)*BS54&lt;0,0,$E37+(BS$22-$E$24)*BS54))</f>
        <v>2416.8696729429439</v>
      </c>
      <c r="BT71" s="204">
        <f>IF(BT$22&lt;=$E$24,IF(BT$22&lt;=$D$24,IF(BT$22&lt;=$C$24,IF(BT$22&lt;=$B$24,IF(BT15=0,0,IF($B37+($B$24-BT$22)*BT54&lt;0,0,$B37+($B$24-BT$22)*BT54)),$B37+(BT$22-$B$24)*BT54),$C37+(BT$22-$C$24)*BT54),$D37+(BT$22-$D$24)*BT54),IF($E37+(BT$22-$E$24)*BT54&lt;0,0,$E37+(BT$22-$E$24)*BT54))</f>
        <v>2653.2392046879431</v>
      </c>
      <c r="BU71" s="204">
        <f t="shared" ref="BU71:DA71" si="113">IF(BU$22&lt;=$E$24,IF(BU$22&lt;=$D$24,IF(BU$22&lt;=$C$24,IF(BU$22&lt;=$B$24,IF(BU15=0,0,IF($B37+($B$24-BU$22)*BU54&lt;0,0,$B37+($B$24-BU$22)*BU54)),$B37+(BU$22-$B$24)*BU54),$C37+(BU$22-$C$24)*BU54),$D37+(BU$22-$D$24)*BU54),IF($E37+(BU$22-$E$24)*BU54&lt;0,0,$E37+(BU$22-$E$24)*BU54))</f>
        <v>2889.6087364329414</v>
      </c>
      <c r="BV71" s="204">
        <f t="shared" si="113"/>
        <v>3125.9782681779407</v>
      </c>
      <c r="BW71" s="204">
        <f t="shared" si="113"/>
        <v>3362.3477999229399</v>
      </c>
      <c r="BX71" s="204">
        <f t="shared" si="113"/>
        <v>3598.7173316679382</v>
      </c>
      <c r="BY71" s="204">
        <f t="shared" si="113"/>
        <v>3835.0868634129374</v>
      </c>
      <c r="BZ71" s="204">
        <f t="shared" si="113"/>
        <v>4071.4563951579357</v>
      </c>
      <c r="CA71" s="204">
        <f t="shared" si="113"/>
        <v>4307.825926902935</v>
      </c>
      <c r="CB71" s="204">
        <f t="shared" si="113"/>
        <v>4544.1954586479333</v>
      </c>
      <c r="CC71" s="204">
        <f t="shared" si="113"/>
        <v>4780.5649903929316</v>
      </c>
      <c r="CD71" s="204">
        <f t="shared" si="113"/>
        <v>5016.9345221379308</v>
      </c>
      <c r="CE71" s="204">
        <f t="shared" si="113"/>
        <v>5253.30405388293</v>
      </c>
      <c r="CF71" s="204">
        <f t="shared" si="113"/>
        <v>5489.6735856279283</v>
      </c>
      <c r="CG71" s="204">
        <f t="shared" si="113"/>
        <v>5726.0431173729276</v>
      </c>
      <c r="CH71" s="204">
        <f t="shared" si="113"/>
        <v>5962.4126491179259</v>
      </c>
      <c r="CI71" s="204">
        <f t="shared" si="113"/>
        <v>6198.7821808629251</v>
      </c>
      <c r="CJ71" s="204">
        <f t="shared" si="113"/>
        <v>7185.234752097278</v>
      </c>
      <c r="CK71" s="204">
        <f t="shared" si="113"/>
        <v>8421.7150031614165</v>
      </c>
      <c r="CL71" s="204">
        <f t="shared" si="113"/>
        <v>9658.1952542255549</v>
      </c>
      <c r="CM71" s="204">
        <f t="shared" si="113"/>
        <v>10894.675505289695</v>
      </c>
      <c r="CN71" s="204">
        <f t="shared" si="113"/>
        <v>12131.155756353834</v>
      </c>
      <c r="CO71" s="204">
        <f t="shared" si="113"/>
        <v>13367.636007417972</v>
      </c>
      <c r="CP71" s="204">
        <f t="shared" si="113"/>
        <v>14604.11625848211</v>
      </c>
      <c r="CQ71" s="204">
        <f t="shared" si="113"/>
        <v>15840.596509546249</v>
      </c>
      <c r="CR71" s="204">
        <f t="shared" si="113"/>
        <v>17077.076760610387</v>
      </c>
      <c r="CS71" s="204">
        <f t="shared" si="113"/>
        <v>18313.557011674526</v>
      </c>
      <c r="CT71" s="204">
        <f t="shared" si="113"/>
        <v>19550.037262738664</v>
      </c>
      <c r="CU71" s="204">
        <f t="shared" si="113"/>
        <v>20786.517513802803</v>
      </c>
      <c r="CV71" s="204">
        <f t="shared" si="113"/>
        <v>22022.997764866945</v>
      </c>
      <c r="CW71" s="204">
        <f t="shared" si="113"/>
        <v>23024.440453165047</v>
      </c>
      <c r="CX71" s="204">
        <f t="shared" si="113"/>
        <v>23320.770453165045</v>
      </c>
      <c r="CY71" s="204">
        <f t="shared" si="113"/>
        <v>23617.100453165047</v>
      </c>
      <c r="CZ71" s="204">
        <f t="shared" si="113"/>
        <v>23913.430453165045</v>
      </c>
      <c r="DA71" s="204">
        <f t="shared" si="113"/>
        <v>24209.760453165047</v>
      </c>
    </row>
    <row r="72" spans="1:105" s="204" customFormat="1">
      <c r="A72" s="204" t="str">
        <f>Income!A88</f>
        <v>TOTAL</v>
      </c>
      <c r="F72" s="204">
        <f>SUM(F59:F71)</f>
        <v>45050.93541454259</v>
      </c>
      <c r="G72" s="204">
        <f t="shared" ref="G72:BR72" si="114">SUM(G59:G71)</f>
        <v>44710.675414542595</v>
      </c>
      <c r="H72" s="204">
        <f t="shared" si="114"/>
        <v>44370.415414542585</v>
      </c>
      <c r="I72" s="204">
        <f t="shared" si="114"/>
        <v>44030.155414542591</v>
      </c>
      <c r="J72" s="204">
        <f t="shared" si="114"/>
        <v>43689.895414542581</v>
      </c>
      <c r="K72" s="204">
        <f t="shared" si="114"/>
        <v>43349.635414542587</v>
      </c>
      <c r="L72" s="204">
        <f t="shared" si="114"/>
        <v>43009.375414542592</v>
      </c>
      <c r="M72" s="204">
        <f t="shared" si="114"/>
        <v>42669.115414542583</v>
      </c>
      <c r="N72" s="204">
        <f t="shared" si="114"/>
        <v>42328.855414542588</v>
      </c>
      <c r="O72" s="204">
        <f t="shared" si="114"/>
        <v>41988.595414542593</v>
      </c>
      <c r="P72" s="204">
        <f t="shared" si="114"/>
        <v>41648.335414542584</v>
      </c>
      <c r="Q72" s="204">
        <f t="shared" si="114"/>
        <v>41308.075414542589</v>
      </c>
      <c r="R72" s="204">
        <f t="shared" si="114"/>
        <v>40967.81541454258</v>
      </c>
      <c r="S72" s="204">
        <f t="shared" si="114"/>
        <v>40627.555414542585</v>
      </c>
      <c r="T72" s="204">
        <f t="shared" si="114"/>
        <v>40287.29541454259</v>
      </c>
      <c r="U72" s="204">
        <f t="shared" si="114"/>
        <v>39947.035414542588</v>
      </c>
      <c r="V72" s="204">
        <f t="shared" si="114"/>
        <v>39606.775414542586</v>
      </c>
      <c r="W72" s="204">
        <f t="shared" si="114"/>
        <v>39266.515414542584</v>
      </c>
      <c r="X72" s="204">
        <f t="shared" si="114"/>
        <v>38926.255414542589</v>
      </c>
      <c r="Y72" s="204">
        <f t="shared" si="114"/>
        <v>38585.995414542587</v>
      </c>
      <c r="Z72" s="204">
        <f t="shared" si="114"/>
        <v>38437.719031922257</v>
      </c>
      <c r="AA72" s="204">
        <f t="shared" si="114"/>
        <v>38865.393501440929</v>
      </c>
      <c r="AB72" s="204">
        <f t="shared" si="114"/>
        <v>39293.067970959593</v>
      </c>
      <c r="AC72" s="204">
        <f t="shared" si="114"/>
        <v>39720.742440478258</v>
      </c>
      <c r="AD72" s="204">
        <f t="shared" si="114"/>
        <v>40148.416909996929</v>
      </c>
      <c r="AE72" s="204">
        <f t="shared" si="114"/>
        <v>40576.091379515608</v>
      </c>
      <c r="AF72" s="204">
        <f t="shared" si="114"/>
        <v>41003.765849034273</v>
      </c>
      <c r="AG72" s="204">
        <f t="shared" si="114"/>
        <v>41431.440318552945</v>
      </c>
      <c r="AH72" s="204">
        <f t="shared" si="114"/>
        <v>41859.114788071616</v>
      </c>
      <c r="AI72" s="204">
        <f t="shared" si="114"/>
        <v>42286.789257590281</v>
      </c>
      <c r="AJ72" s="204">
        <f t="shared" si="114"/>
        <v>42714.463727108952</v>
      </c>
      <c r="AK72" s="204">
        <f t="shared" si="114"/>
        <v>43142.138196627624</v>
      </c>
      <c r="AL72" s="204">
        <f t="shared" si="114"/>
        <v>43569.812666146296</v>
      </c>
      <c r="AM72" s="204">
        <f t="shared" si="114"/>
        <v>43997.487135664967</v>
      </c>
      <c r="AN72" s="204">
        <f t="shared" si="114"/>
        <v>44425.161605183632</v>
      </c>
      <c r="AO72" s="204">
        <f t="shared" si="114"/>
        <v>44852.836074702311</v>
      </c>
      <c r="AP72" s="204">
        <f t="shared" si="114"/>
        <v>45280.510544220968</v>
      </c>
      <c r="AQ72" s="204">
        <f t="shared" si="114"/>
        <v>45708.18501373964</v>
      </c>
      <c r="AR72" s="204">
        <f t="shared" si="114"/>
        <v>46135.859483258311</v>
      </c>
      <c r="AS72" s="204">
        <f t="shared" si="114"/>
        <v>46563.533952776983</v>
      </c>
      <c r="AT72" s="204">
        <f t="shared" si="114"/>
        <v>46991.208422295655</v>
      </c>
      <c r="AU72" s="204">
        <f t="shared" si="114"/>
        <v>47418.882891814319</v>
      </c>
      <c r="AV72" s="204">
        <f t="shared" si="114"/>
        <v>47846.557361332991</v>
      </c>
      <c r="AW72" s="204">
        <f t="shared" si="114"/>
        <v>48274.231830851662</v>
      </c>
      <c r="AX72" s="204">
        <f t="shared" si="114"/>
        <v>48701.906300370334</v>
      </c>
      <c r="AY72" s="204">
        <f t="shared" si="114"/>
        <v>49129.580769889006</v>
      </c>
      <c r="AZ72" s="204">
        <f t="shared" si="114"/>
        <v>49557.25523940767</v>
      </c>
      <c r="BA72" s="204">
        <f t="shared" si="114"/>
        <v>49984.929708926349</v>
      </c>
      <c r="BB72" s="204">
        <f t="shared" si="114"/>
        <v>50412.604178445014</v>
      </c>
      <c r="BC72" s="204">
        <f t="shared" si="114"/>
        <v>50840.278647963678</v>
      </c>
      <c r="BD72" s="204">
        <f t="shared" si="114"/>
        <v>51267.95311748235</v>
      </c>
      <c r="BE72" s="204">
        <f t="shared" si="114"/>
        <v>51695.627587001021</v>
      </c>
      <c r="BF72" s="204">
        <f t="shared" si="114"/>
        <v>52123.302056519693</v>
      </c>
      <c r="BG72" s="204">
        <f t="shared" si="114"/>
        <v>52550.976526038365</v>
      </c>
      <c r="BH72" s="204">
        <f t="shared" si="114"/>
        <v>52978.650995557036</v>
      </c>
      <c r="BI72" s="204">
        <f t="shared" si="114"/>
        <v>53406.325465075708</v>
      </c>
      <c r="BJ72" s="204">
        <f t="shared" si="114"/>
        <v>53833.999934594372</v>
      </c>
      <c r="BK72" s="204">
        <f t="shared" si="114"/>
        <v>56621.521923501808</v>
      </c>
      <c r="BL72" s="204">
        <f t="shared" si="114"/>
        <v>60195.659752205509</v>
      </c>
      <c r="BM72" s="204">
        <f t="shared" si="114"/>
        <v>63769.797580909195</v>
      </c>
      <c r="BN72" s="204">
        <f t="shared" si="114"/>
        <v>67343.935409612895</v>
      </c>
      <c r="BO72" s="204">
        <f t="shared" si="114"/>
        <v>70918.073238316603</v>
      </c>
      <c r="BP72" s="204">
        <f t="shared" si="114"/>
        <v>74492.211067020282</v>
      </c>
      <c r="BQ72" s="204">
        <f t="shared" si="114"/>
        <v>78066.348895723975</v>
      </c>
      <c r="BR72" s="204">
        <f t="shared" si="114"/>
        <v>81640.486724427668</v>
      </c>
      <c r="BS72" s="204">
        <f t="shared" ref="BS72:DA72" si="115">SUM(BS59:BS71)</f>
        <v>85214.624553131362</v>
      </c>
      <c r="BT72" s="204">
        <f t="shared" si="115"/>
        <v>88788.762381835055</v>
      </c>
      <c r="BU72" s="204">
        <f t="shared" si="115"/>
        <v>92362.900210538763</v>
      </c>
      <c r="BV72" s="204">
        <f t="shared" si="115"/>
        <v>95937.038039242441</v>
      </c>
      <c r="BW72" s="204">
        <f t="shared" si="115"/>
        <v>99511.175867946135</v>
      </c>
      <c r="BX72" s="204">
        <f t="shared" si="115"/>
        <v>103085.31369664983</v>
      </c>
      <c r="BY72" s="204">
        <f t="shared" si="115"/>
        <v>106659.45152535352</v>
      </c>
      <c r="BZ72" s="204">
        <f t="shared" si="115"/>
        <v>110233.58935405721</v>
      </c>
      <c r="CA72" s="204">
        <f t="shared" si="115"/>
        <v>113807.72718276092</v>
      </c>
      <c r="CB72" s="204">
        <f t="shared" si="115"/>
        <v>117381.86501146463</v>
      </c>
      <c r="CC72" s="204">
        <f t="shared" si="115"/>
        <v>120956.00284016829</v>
      </c>
      <c r="CD72" s="204">
        <f t="shared" si="115"/>
        <v>124530.140668872</v>
      </c>
      <c r="CE72" s="204">
        <f t="shared" si="115"/>
        <v>128104.27849757569</v>
      </c>
      <c r="CF72" s="204">
        <f t="shared" si="115"/>
        <v>131678.4163262794</v>
      </c>
      <c r="CG72" s="204">
        <f t="shared" si="115"/>
        <v>135252.55415498308</v>
      </c>
      <c r="CH72" s="204">
        <f t="shared" si="115"/>
        <v>138826.69198368679</v>
      </c>
      <c r="CI72" s="204">
        <f t="shared" si="115"/>
        <v>142400.8298123905</v>
      </c>
      <c r="CJ72" s="204">
        <f t="shared" si="115"/>
        <v>152414.00761898427</v>
      </c>
      <c r="CK72" s="204">
        <f t="shared" si="115"/>
        <v>164573.53208487472</v>
      </c>
      <c r="CL72" s="204">
        <f t="shared" si="115"/>
        <v>176733.05655076524</v>
      </c>
      <c r="CM72" s="204">
        <f t="shared" si="115"/>
        <v>188892.58101665572</v>
      </c>
      <c r="CN72" s="204">
        <f t="shared" si="115"/>
        <v>201052.10548254621</v>
      </c>
      <c r="CO72" s="204">
        <f t="shared" si="115"/>
        <v>213211.62994843669</v>
      </c>
      <c r="CP72" s="204">
        <f t="shared" si="115"/>
        <v>225371.15441432715</v>
      </c>
      <c r="CQ72" s="204">
        <f t="shared" si="115"/>
        <v>237530.67888021763</v>
      </c>
      <c r="CR72" s="204">
        <f t="shared" si="115"/>
        <v>249690.20334610812</v>
      </c>
      <c r="CS72" s="204">
        <f t="shared" si="115"/>
        <v>261849.72781199863</v>
      </c>
      <c r="CT72" s="204">
        <f t="shared" si="115"/>
        <v>274009.25227788906</v>
      </c>
      <c r="CU72" s="204">
        <f t="shared" si="115"/>
        <v>286168.77674377954</v>
      </c>
      <c r="CV72" s="204">
        <f t="shared" si="115"/>
        <v>298328.30120967003</v>
      </c>
      <c r="CW72" s="204">
        <f t="shared" si="115"/>
        <v>309892.89480908791</v>
      </c>
      <c r="CX72" s="204">
        <f t="shared" si="115"/>
        <v>319672.69580908795</v>
      </c>
      <c r="CY72" s="204">
        <f t="shared" si="115"/>
        <v>329452.49680908793</v>
      </c>
      <c r="CZ72" s="204">
        <f t="shared" si="115"/>
        <v>339232.2978090879</v>
      </c>
      <c r="DA72" s="204">
        <f t="shared" si="115"/>
        <v>349012.09880908794</v>
      </c>
    </row>
    <row r="73" spans="1:105">
      <c r="A73" s="201" t="str">
        <f>Income!A89</f>
        <v>Food Poverty line</v>
      </c>
    </row>
    <row r="74" spans="1:105">
      <c r="A74" s="201" t="str">
        <f>Income!A90</f>
        <v>Lower Bound Poverty line</v>
      </c>
    </row>
    <row r="78" spans="1:105">
      <c r="A78" s="202"/>
    </row>
    <row r="79" spans="1:105">
      <c r="A79" s="202"/>
    </row>
    <row r="80" spans="1:105">
      <c r="A80" s="202"/>
    </row>
    <row r="81" spans="1:15">
      <c r="A81" s="202"/>
    </row>
    <row r="96" spans="1:15">
      <c r="D96" s="211"/>
      <c r="E96" s="211"/>
      <c r="F96" s="211"/>
      <c r="G96" s="211"/>
      <c r="H96" s="211"/>
      <c r="I96" s="211"/>
      <c r="J96" s="211"/>
      <c r="K96" s="211"/>
      <c r="L96" s="211"/>
      <c r="M96" s="211"/>
      <c r="N96" s="211"/>
      <c r="O96" s="211"/>
    </row>
    <row r="97" spans="1:31">
      <c r="C97" s="210"/>
      <c r="D97" s="212"/>
      <c r="E97" s="212"/>
      <c r="F97" s="212"/>
      <c r="G97" s="212"/>
      <c r="H97" s="212"/>
      <c r="I97" s="212"/>
      <c r="J97" s="212"/>
      <c r="K97" s="212"/>
      <c r="L97" s="212"/>
      <c r="M97" s="212"/>
      <c r="N97" s="212"/>
      <c r="O97" s="212"/>
    </row>
    <row r="98" spans="1:31">
      <c r="C98" s="210"/>
      <c r="D98" s="212"/>
      <c r="E98" s="212"/>
      <c r="F98" s="212"/>
      <c r="G98" s="212"/>
      <c r="H98" s="212"/>
      <c r="I98" s="212"/>
      <c r="J98" s="212"/>
      <c r="K98" s="212"/>
      <c r="L98" s="212"/>
      <c r="M98" s="212"/>
      <c r="N98" s="212"/>
      <c r="O98" s="212"/>
    </row>
    <row r="99" spans="1:31">
      <c r="C99" s="210"/>
      <c r="D99" s="212"/>
      <c r="E99" s="212"/>
      <c r="F99" s="212"/>
      <c r="G99" s="212"/>
      <c r="H99" s="212"/>
      <c r="I99" s="212"/>
      <c r="J99" s="212"/>
      <c r="K99" s="212"/>
      <c r="L99" s="212"/>
      <c r="M99" s="212"/>
      <c r="N99" s="212"/>
      <c r="O99" s="212"/>
    </row>
    <row r="100" spans="1:31">
      <c r="C100" s="210"/>
      <c r="D100" s="212"/>
      <c r="E100" s="212"/>
      <c r="F100" s="212"/>
      <c r="G100" s="212"/>
      <c r="H100" s="212"/>
      <c r="I100" s="212"/>
      <c r="J100" s="212"/>
      <c r="K100" s="212"/>
      <c r="L100" s="212"/>
      <c r="M100" s="212"/>
      <c r="N100" s="212"/>
      <c r="O100" s="212"/>
    </row>
    <row r="101" spans="1:31">
      <c r="C101" s="210"/>
      <c r="D101" s="212"/>
      <c r="E101" s="212"/>
      <c r="F101" s="212"/>
      <c r="G101" s="212"/>
      <c r="H101" s="212"/>
      <c r="I101" s="212"/>
      <c r="J101" s="212"/>
      <c r="K101" s="212"/>
      <c r="L101" s="212"/>
      <c r="M101" s="212"/>
      <c r="N101" s="212"/>
      <c r="O101" s="212"/>
    </row>
    <row r="107" spans="1:31">
      <c r="B107" s="214">
        <f>A23</f>
        <v>0</v>
      </c>
      <c r="C107" s="214">
        <f>B23</f>
        <v>39.5</v>
      </c>
      <c r="D107" s="214">
        <f>C23</f>
        <v>73</v>
      </c>
      <c r="E107" s="214">
        <f>D23</f>
        <v>89.5</v>
      </c>
      <c r="F107" s="214">
        <f>E23</f>
        <v>100</v>
      </c>
      <c r="AD107" s="201" t="s">
        <v>117</v>
      </c>
    </row>
    <row r="108" spans="1:31">
      <c r="A108" s="213" t="str">
        <f t="shared" ref="A108:A120" si="116">A42</f>
        <v>Own crops Consumed</v>
      </c>
      <c r="B108" s="212">
        <v>0</v>
      </c>
      <c r="C108" s="212">
        <f>AD42</f>
        <v>45.83618133029097</v>
      </c>
      <c r="D108" s="212">
        <f>BU42</f>
        <v>-16.805851213711957</v>
      </c>
      <c r="E108" s="212">
        <f>CR42</f>
        <v>-78.91272006325724</v>
      </c>
      <c r="F108" s="212">
        <f xml:space="preserve"> 0.0529*F107^2 - 5.8907*F107 + 166.43</f>
        <v>106.36000000000007</v>
      </c>
    </row>
    <row r="109" spans="1:31">
      <c r="A109" s="213" t="str">
        <f t="shared" si="116"/>
        <v>Own crops sold</v>
      </c>
      <c r="B109" s="212">
        <f xml:space="preserve"> 0.2249*B107^2 + 18.644*B107 + 340.26</f>
        <v>340.26</v>
      </c>
      <c r="C109" s="212">
        <f>AD43</f>
        <v>41.105929937058541</v>
      </c>
      <c r="D109" s="212">
        <f t="shared" ref="D109:D120" si="117">BU43</f>
        <v>373.39354695975197</v>
      </c>
      <c r="E109" s="212">
        <f t="shared" ref="E109:E120" si="118">CR43</f>
        <v>833.73285036555046</v>
      </c>
      <c r="F109" s="212">
        <f xml:space="preserve"> 0.2249*F107^2 - 18.644*F107 + 340.26</f>
        <v>724.86000000000013</v>
      </c>
      <c r="AD109" s="217" t="s">
        <v>120</v>
      </c>
      <c r="AE109" s="201">
        <f>(0.0000001/7+0.00002/6+0.0039/5+0.2271/4+1.2857/3+16.311/2+13342)</f>
        <v>13350.641625014287</v>
      </c>
    </row>
    <row r="110" spans="1:31">
      <c r="A110" s="213" t="str">
        <f t="shared" si="116"/>
        <v>Animal products consumed</v>
      </c>
      <c r="B110" s="212">
        <v>0</v>
      </c>
      <c r="C110" s="212">
        <f t="shared" ref="C110:C120" si="119">AD44</f>
        <v>13.550886419716154</v>
      </c>
      <c r="D110" s="212">
        <f t="shared" si="117"/>
        <v>32.842597103089481</v>
      </c>
      <c r="E110" s="212">
        <f t="shared" si="118"/>
        <v>20.418646632837273</v>
      </c>
      <c r="F110" s="212">
        <f xml:space="preserve"> -0.005*F107^2 + 0.7378*F107 - 15.349</f>
        <v>8.4310000000000009</v>
      </c>
      <c r="AD110" s="217" t="s">
        <v>118</v>
      </c>
      <c r="AE110" s="201">
        <f>(0.5*(DA72-F72))</f>
        <v>151980.58169727266</v>
      </c>
    </row>
    <row r="111" spans="1:31">
      <c r="A111" s="213" t="str">
        <f t="shared" si="116"/>
        <v>Animal products sold</v>
      </c>
      <c r="B111" s="212">
        <v>0</v>
      </c>
      <c r="C111" s="212">
        <f t="shared" si="119"/>
        <v>0</v>
      </c>
      <c r="D111" s="212">
        <f t="shared" si="117"/>
        <v>0</v>
      </c>
      <c r="E111" s="212">
        <f t="shared" si="118"/>
        <v>0</v>
      </c>
      <c r="F111" s="212">
        <v>0</v>
      </c>
      <c r="AD111" s="217" t="s">
        <v>119</v>
      </c>
      <c r="AE111" s="212">
        <f>AE109/AE110</f>
        <v>8.7844390881508694E-2</v>
      </c>
    </row>
    <row r="112" spans="1:31">
      <c r="A112" s="213" t="str">
        <f t="shared" si="116"/>
        <v>Animals sold</v>
      </c>
      <c r="B112" s="212">
        <v>0</v>
      </c>
      <c r="C112" s="212">
        <f t="shared" si="119"/>
        <v>191.8651306028807</v>
      </c>
      <c r="D112" s="212">
        <f t="shared" si="117"/>
        <v>469.94294200886941</v>
      </c>
      <c r="E112" s="212">
        <f t="shared" si="118"/>
        <v>705.74934365275089</v>
      </c>
      <c r="F112" s="212">
        <v>0</v>
      </c>
    </row>
    <row r="113" spans="1:31">
      <c r="A113" s="213" t="str">
        <f t="shared" si="116"/>
        <v>Wild foods consumed and sold</v>
      </c>
      <c r="B113" s="212">
        <v>0</v>
      </c>
      <c r="C113" s="212">
        <f t="shared" si="119"/>
        <v>3.3207684808992659</v>
      </c>
      <c r="D113" s="212">
        <f t="shared" si="117"/>
        <v>-1.4436396421722042</v>
      </c>
      <c r="E113" s="212">
        <f t="shared" si="118"/>
        <v>-6.3049672961865255</v>
      </c>
      <c r="F113" s="212">
        <f xml:space="preserve"> 0.0898*F107^2 - 11.826*F107 + 336.79</f>
        <v>52.189999999999884</v>
      </c>
      <c r="AD113" s="217" t="s">
        <v>121</v>
      </c>
      <c r="AE113" s="201">
        <v>0.57299999999999995</v>
      </c>
    </row>
    <row r="114" spans="1:31">
      <c r="A114" s="213" t="str">
        <f t="shared" si="116"/>
        <v>Labour - casual</v>
      </c>
      <c r="B114" s="212">
        <v>0</v>
      </c>
      <c r="C114" s="212">
        <f t="shared" si="119"/>
        <v>-77.80239057978082</v>
      </c>
      <c r="D114" s="212">
        <f t="shared" si="117"/>
        <v>2285.9289211852479</v>
      </c>
      <c r="E114" s="212">
        <f t="shared" si="118"/>
        <v>-4416.7104703301711</v>
      </c>
      <c r="F114" s="212">
        <v>0</v>
      </c>
      <c r="AD114" s="217" t="s">
        <v>122</v>
      </c>
      <c r="AE114" s="201">
        <v>0.51500000000000001</v>
      </c>
    </row>
    <row r="115" spans="1:31">
      <c r="A115" s="213" t="str">
        <f t="shared" si="116"/>
        <v>Labour - formal emp</v>
      </c>
      <c r="B115" s="212">
        <v>0</v>
      </c>
      <c r="C115" s="212">
        <f t="shared" si="119"/>
        <v>0</v>
      </c>
      <c r="D115" s="212">
        <f t="shared" si="117"/>
        <v>1128.3861910095411</v>
      </c>
      <c r="E115" s="212">
        <f t="shared" si="118"/>
        <v>9348.0743342666556</v>
      </c>
      <c r="F115" s="212">
        <f xml:space="preserve"> -2.582*F107^2 + 352.49*F107 - 6757.3</f>
        <v>2671.7</v>
      </c>
    </row>
    <row r="116" spans="1:31">
      <c r="A116" s="213" t="str">
        <f t="shared" si="116"/>
        <v>Self - employment</v>
      </c>
      <c r="B116" s="212">
        <v>0</v>
      </c>
      <c r="C116" s="212">
        <f t="shared" si="119"/>
        <v>0</v>
      </c>
      <c r="D116" s="212">
        <f t="shared" si="117"/>
        <v>0</v>
      </c>
      <c r="E116" s="212">
        <f t="shared" si="118"/>
        <v>0</v>
      </c>
      <c r="F116" s="212">
        <f xml:space="preserve"> 0.025*F107^2 - 2.8902*F107 + 868.55</f>
        <v>829.53</v>
      </c>
    </row>
    <row r="117" spans="1:31">
      <c r="A117" s="213" t="str">
        <f t="shared" si="116"/>
        <v>Small business/petty trading</v>
      </c>
      <c r="B117" s="212">
        <v>0</v>
      </c>
      <c r="C117" s="212">
        <f t="shared" si="119"/>
        <v>-11.6867597415366</v>
      </c>
      <c r="D117" s="212">
        <f t="shared" si="117"/>
        <v>-45.93795559942464</v>
      </c>
      <c r="E117" s="212">
        <f t="shared" si="118"/>
        <v>4515.6954305996042</v>
      </c>
      <c r="F117" s="212">
        <f xml:space="preserve"> 1.6289*F107^2 - 121.84*F107 + 2098.5</f>
        <v>6203.5</v>
      </c>
    </row>
    <row r="118" spans="1:31">
      <c r="A118" s="213" t="str">
        <f t="shared" si="116"/>
        <v>Food transfer - official</v>
      </c>
      <c r="B118" s="212">
        <f xml:space="preserve"> 0</f>
        <v>0</v>
      </c>
      <c r="C118" s="212">
        <f t="shared" si="119"/>
        <v>1.3690982448928206</v>
      </c>
      <c r="D118" s="212">
        <f t="shared" si="117"/>
        <v>-11.409443239359371</v>
      </c>
      <c r="E118" s="212">
        <f t="shared" si="118"/>
        <v>-140.99604953681703</v>
      </c>
      <c r="F118" s="212">
        <f>0.0411*F107^2 - 5.0851*F107 + 112.24</f>
        <v>14.730000000000004</v>
      </c>
    </row>
    <row r="119" spans="1:31">
      <c r="A119" s="213" t="str">
        <f t="shared" si="116"/>
        <v>Cash transfer - official</v>
      </c>
      <c r="B119" s="212">
        <v>0</v>
      </c>
      <c r="C119" s="212">
        <f t="shared" si="119"/>
        <v>210.56394618933919</v>
      </c>
      <c r="D119" s="212">
        <f t="shared" si="117"/>
        <v>-877.12901161313641</v>
      </c>
      <c r="E119" s="212">
        <f t="shared" si="118"/>
        <v>142.29781653537847</v>
      </c>
      <c r="F119" s="212">
        <f xml:space="preserve"> -0.4727*F107^2 + 44.988*F107 - 899.63</f>
        <v>-1127.83</v>
      </c>
    </row>
    <row r="120" spans="1:31">
      <c r="A120" s="213" t="str">
        <f t="shared" si="116"/>
        <v>Cash transfer - gifts</v>
      </c>
      <c r="B120" s="212">
        <v>0</v>
      </c>
      <c r="C120" s="212">
        <f t="shared" si="119"/>
        <v>9.5516786349097202</v>
      </c>
      <c r="D120" s="212">
        <f t="shared" si="117"/>
        <v>236.3695317449988</v>
      </c>
      <c r="E120" s="212">
        <f t="shared" si="118"/>
        <v>1236.4802510641387</v>
      </c>
      <c r="F120" s="212">
        <f xml:space="preserve"> 0.1467*F107^2 - 15.6*F107 + 389.33</f>
        <v>296.33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V.Poor</vt:lpstr>
      <vt:lpstr>Poor</vt:lpstr>
      <vt:lpstr>Middle</vt:lpstr>
      <vt:lpstr>Rich</vt:lpstr>
      <vt:lpstr>Food</vt:lpstr>
      <vt:lpstr>Income</vt:lpstr>
      <vt:lpstr>Expenditure</vt:lpstr>
      <vt:lpstr>Percentiles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 Outcome Forecast Analysis Spreadsheet</dc:title>
  <dc:subject>Spreadsheet for analysing and forecasting food insecurity and living standards risks</dc:subject>
  <dc:creator>Mark Lawrence; Charles Rethman (total income, FPL, LBPL, UBPLs); SAVAC</dc:creator>
  <cp:keywords/>
  <dc:description/>
  <cp:lastModifiedBy>Charles Rethman</cp:lastModifiedBy>
  <cp:lastPrinted>2011-04-19T10:12:05Z</cp:lastPrinted>
  <dcterms:created xsi:type="dcterms:W3CDTF">2006-01-21T10:30:34Z</dcterms:created>
  <dcterms:modified xsi:type="dcterms:W3CDTF">2016-06-02T07:35:24Z</dcterms:modified>
  <cp:category/>
</cp:coreProperties>
</file>