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<sst xmlns="http://schemas.openxmlformats.org/spreadsheetml/2006/main" count="790" uniqueCount="145">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</sst>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0.0024813982974702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0.257819366685091</c:v>
                </c:pt>
                <c:pt idx="2" formatCode="0.0%">
                  <c:v>0.522498184475678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5935848"/>
        <c:axId val="-2075939176"/>
      </c:barChart>
      <c:catAx>
        <c:axId val="-20759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93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9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812920"/>
        <c:axId val="-2073816056"/>
      </c:barChart>
      <c:catAx>
        <c:axId val="-207381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81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81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0.194207737332456</c:v>
                </c:pt>
                <c:pt idx="2">
                  <c:v>0.194207737332456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956376"/>
        <c:axId val="-2073959512"/>
      </c:barChart>
      <c:catAx>
        <c:axId val="-207395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95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956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773512"/>
        <c:axId val="-2074770488"/>
      </c:barChart>
      <c:catAx>
        <c:axId val="-20747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77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477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1242.863194411793</c:v>
                </c:pt>
                <c:pt idx="6">
                  <c:v>1967.19723687314</c:v>
                </c:pt>
                <c:pt idx="7">
                  <c:v>2133.165071001467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234.9665829792843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14583.75111111111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984744"/>
        <c:axId val="-207498813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84744"/>
        <c:axId val="-2074988136"/>
      </c:lineChart>
      <c:catAx>
        <c:axId val="-207498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98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984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5103640"/>
        <c:axId val="-20751068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103640"/>
        <c:axId val="-2075106888"/>
      </c:lineChart>
      <c:catAx>
        <c:axId val="-207510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510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5103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567640"/>
        <c:axId val="-20725643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67640"/>
        <c:axId val="-2072564360"/>
      </c:lineChart>
      <c:catAx>
        <c:axId val="-2072567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4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564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56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0.33179621788418</c:v>
                </c:pt>
                <c:pt idx="2">
                  <c:v>0.32394500186129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0.147063725436543</c:v>
                </c:pt>
                <c:pt idx="2">
                  <c:v>0.298040176464629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-0.648316579331181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92008"/>
        <c:axId val="-2072488632"/>
      </c:barChart>
      <c:catAx>
        <c:axId val="-207249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88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88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92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0.0993221385170218</c:v>
                </c:pt>
                <c:pt idx="2">
                  <c:v>0.187412735976849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-0.215377998686343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429608"/>
        <c:axId val="-2072426200"/>
      </c:barChart>
      <c:catAx>
        <c:axId val="-20724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6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426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4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0.0254773019506606</c:v>
                </c:pt>
                <c:pt idx="2">
                  <c:v>0.105963986065683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0.0254773019506606</c:v>
                </c:pt>
                <c:pt idx="2">
                  <c:v>0.105963986065683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-0.224551041370751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74264"/>
        <c:axId val="-2072370760"/>
      </c:barChart>
      <c:catAx>
        <c:axId val="-20723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0.31665846823508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-0.749083863154708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313208"/>
        <c:axId val="-2072309832"/>
      </c:barChart>
      <c:catAx>
        <c:axId val="-207231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09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230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231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0.00954693372549234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0.245209820692782</c:v>
                </c:pt>
                <c:pt idx="2" formatCode="0.0%">
                  <c:v>0.462690836812289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4854424"/>
        <c:axId val="-2074851128"/>
      </c:barChart>
      <c:catAx>
        <c:axId val="-20748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1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485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48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2145400"/>
        <c:axId val="-20721419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45400"/>
        <c:axId val="-20721419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145400"/>
        <c:axId val="-2072141976"/>
      </c:scatterChart>
      <c:catAx>
        <c:axId val="-207214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1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2141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4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995336"/>
        <c:axId val="-20739987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95336"/>
        <c:axId val="-2073998760"/>
      </c:lineChart>
      <c:catAx>
        <c:axId val="-20739953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8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998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9953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65752"/>
        <c:axId val="-20630624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058792"/>
        <c:axId val="-2063055896"/>
      </c:scatterChart>
      <c:valAx>
        <c:axId val="-20630657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2408"/>
        <c:crosses val="autoZero"/>
        <c:crossBetween val="midCat"/>
      </c:valAx>
      <c:valAx>
        <c:axId val="-2063062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65752"/>
        <c:crosses val="autoZero"/>
        <c:crossBetween val="midCat"/>
      </c:valAx>
      <c:valAx>
        <c:axId val="-20630587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3055896"/>
        <c:crosses val="autoZero"/>
        <c:crossBetween val="midCat"/>
      </c:valAx>
      <c:valAx>
        <c:axId val="-20630558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30587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5544"/>
        <c:axId val="209503149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75544"/>
        <c:axId val="2095031496"/>
      </c:lineChart>
      <c:catAx>
        <c:axId val="-20629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503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503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55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0.0040783157509138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0.0168372381594336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0.0937103526283483</c:v>
                </c:pt>
                <c:pt idx="2" formatCode="0.0%">
                  <c:v>0.389755654635284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6066728"/>
        <c:axId val="-2076070088"/>
      </c:barChart>
      <c:catAx>
        <c:axId val="-207606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60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606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0.499658379415209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662120"/>
        <c:axId val="-2073658792"/>
      </c:barChart>
      <c:catAx>
        <c:axId val="-20736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58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658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66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-0.113173717546055</c:v>
                </c:pt>
                <c:pt idx="1">
                  <c:v>-0.0823007775560911</c:v>
                </c:pt>
                <c:pt idx="2">
                  <c:v>-0.143214390328159</c:v>
                </c:pt>
                <c:pt idx="3">
                  <c:v>2.428681623333019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568600"/>
        <c:axId val="-2073565224"/>
      </c:barChart>
      <c:catAx>
        <c:axId val="-2073568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5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56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461672"/>
        <c:axId val="-2073458296"/>
      </c:barChart>
      <c:catAx>
        <c:axId val="-2073461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58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45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46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-0.262592333514905</c:v>
                </c:pt>
                <c:pt idx="1">
                  <c:v>-0.618596530077461</c:v>
                </c:pt>
                <c:pt idx="2">
                  <c:v>-0.618596530077461</c:v>
                </c:pt>
                <c:pt idx="3">
                  <c:v>-0.503615890321381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50808"/>
        <c:axId val="-2073347432"/>
      </c:barChart>
      <c:catAx>
        <c:axId val="-20733508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474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34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35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0.583698988202722</c:v>
                </c:pt>
                <c:pt idx="3">
                  <c:v>-0.28869631332071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244792"/>
        <c:axId val="-2073241416"/>
      </c:barChart>
      <c:catAx>
        <c:axId val="-20732447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32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244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065640"/>
        <c:axId val="-2073062584"/>
      </c:barChart>
      <c:catAx>
        <c:axId val="-207306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306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28712.41152899967</v>
      </c>
      <c r="T23" s="179">
        <f>SUM(T7:T22)</f>
        <v>28747.200643043027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0.49965837941520874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0.49965837941520874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1118.6974931488949</v>
      </c>
      <c r="T30" s="234">
        <f t="shared" si="24"/>
        <v>1083.9083791055382</v>
      </c>
      <c r="V30" s="56"/>
      <c r="W30" s="110"/>
      <c r="X30" s="118"/>
      <c r="Y30" s="183">
        <f>M30*4</f>
        <v>1.998633517660835</v>
      </c>
      <c r="Z30" s="122">
        <f>IF($Y30=0,0,AA30/($Y$30))</f>
        <v>-0.68160306637054313</v>
      </c>
      <c r="AA30" s="187">
        <f>IF(AA79*4/$I$83+SUM(AA6:AA29)&lt;1,AA79*4/$I$83,1-SUM(AA6:AA29))</f>
        <v>-1.3622747341885701</v>
      </c>
      <c r="AB30" s="122">
        <f>IF($Y30=0,0,AC30/($Y$30))</f>
        <v>-0.68160306637054313</v>
      </c>
      <c r="AC30" s="187">
        <f>IF(AC79*4/$I$83+SUM(AC6:AC29)&lt;1,AC79*4/$I$83,1-SUM(AC6:AC29))</f>
        <v>-1.3622747341885701</v>
      </c>
      <c r="AD30" s="122">
        <f>IF($Y30=0,0,AE30/($Y$30))</f>
        <v>-0.68160306637054313</v>
      </c>
      <c r="AE30" s="187">
        <f>IF(AE79*4/$I$83+SUM(AE6:AE29)&lt;1,AE79*4/$I$83,1-SUM(AE6:AE29))</f>
        <v>-1.3622747341885701</v>
      </c>
      <c r="AF30" s="122">
        <f>IF($Y30=0,0,AG30/($Y$30))</f>
        <v>-0.68160306637054313</v>
      </c>
      <c r="AG30" s="187">
        <f>IF(AG79*4/$I$83+SUM(AG6:AG29)&lt;1,AG79*4/$I$83,1-SUM(AG6:AG29))</f>
        <v>-1.3622747341885701</v>
      </c>
      <c r="AH30" s="123">
        <f t="shared" si="12"/>
        <v>-2.7264122654821725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7.7670719344863803E-2</v>
      </c>
      <c r="K31" s="22" t="str">
        <f t="shared" si="4"/>
        <v/>
      </c>
      <c r="L31" s="22">
        <f>(1-SUM(L6:L30))</f>
        <v>0.30205309937504254</v>
      </c>
      <c r="M31" s="241">
        <f t="shared" si="6"/>
        <v>7.7670719344863803E-2</v>
      </c>
      <c r="N31" s="167">
        <f>M31*I83</f>
        <v>1083.90837910554</v>
      </c>
      <c r="P31" s="22"/>
      <c r="Q31" s="238" t="s">
        <v>142</v>
      </c>
      <c r="R31" s="234">
        <f t="shared" si="24"/>
        <v>7977.3159711895714</v>
      </c>
      <c r="S31" s="234">
        <f t="shared" si="24"/>
        <v>17613.524159815563</v>
      </c>
      <c r="T31" s="234">
        <f>IF(T25&gt;T$23,T25-T$23,0)</f>
        <v>17578.735045772206</v>
      </c>
      <c r="V31" s="56"/>
      <c r="W31" s="129" t="s">
        <v>84</v>
      </c>
      <c r="X31" s="130"/>
      <c r="Y31" s="121">
        <f>M31*4</f>
        <v>0.31068287737945521</v>
      </c>
      <c r="Z31" s="131"/>
      <c r="AA31" s="132">
        <f>1-AA32+IF($Y32&lt;0,$Y32/4,0)</f>
        <v>1.8216296500407971</v>
      </c>
      <c r="AB31" s="131"/>
      <c r="AC31" s="133">
        <f>1-AC32+IF($Y32&lt;0,$Y32/4,0)</f>
        <v>2.0166754595053051</v>
      </c>
      <c r="AD31" s="134"/>
      <c r="AE31" s="133">
        <f>1-AE32+IF($Y32&lt;0,$Y32/4,0)</f>
        <v>1.9911883391067997</v>
      </c>
      <c r="AF31" s="134"/>
      <c r="AG31" s="133">
        <f>1-AG32+IF($Y32&lt;0,$Y32/4,0)</f>
        <v>2.0013301963421668</v>
      </c>
      <c r="AH31" s="123"/>
      <c r="AI31" s="182">
        <f>SUM(AA31,AC31,AE31,AG31)/4</f>
        <v>1.9577059112487671</v>
      </c>
      <c r="AJ31" s="135">
        <f t="shared" si="14"/>
        <v>1.919152554773051</v>
      </c>
      <c r="AK31" s="136">
        <f t="shared" si="15"/>
        <v>1.9962592677244833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0.9223292806551362</v>
      </c>
      <c r="J32" s="17"/>
      <c r="L32" s="22">
        <f>SUM(L6:L30)</f>
        <v>0.69794690062495746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50351.444159815554</v>
      </c>
      <c r="T32" s="234">
        <f t="shared" si="24"/>
        <v>50316.655045772197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-0.82162965004079713</v>
      </c>
      <c r="AB32" s="137"/>
      <c r="AC32" s="139">
        <f>SUM(AC6:AC30)</f>
        <v>-1.0166754595053051</v>
      </c>
      <c r="AD32" s="137"/>
      <c r="AE32" s="139">
        <f>SUM(AE6:AE30)</f>
        <v>-0.9911883391067996</v>
      </c>
      <c r="AF32" s="137"/>
      <c r="AG32" s="139">
        <f>SUM(AG6:AG30)</f>
        <v>-1.001330196342167</v>
      </c>
      <c r="AH32" s="127"/>
      <c r="AI32" s="110"/>
      <c r="AJ32" s="140">
        <f>SUM(AJ6:AJ31)</f>
        <v>0.99999999999999978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2.4013078480607426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6972.8194705364685</v>
      </c>
      <c r="K74" s="40">
        <f>B74/B$76</f>
        <v>0.22092134949331008</v>
      </c>
      <c r="L74" s="22">
        <f t="shared" si="45"/>
        <v>0.18249830829179797</v>
      </c>
      <c r="M74" s="24">
        <f>J74/B$76</f>
        <v>0.31665846823508031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1.4966584682350805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16494.826666666664</v>
      </c>
      <c r="K77" s="40"/>
      <c r="L77" s="22">
        <f>-(L131*G$37*F$9/F$7)/B$130</f>
        <v>-0.74908386315470787</v>
      </c>
      <c r="M77" s="24">
        <f>-J77/B$76</f>
        <v>-0.74908386315470776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6355.2895414148134</v>
      </c>
      <c r="AB77" s="112"/>
      <c r="AC77" s="111">
        <f>AC31*$I$83/4</f>
        <v>7035.7640785737867</v>
      </c>
      <c r="AD77" s="112"/>
      <c r="AE77" s="111">
        <f>AE31*$I$83/4</f>
        <v>6946.8447805673159</v>
      </c>
      <c r="AF77" s="112"/>
      <c r="AG77" s="111">
        <f>AG31*$I$83/4</f>
        <v>6982.2276253826749</v>
      </c>
      <c r="AH77" s="110"/>
      <c r="AI77" s="154">
        <f>SUM(AA77,AC77,AE77,AG77)</f>
        <v>27320.126025938593</v>
      </c>
      <c r="AJ77" s="153">
        <f>SUM(AA77,AC77)</f>
        <v>13391.053619988601</v>
      </c>
      <c r="AK77" s="160">
        <f>SUM(AE77,AG77)</f>
        <v>13929.072405949992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0.49965837941520874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0.49965837941520874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1.1819864827745694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1242.8631944117926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2.4813982974702048E-3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2.4813982974702048E-3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9.9255931898808193E-3</v>
      </c>
      <c r="Z18" s="116">
        <v>1.2941</v>
      </c>
      <c r="AA18" s="121">
        <f t="shared" ref="AA18:AA20" si="25">$M18*Z18*4</f>
        <v>1.2844710147024768E-2</v>
      </c>
      <c r="AB18" s="116">
        <v>1.1765000000000001</v>
      </c>
      <c r="AC18" s="121">
        <f t="shared" ref="AC18:AC20" si="26">$M18*AB18*4</f>
        <v>1.1677460387894785E-2</v>
      </c>
      <c r="AD18" s="116">
        <v>1.2353000000000001</v>
      </c>
      <c r="AE18" s="121">
        <f t="shared" ref="AE18:AE20" si="27">$M18*AD18*4</f>
        <v>1.2261085267459776E-2</v>
      </c>
      <c r="AF18" s="122">
        <f t="shared" ref="AF18:AF20" si="28">1-SUM(Z18,AB18,AD18)</f>
        <v>-2.7059000000000002</v>
      </c>
      <c r="AG18" s="121">
        <f t="shared" ref="AG18:AG20" si="29">$M18*AF18*4</f>
        <v>-2.6857662612498511E-2</v>
      </c>
      <c r="AH18" s="123">
        <f t="shared" ref="AH18:AH20" si="30">SUM(Z18,AB18,AD18,AF18)</f>
        <v>1</v>
      </c>
      <c r="AI18" s="183">
        <f t="shared" ref="AI18:AI20" si="31">SUM(AA18,AC18,AE18,AG18)/4</f>
        <v>2.4813982974702048E-3</v>
      </c>
      <c r="AJ18" s="120">
        <f t="shared" ref="AJ18:AJ20" si="32">(AA18+AC18)/2</f>
        <v>1.2261085267459776E-2</v>
      </c>
      <c r="AK18" s="119">
        <f t="shared" ref="AK18:AK20" si="33">(AE18+AG18)/2</f>
        <v>-7.2982886725193674E-3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30513.861313566751</v>
      </c>
      <c r="T23" s="179">
        <f>SUM(T7:T22)</f>
        <v>30464.870575477878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0.56791227729856719</v>
      </c>
      <c r="J30" s="231">
        <f>IF(I$32&lt;=1,I30,1-SUM(J6:J29))</f>
        <v>0.52249818447567831</v>
      </c>
      <c r="K30" s="22">
        <f t="shared" si="4"/>
        <v>0.57048734589041095</v>
      </c>
      <c r="L30" s="22">
        <f>IF(L124=L119,0,IF(K30="",0,(L119-L124)/(B119-B124)*K30))</f>
        <v>0.2578193666850912</v>
      </c>
      <c r="M30" s="175">
        <f t="shared" si="6"/>
        <v>0.52249818447567831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2.0899927379027132</v>
      </c>
      <c r="Z30" s="122">
        <f>IF($Y30=0,0,AA30/($Y$30))</f>
        <v>-5.4150292244375987E-2</v>
      </c>
      <c r="AA30" s="187">
        <f>IF(AA79*4/$I$83+SUM(AA6:AA29)&lt;1,AA79*4/$I$83,1-SUM(AA6:AA29))</f>
        <v>-0.11317371754605543</v>
      </c>
      <c r="AB30" s="122">
        <f>IF($Y30=0,0,AC30/($Y$30))</f>
        <v>-3.9378499295016266E-2</v>
      </c>
      <c r="AC30" s="187">
        <f>IF(AC79*4/$I$83+SUM(AC6:AC29)&lt;1,AC79*4/$I$83,1-SUM(AC6:AC29))</f>
        <v>-8.2300777556091109E-2</v>
      </c>
      <c r="AD30" s="122">
        <f>IF($Y30=0,0,AE30/($Y$30))</f>
        <v>-6.8523869835008855E-2</v>
      </c>
      <c r="AE30" s="187">
        <f>IF(AE79*4/$I$83+SUM(AE6:AE29)&lt;1,AE79*4/$I$83,1-SUM(AE6:AE29))</f>
        <v>-0.1432143903281593</v>
      </c>
      <c r="AF30" s="122">
        <f>IF($Y30=0,0,AG30/($Y$30))</f>
        <v>1.1620526613744011</v>
      </c>
      <c r="AG30" s="187">
        <f>IF(AG79*4/$I$83+SUM(AG6:AG29)&lt;1,AG79*4/$I$83,1-SUM(AG6:AG29))</f>
        <v>2.4286816233330191</v>
      </c>
      <c r="AH30" s="123">
        <f t="shared" si="12"/>
        <v>1</v>
      </c>
      <c r="AI30" s="183">
        <f t="shared" si="13"/>
        <v>0.52249818447567831</v>
      </c>
      <c r="AJ30" s="120">
        <f t="shared" si="14"/>
        <v>-9.773724755107327E-2</v>
      </c>
      <c r="AK30" s="119">
        <f t="shared" si="15"/>
        <v>1.1427336165024298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0.26926901400265713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15812.074375248481</v>
      </c>
      <c r="T31" s="234">
        <f>IF(T25&gt;T$23,T25-T$23,0)</f>
        <v>15861.065113337354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1.0450345002539367</v>
      </c>
      <c r="J32" s="17"/>
      <c r="L32" s="22">
        <f>SUM(L6:L30)</f>
        <v>0.73073098599734287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48549.994375248469</v>
      </c>
      <c r="T32" s="234">
        <f t="shared" si="50"/>
        <v>48598.985113337345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1.8628813386229981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15861.065113337354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26936.094999999998</v>
      </c>
      <c r="J65" s="39">
        <f>SUM(J37:J64)</f>
        <v>26936.095000000001</v>
      </c>
      <c r="K65" s="40">
        <f>SUM(K37:K64)</f>
        <v>1</v>
      </c>
      <c r="L65" s="22">
        <f>SUM(L37:L64)</f>
        <v>1.1088565297363582</v>
      </c>
      <c r="M65" s="24">
        <f>SUM(M37:M64)</f>
        <v>1.1010053137134683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6506.4000000000005</v>
      </c>
      <c r="AB65" s="137"/>
      <c r="AC65" s="153">
        <f>SUM(AC37:AC64)</f>
        <v>6506.4000000000005</v>
      </c>
      <c r="AD65" s="137"/>
      <c r="AE65" s="153">
        <f>SUM(AE37:AE64)</f>
        <v>6506.4000000000005</v>
      </c>
      <c r="AF65" s="137"/>
      <c r="AG65" s="153">
        <f>SUM(AG37:AG64)</f>
        <v>6801.4000000000005</v>
      </c>
      <c r="AH65" s="137"/>
      <c r="AI65" s="153">
        <f>SUM(AI37:AI64)</f>
        <v>26320.600000000002</v>
      </c>
      <c r="AJ65" s="153">
        <f>SUM(AJ37:AJ64)</f>
        <v>13012.800000000001</v>
      </c>
      <c r="AK65" s="153">
        <f>SUM(AK37:AK64)</f>
        <v>13307.800000000001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7925.3144705364693</v>
      </c>
      <c r="J71" s="51">
        <f t="shared" si="75"/>
        <v>7925.3144705364693</v>
      </c>
      <c r="K71" s="40">
        <f t="shared" ref="K71:K72" si="78">B71/B$76</f>
        <v>0.57137407180325639</v>
      </c>
      <c r="L71" s="22">
        <f t="shared" si="76"/>
        <v>0.33179621788418023</v>
      </c>
      <c r="M71" s="24">
        <f t="shared" ref="M71:M72" si="79">J71/B$76</f>
        <v>0.32394500186129038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7925.3144705364693</v>
      </c>
      <c r="J74" s="51">
        <f t="shared" si="75"/>
        <v>7291.5529172071556</v>
      </c>
      <c r="K74" s="40">
        <f>B74/B$76</f>
        <v>0.19722051910893112</v>
      </c>
      <c r="L74" s="22">
        <f t="shared" si="76"/>
        <v>0.14706372543654339</v>
      </c>
      <c r="M74" s="24">
        <f>J74/B$76</f>
        <v>0.29804017646462927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-394.83972138209975</v>
      </c>
      <c r="AB74" s="156"/>
      <c r="AC74" s="147">
        <f>AC30*$I$83/4</f>
        <v>-287.13041140981579</v>
      </c>
      <c r="AD74" s="156"/>
      <c r="AE74" s="147">
        <f>AE30*$I$83/4</f>
        <v>-499.64542299378223</v>
      </c>
      <c r="AF74" s="156"/>
      <c r="AG74" s="147">
        <f>AG30*$I$83/4</f>
        <v>8473.1684729928529</v>
      </c>
      <c r="AH74" s="155"/>
      <c r="AI74" s="147">
        <f>SUM(AA74,AC74,AE74,AG74)</f>
        <v>7291.5529172071547</v>
      </c>
      <c r="AJ74" s="148">
        <f>(AA74+AC74)</f>
        <v>-681.9701327919156</v>
      </c>
      <c r="AK74" s="147">
        <f>(AE74+AG74)</f>
        <v>7973.5230499990703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2148.5445890162164</v>
      </c>
      <c r="AB75" s="158"/>
      <c r="AC75" s="149">
        <f>AA75+AC65-SUM(AC70,AC74)</f>
        <v>4189.3798680601485</v>
      </c>
      <c r="AD75" s="158"/>
      <c r="AE75" s="149">
        <f>AC75+AE65-SUM(AE70,AE74)</f>
        <v>6442.7301586880467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18.266553329311137</v>
      </c>
      <c r="AJ75" s="151">
        <f>AJ76-SUM(AJ70,AJ74)</f>
        <v>4189.3798680601485</v>
      </c>
      <c r="AK75" s="149">
        <f>AJ75+AK76-SUM(AK70,AK74)</f>
        <v>18.266553329311137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26936.095000000005</v>
      </c>
      <c r="J76" s="51">
        <f t="shared" si="75"/>
        <v>26936.095000000005</v>
      </c>
      <c r="K76" s="40">
        <f>SUM(K70:K75)</f>
        <v>2.6105373233714886</v>
      </c>
      <c r="L76" s="22">
        <f>SUM(L70:L75)</f>
        <v>1.2559202551729016</v>
      </c>
      <c r="M76" s="24">
        <f>SUM(M70:M75)</f>
        <v>1.3990454901780975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6506.4000000000005</v>
      </c>
      <c r="AB76" s="137"/>
      <c r="AC76" s="153">
        <f>AC65</f>
        <v>6506.4000000000005</v>
      </c>
      <c r="AD76" s="137"/>
      <c r="AE76" s="153">
        <f>AE65</f>
        <v>6506.4000000000005</v>
      </c>
      <c r="AF76" s="137"/>
      <c r="AG76" s="153">
        <f>AG65</f>
        <v>6801.4000000000005</v>
      </c>
      <c r="AH76" s="137"/>
      <c r="AI76" s="153">
        <f>SUM(AA76,AC76,AE76,AG76)</f>
        <v>26320.600000000002</v>
      </c>
      <c r="AJ76" s="154">
        <f>SUM(AA76,AC76)</f>
        <v>13012.800000000001</v>
      </c>
      <c r="AK76" s="154">
        <f>SUM(AE76,AG76)</f>
        <v>13307.800000000001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75"/>
        <v>15861.065113337354</v>
      </c>
      <c r="K77" s="40"/>
      <c r="L77" s="22">
        <f>-(L131*G$37*F$9/F$7)/B$130</f>
        <v>-0.67422140472784242</v>
      </c>
      <c r="M77" s="24">
        <f>-J77/B$76</f>
        <v>-0.64831657933118148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7.746677571788708E-13</v>
      </c>
      <c r="AH77" s="110"/>
      <c r="AI77" s="154">
        <f>SUM(AA77,AC77,AE77,AG77)</f>
        <v>7.746677571788708E-13</v>
      </c>
      <c r="AJ77" s="153">
        <f>SUM(AA77,AC77)</f>
        <v>0</v>
      </c>
      <c r="AK77" s="160">
        <f>SUM(AE77,AG77)</f>
        <v>7.746677571788708E-13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2148.5445890162164</v>
      </c>
      <c r="AD78" s="112"/>
      <c r="AE78" s="112">
        <f>AC75</f>
        <v>4189.3798680601485</v>
      </c>
      <c r="AF78" s="112"/>
      <c r="AG78" s="112">
        <f>AE75</f>
        <v>6442.7301586880467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1753.7048676341165</v>
      </c>
      <c r="AB79" s="112"/>
      <c r="AC79" s="112">
        <f>AA79-AA74+AC65-AC70</f>
        <v>3902.2494566503328</v>
      </c>
      <c r="AD79" s="112"/>
      <c r="AE79" s="112">
        <f>AC79-AC74+AE65-AE70</f>
        <v>5943.0847356942641</v>
      </c>
      <c r="AF79" s="112"/>
      <c r="AG79" s="112">
        <f>AE79-AE74+AG65-AG70</f>
        <v>8491.435026322164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0.28606060606060607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1.9301870114871373</v>
      </c>
      <c r="J119" s="24">
        <f>SUM(J91:J118)</f>
        <v>1.9301870114871373</v>
      </c>
      <c r="K119" s="22">
        <f>SUM(K91:K118)</f>
        <v>2.8926368740329336</v>
      </c>
      <c r="L119" s="22">
        <f>SUM(L91:L118)</f>
        <v>1.9439510823803552</v>
      </c>
      <c r="M119" s="57">
        <f t="shared" si="80"/>
        <v>1.9301870114871373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0.56791227729856719</v>
      </c>
      <c r="J125" s="237">
        <f>IF(SUMPRODUCT($B$124:$B125,$H$124:$H125)&lt;J$119,($B125*$H125),IF(SUMPRODUCT($B$124:$B124,$H$124:$H124)&lt;J$119,J$119-SUMPRODUCT($B$124:$B124,$H$124:$H124),0))</f>
        <v>0.56791227729856719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0.58167634819178504</v>
      </c>
      <c r="M125" s="240">
        <f t="shared" si="93"/>
        <v>0.56791227729856719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0.56791227729856719</v>
      </c>
      <c r="J128" s="228">
        <f>(J30)</f>
        <v>0.52249818447567831</v>
      </c>
      <c r="K128" s="29">
        <f>(B128)</f>
        <v>0.57048734589041095</v>
      </c>
      <c r="L128" s="29">
        <f>IF(L124=L119,0,(L119-L124)/(B119-B124)*K128)</f>
        <v>0.2578193666850912</v>
      </c>
      <c r="M128" s="240">
        <f t="shared" si="93"/>
        <v>0.52249818447567831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1.9301870114871373</v>
      </c>
      <c r="J130" s="228">
        <f>(J119)</f>
        <v>1.9301870114871373</v>
      </c>
      <c r="K130" s="29">
        <f>(B130)</f>
        <v>2.8926368740329336</v>
      </c>
      <c r="L130" s="29">
        <f>(L119)</f>
        <v>1.9439510823803552</v>
      </c>
      <c r="M130" s="240">
        <f t="shared" si="93"/>
        <v>1.9301870114871373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1.1819864827745692</v>
      </c>
      <c r="J131" s="237">
        <f>IF(SUMPRODUCT($B124:$B125,$H124:$H125)&gt;(J119-J128),SUMPRODUCT($B124:$B125,$H124:$H125)+J128-J119,0)</f>
        <v>1.1365723899516806</v>
      </c>
      <c r="K131" s="29"/>
      <c r="L131" s="29">
        <f>IF(I131&lt;SUM(L126:L127),0,I131-(SUM(L126:L127)))</f>
        <v>1.1819864827745692</v>
      </c>
      <c r="M131" s="237">
        <f>IF(I131&lt;SUM(M126:M127),0,I131-(SUM(M126:M127)))</f>
        <v>1.1819864827745692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1967.1972368731397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9.5469337254923438E-3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9.5469337254923438E-3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37910.13294675987</v>
      </c>
      <c r="T23" s="179">
        <f>SUM(T7:T22)</f>
        <v>38905.517500074653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1.1129449059719678</v>
      </c>
      <c r="J30" s="231">
        <f>IF(I$32&lt;=1,I30,1-SUM(J6:J29))</f>
        <v>0.46269083681228884</v>
      </c>
      <c r="K30" s="22">
        <f t="shared" si="4"/>
        <v>0.56457277397260275</v>
      </c>
      <c r="L30" s="22">
        <f>IF(L124=L119,0,IF(K30="",0,(L119-L124)/(B119-B124)*K30))</f>
        <v>0.24520982069278213</v>
      </c>
      <c r="M30" s="175">
        <f t="shared" si="6"/>
        <v>0.46269083681228884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1.8507633472491554</v>
      </c>
      <c r="Z30" s="122">
        <f>IF($Y30=0,0,AA30/($Y$30))</f>
        <v>-0.14188325801091972</v>
      </c>
      <c r="AA30" s="187">
        <f>IF(AA79*4/$I$84+SUM(AA6:AA29)&lt;1,AA79*4/$I$84,1-SUM(AA6:AA29))</f>
        <v>-0.2625923335149053</v>
      </c>
      <c r="AB30" s="122">
        <f>IF($Y30=0,0,AC30/($Y$30))</f>
        <v>-0.33423858917289406</v>
      </c>
      <c r="AC30" s="187">
        <f>IF(AC79*4/$I$84+SUM(AC6:AC29)&lt;1,AC79*4/$I$84,1-SUM(AC6:AC29))</f>
        <v>-0.61859653007746074</v>
      </c>
      <c r="AD30" s="122">
        <f>IF($Y30=0,0,AE30/($Y$30))</f>
        <v>-0.33423858917289406</v>
      </c>
      <c r="AE30" s="187">
        <f>IF(AE79*4/$I$84+SUM(AE6:AE29)&lt;1,AE79*4/$I$84,1-SUM(AE6:AE29))</f>
        <v>-0.61859653007746074</v>
      </c>
      <c r="AF30" s="122">
        <f>IF($Y30=0,0,AG30/($Y$30))</f>
        <v>-0.27211252647180445</v>
      </c>
      <c r="AG30" s="187">
        <f>IF(AG79*4/$I$84+SUM(AG6:AG29)&lt;1,AG79*4/$I$84,1-SUM(AG6:AG29))</f>
        <v>-0.50361589032138121</v>
      </c>
      <c r="AH30" s="123">
        <f t="shared" si="12"/>
        <v>-1.0824729628285124</v>
      </c>
      <c r="AI30" s="183">
        <f t="shared" si="13"/>
        <v>-0.50085032099780191</v>
      </c>
      <c r="AJ30" s="120">
        <f t="shared" si="14"/>
        <v>-0.44059443179618302</v>
      </c>
      <c r="AK30" s="119">
        <f t="shared" si="15"/>
        <v>-0.56110621019942097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0.22787294950306092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8415.8027420553626</v>
      </c>
      <c r="T31" s="234">
        <f>IF(T25&gt;T$23,T25-T$23,0)</f>
        <v>7420.4181887405794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0.56427907848357062</v>
      </c>
      <c r="AB31" s="131"/>
      <c r="AC31" s="133">
        <f>1-AC32+IF($Y32&lt;0,$Y32/4,0)</f>
        <v>1.2504596969041586</v>
      </c>
      <c r="AD31" s="134"/>
      <c r="AE31" s="133">
        <f>1-AE32+IF($Y32&lt;0,$Y32/4,0)</f>
        <v>1.2085650809969355</v>
      </c>
      <c r="AF31" s="134"/>
      <c r="AG31" s="133">
        <f>1-AG32+IF($Y32&lt;0,$Y32/4,0)</f>
        <v>1.0489000788734837</v>
      </c>
      <c r="AH31" s="123"/>
      <c r="AI31" s="182">
        <f>SUM(AA31,AC31,AE31,AG31)/4</f>
        <v>1.0180509838145371</v>
      </c>
      <c r="AJ31" s="135">
        <f t="shared" si="14"/>
        <v>0.90736938769386466</v>
      </c>
      <c r="AK31" s="136">
        <f t="shared" si="15"/>
        <v>1.1287325799352095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1.6503363384229788</v>
      </c>
      <c r="J32" s="17"/>
      <c r="L32" s="22">
        <f>SUM(L6:L30)</f>
        <v>0.77212705049693908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41153.722742055354</v>
      </c>
      <c r="T32" s="234">
        <f t="shared" si="24"/>
        <v>40158.33818874057</v>
      </c>
      <c r="V32" s="56"/>
      <c r="W32" s="110"/>
      <c r="X32" s="118"/>
      <c r="Y32" s="115">
        <f>SUM(Y6:Y31)</f>
        <v>3.7819606959822147</v>
      </c>
      <c r="Z32" s="137"/>
      <c r="AA32" s="138">
        <f>SUM(AA6:AA30)</f>
        <v>0.43572092151642938</v>
      </c>
      <c r="AB32" s="137"/>
      <c r="AC32" s="139">
        <f>SUM(AC6:AC30)</f>
        <v>-0.25045969690415848</v>
      </c>
      <c r="AD32" s="137"/>
      <c r="AE32" s="139">
        <f>SUM(AE6:AE30)</f>
        <v>-0.20856508099693555</v>
      </c>
      <c r="AF32" s="137"/>
      <c r="AG32" s="139">
        <f>SUM(AG6:AG30)</f>
        <v>-4.8900078873483688E-2</v>
      </c>
      <c r="AH32" s="127"/>
      <c r="AI32" s="110"/>
      <c r="AJ32" s="140">
        <f>SUM(AJ6:AJ31)</f>
        <v>1.0000000000000002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0.98255840574775788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7420.4181887405866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34542.119999999995</v>
      </c>
      <c r="J65" s="39">
        <f>SUM(J37:J64)</f>
        <v>34542.120000000003</v>
      </c>
      <c r="K65" s="40">
        <f>SUM(K37:K64)</f>
        <v>1</v>
      </c>
      <c r="L65" s="22">
        <f>SUM(L37:L64)</f>
        <v>0.98597683801120362</v>
      </c>
      <c r="M65" s="24">
        <f>SUM(M37:M64)</f>
        <v>1.0025867123327432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15531.339470536464</v>
      </c>
      <c r="J71" s="51">
        <f t="shared" si="44"/>
        <v>15531.339470536464</v>
      </c>
      <c r="K71" s="40">
        <f t="shared" ref="K71:K72" si="47">B71/B$76</f>
        <v>0.40573147960022837</v>
      </c>
      <c r="L71" s="22">
        <f t="shared" si="45"/>
        <v>0.43418800889723574</v>
      </c>
      <c r="M71" s="24">
        <f t="shared" ref="M71:M72" si="48">J71/B$76</f>
        <v>0.45079788321877529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15531.339470536464</v>
      </c>
      <c r="J74" s="51">
        <f t="shared" si="44"/>
        <v>6456.9309926103833</v>
      </c>
      <c r="K74" s="40">
        <f>B74/B$76</f>
        <v>0.13859392323812963</v>
      </c>
      <c r="L74" s="22">
        <f t="shared" si="45"/>
        <v>9.9322138517021819E-2</v>
      </c>
      <c r="M74" s="24">
        <f>J74/B$76</f>
        <v>0.18741273597684913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-1958.3551323658842</v>
      </c>
      <c r="AB74" s="156"/>
      <c r="AC74" s="147">
        <f>AC30*$I$84/4</f>
        <v>-4613.3551323658839</v>
      </c>
      <c r="AD74" s="156"/>
      <c r="AE74" s="147">
        <f>AE30*$I$84/4</f>
        <v>-4613.3551323658839</v>
      </c>
      <c r="AF74" s="156"/>
      <c r="AG74" s="147">
        <f>AG30*$I$84/4</f>
        <v>-3755.8551323658844</v>
      </c>
      <c r="AH74" s="155"/>
      <c r="AI74" s="147">
        <f>SUM(AA74,AC74,AE74,AG74)</f>
        <v>-14940.920529463538</v>
      </c>
      <c r="AJ74" s="148">
        <f>(AA74+AC74)</f>
        <v>-6571.7102647317679</v>
      </c>
      <c r="AK74" s="147">
        <f>(AE74+AG74)</f>
        <v>-8369.2102647317679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34542.120000000003</v>
      </c>
      <c r="J76" s="51">
        <f t="shared" si="44"/>
        <v>34542.120000000003</v>
      </c>
      <c r="K76" s="40">
        <f>SUM(K70:K75)</f>
        <v>1.9617093447190888</v>
      </c>
      <c r="L76" s="22">
        <f>SUM(L70:L75)</f>
        <v>1.0852989765282255</v>
      </c>
      <c r="M76" s="24">
        <f>SUM(M70:M75)</f>
        <v>1.1899994483095924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7420.4181887405866</v>
      </c>
      <c r="K77" s="40"/>
      <c r="L77" s="22">
        <f>-(L131*G$37*F$9/F$7)/B$130</f>
        <v>-0.47876314592826941</v>
      </c>
      <c r="M77" s="24">
        <f>-J77/B$76</f>
        <v>-0.21537799868634333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4208.2676772902305</v>
      </c>
      <c r="AB77" s="112"/>
      <c r="AC77" s="111">
        <f>AC31*$I$84/4</f>
        <v>9325.6498865377016</v>
      </c>
      <c r="AD77" s="112"/>
      <c r="AE77" s="111">
        <f>AE31*$I$84/4</f>
        <v>9013.2091728953492</v>
      </c>
      <c r="AF77" s="112"/>
      <c r="AG77" s="111">
        <f>AG31*$I$84/4</f>
        <v>7822.4631515537803</v>
      </c>
      <c r="AH77" s="110"/>
      <c r="AI77" s="154">
        <f>SUM(AA77,AC77,AE77,AG77)</f>
        <v>30369.58988827706</v>
      </c>
      <c r="AJ77" s="153">
        <f>SUM(AA77,AC77)</f>
        <v>13533.917563827932</v>
      </c>
      <c r="AK77" s="160">
        <f>SUM(AE77,AG77)</f>
        <v>16835.67232444913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-1958.3551323658839</v>
      </c>
      <c r="AB79" s="112"/>
      <c r="AC79" s="112">
        <f>AA79-AA74+AC65-AC70</f>
        <v>-4613.3551323658839</v>
      </c>
      <c r="AD79" s="112"/>
      <c r="AE79" s="112">
        <f>AC79-AC74+AE65-AE70</f>
        <v>-4613.3551323658839</v>
      </c>
      <c r="AF79" s="112"/>
      <c r="AG79" s="112">
        <f>AE79-AE74+AG65-AG70</f>
        <v>-3755.8551323658839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0.28606060606060607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2.475219640160538</v>
      </c>
      <c r="J119" s="24">
        <f>SUM(J91:J118)</f>
        <v>2.475219640160538</v>
      </c>
      <c r="K119" s="22">
        <f>SUM(K91:K118)</f>
        <v>4.0735752389559234</v>
      </c>
      <c r="L119" s="22">
        <f>SUM(L91:L118)</f>
        <v>2.4342126263675725</v>
      </c>
      <c r="M119" s="57">
        <f t="shared" si="49"/>
        <v>2.475219640160538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1.1129449059719678</v>
      </c>
      <c r="J125" s="237">
        <f>IF(SUMPRODUCT($B$124:$B125,$H$124:$H125)&lt;J$119,($B125*$H125),IF(SUMPRODUCT($B$124:$B124,$H$124:$H124)&lt;J$119,J$119-SUMPRODUCT($B$124:$B124,$H$124:$H124),0))</f>
        <v>1.1129449059719678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1.0719378921790024</v>
      </c>
      <c r="M125" s="57">
        <f t="shared" ref="M125:M126" si="65">(J125)</f>
        <v>1.1129449059719678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1.1129449059719678</v>
      </c>
      <c r="J128" s="228">
        <f>(J30)</f>
        <v>0.46269083681228884</v>
      </c>
      <c r="K128" s="22">
        <f>(B128)</f>
        <v>0.56457277397260275</v>
      </c>
      <c r="L128" s="22">
        <f>IF(L124=L119,0,(L119-L124)/(B119-B124)*K128)</f>
        <v>0.24520982069278213</v>
      </c>
      <c r="M128" s="57">
        <f t="shared" si="63"/>
        <v>0.46269083681228884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2.475219640160538</v>
      </c>
      <c r="J130" s="228">
        <f>(J119)</f>
        <v>2.475219640160538</v>
      </c>
      <c r="K130" s="22">
        <f>(B130)</f>
        <v>4.0735752389559234</v>
      </c>
      <c r="L130" s="22">
        <f>(L119)</f>
        <v>2.4342126263675725</v>
      </c>
      <c r="M130" s="57">
        <f t="shared" si="63"/>
        <v>2.475219640160538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0.53173241361489065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2133.1650710014669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234.96658297928434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14583.751111111109</v>
      </c>
      <c r="T14" s="222">
        <f>IF($B$81=0,0,(SUMIF($N$6:$N$28,$U14,M$6:M$28)+SUMIF($N$91:$N$118,$U14,M$91:M$118))*$I$83*Poor!$B$81/$B$81)</f>
        <v>14583.751111111109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4.0783157509137963E-3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4.0783157509137963E-3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1.6837238159433623E-2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1.6837238159433623E-2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33479.85153350819</v>
      </c>
      <c r="T23" s="179">
        <f>SUM(T7:T22)</f>
        <v>34799.780635486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0.74580078338942402</v>
      </c>
      <c r="J30" s="231">
        <f>IF(I$32&lt;=1,I30,1-SUM(J6:J29))</f>
        <v>0.3897556546352845</v>
      </c>
      <c r="K30" s="22">
        <f t="shared" si="4"/>
        <v>0.60560871481942702</v>
      </c>
      <c r="L30" s="22">
        <f>IF(L124=L119,0,IF(K30="",0,(L119-L124)/(B119-B124)*K30))</f>
        <v>9.3710352628348342E-2</v>
      </c>
      <c r="M30" s="175">
        <f t="shared" si="6"/>
        <v>0.3897556546352845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1.559022618541138</v>
      </c>
      <c r="Z30" s="122">
        <f>IF($Y30=0,0,AA30/($Y$30))</f>
        <v>0.12957499525861796</v>
      </c>
      <c r="AA30" s="187">
        <f>IF(AA79*4/$I$83+SUM(AA6:AA29)&lt;1,AA79*4/$I$83,1-SUM(AA6:AA29))</f>
        <v>0.2020103484055461</v>
      </c>
      <c r="AB30" s="122">
        <f>IF($Y30=0,0,AC30/($Y$30))</f>
        <v>0.40641782230916651</v>
      </c>
      <c r="AC30" s="187">
        <f>IF(AC79*4/$I$83+SUM(AC6:AC29)&lt;1,AC79*4/$I$83,1-SUM(AC6:AC29))</f>
        <v>0.6336145775582237</v>
      </c>
      <c r="AD30" s="122">
        <f>IF($Y30=0,0,AE30/($Y$30))</f>
        <v>0.37440058999844478</v>
      </c>
      <c r="AE30" s="187">
        <f>IF(AE79*4/$I$83+SUM(AE6:AE29)&lt;1,AE79*4/$I$83,1-SUM(AE6:AE29))</f>
        <v>0.58369898820272237</v>
      </c>
      <c r="AF30" s="122">
        <f>IF($Y30=0,0,AG30/($Y$30))</f>
        <v>-0.18517775809491413</v>
      </c>
      <c r="AG30" s="187">
        <f>IF(AG79*4/$I$83+SUM(AG6:AG29)&lt;1,AG79*4/$I$83,1-SUM(AG6:AG29))</f>
        <v>-0.28869631332071044</v>
      </c>
      <c r="AH30" s="123">
        <f t="shared" si="12"/>
        <v>0.72521564947131512</v>
      </c>
      <c r="AI30" s="183">
        <f t="shared" si="13"/>
        <v>0.28265690021144541</v>
      </c>
      <c r="AJ30" s="120">
        <f t="shared" si="14"/>
        <v>0.4178124629818849</v>
      </c>
      <c r="AK30" s="119">
        <f t="shared" si="15"/>
        <v>0.14750133744100596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0.32750927420686626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12846.084155307042</v>
      </c>
      <c r="T31" s="234">
        <f>IF(T25&gt;T$23,T25-T$23,0)</f>
        <v>11526.155053329232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9.6009859976488032E-3</v>
      </c>
      <c r="AF31" s="134"/>
      <c r="AG31" s="133">
        <f>1-AG32+IF($Y32&lt;0,$Y32/4,0)</f>
        <v>0.83695659769194086</v>
      </c>
      <c r="AH31" s="123"/>
      <c r="AI31" s="182">
        <f>SUM(AA31,AC31,AE31,AG31)/4</f>
        <v>0.21163939592239742</v>
      </c>
      <c r="AJ31" s="135">
        <f t="shared" si="14"/>
        <v>0</v>
      </c>
      <c r="AK31" s="136">
        <f t="shared" si="15"/>
        <v>0.42327879184479483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1.3526949546694458</v>
      </c>
      <c r="J32" s="17"/>
      <c r="L32" s="22">
        <f>SUM(L6:L30)</f>
        <v>0.67249072579313374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45584.004155307048</v>
      </c>
      <c r="T32" s="234">
        <f t="shared" si="24"/>
        <v>44264.075053329238</v>
      </c>
      <c r="V32" s="56"/>
      <c r="W32" s="110"/>
      <c r="X32" s="118"/>
      <c r="Y32" s="115">
        <f>SUM(Y6:Y31)</f>
        <v>3.5818374340057666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0.9903990140023512</v>
      </c>
      <c r="AF32" s="137"/>
      <c r="AG32" s="139">
        <f>SUM(AG6:AG30)</f>
        <v>0.16304340230805914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1.7533201029894454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12966.924434995401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8.161290033510496E-2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481.51611197711929</v>
      </c>
      <c r="AB37" s="122">
        <f>IF($J37=0,0,AC37/($J37))</f>
        <v>0.47196495317699699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2784.5932237442821</v>
      </c>
      <c r="AD37" s="122">
        <f>IF($J37=0,0,AE37/($J37))</f>
        <v>0.44642214648789807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2633.8906642785987</v>
      </c>
      <c r="AF37" s="122">
        <f t="shared" ref="AF37:AF64" si="31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5900</v>
      </c>
      <c r="AJ37" s="148">
        <f>(AA37+AC37)</f>
        <v>3266.1093357214013</v>
      </c>
      <c r="AK37" s="147">
        <f>(AE37+AG37)</f>
        <v>2633.8906642785987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8.161290033510496E-2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144.45483359313579</v>
      </c>
      <c r="AB38" s="122">
        <f>IF($J38=0,0,AC38/($J38))</f>
        <v>0.47196495317699699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835.37796712328463</v>
      </c>
      <c r="AD38" s="122">
        <f>IF($J38=0,0,AE38/($J38))</f>
        <v>0.44642214648789802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790.16719928357952</v>
      </c>
      <c r="AF38" s="122">
        <f t="shared" si="31"/>
        <v>0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979.83280071642048</v>
      </c>
      <c r="AK38" s="147">
        <f t="shared" ref="AK38:AK64" si="37">(AE38+AG38)</f>
        <v>790.16719928357952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11214.72</v>
      </c>
      <c r="J52" s="38">
        <f t="shared" si="33"/>
        <v>11214.720000000001</v>
      </c>
      <c r="K52" s="40">
        <f t="shared" si="28"/>
        <v>0.41145707061961001</v>
      </c>
      <c r="L52" s="22">
        <f t="shared" si="29"/>
        <v>0.19420773733245592</v>
      </c>
      <c r="M52" s="24">
        <f t="shared" si="30"/>
        <v>0.19420773733245594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2803.6800000000003</v>
      </c>
      <c r="AB52" s="156">
        <f>Poor!AB57</f>
        <v>0.25</v>
      </c>
      <c r="AC52" s="147">
        <f t="shared" si="39"/>
        <v>2803.6800000000003</v>
      </c>
      <c r="AD52" s="156">
        <f>Poor!AD57</f>
        <v>0.25</v>
      </c>
      <c r="AE52" s="147">
        <f t="shared" si="40"/>
        <v>2803.6800000000003</v>
      </c>
      <c r="AF52" s="122">
        <f t="shared" si="31"/>
        <v>0.25</v>
      </c>
      <c r="AG52" s="147">
        <f t="shared" si="34"/>
        <v>2803.6800000000003</v>
      </c>
      <c r="AH52" s="123">
        <f t="shared" si="35"/>
        <v>1</v>
      </c>
      <c r="AI52" s="112">
        <f t="shared" si="35"/>
        <v>11214.720000000001</v>
      </c>
      <c r="AJ52" s="148">
        <f t="shared" si="36"/>
        <v>5607.3600000000006</v>
      </c>
      <c r="AK52" s="147">
        <f t="shared" si="37"/>
        <v>5607.3600000000006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33095.880000000005</v>
      </c>
      <c r="J65" s="39">
        <f>SUM(J37:J64)</f>
        <v>33095.880000000005</v>
      </c>
      <c r="K65" s="40">
        <f>SUM(K37:K64)</f>
        <v>1</v>
      </c>
      <c r="L65" s="22">
        <f>SUM(L37:L64)</f>
        <v>0.55813909188515221</v>
      </c>
      <c r="M65" s="24">
        <f>SUM(M37:M64)</f>
        <v>0.57312852838291828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6139.6509455702553</v>
      </c>
      <c r="AB65" s="137"/>
      <c r="AC65" s="153">
        <f>SUM(AC37:AC64)</f>
        <v>7833.6511908675666</v>
      </c>
      <c r="AD65" s="137"/>
      <c r="AE65" s="153">
        <f>SUM(AE37:AE64)</f>
        <v>7637.7378635621781</v>
      </c>
      <c r="AF65" s="137"/>
      <c r="AG65" s="153">
        <f>SUM(AG37:AG64)</f>
        <v>4213.68</v>
      </c>
      <c r="AH65" s="137"/>
      <c r="AI65" s="153">
        <f>SUM(AI37:AI64)</f>
        <v>25824.720000000001</v>
      </c>
      <c r="AJ65" s="153">
        <f>SUM(AJ37:AJ64)</f>
        <v>13973.302136437822</v>
      </c>
      <c r="AK65" s="153">
        <f>SUM(AK37:AK64)</f>
        <v>11851.417863562179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11708.751904353518</v>
      </c>
      <c r="J71" s="51">
        <f t="shared" ref="J71:J72" si="49">J125*I$83</f>
        <v>11708.751904353518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11708.751904353518</v>
      </c>
      <c r="J74" s="51">
        <f>J128*I$83</f>
        <v>6118.9963393489161</v>
      </c>
      <c r="K74" s="40">
        <f>B74/B$76</f>
        <v>9.9787015593890305E-2</v>
      </c>
      <c r="L74" s="22">
        <f>(L128*G$37*F$9/F$7)/B$130</f>
        <v>2.5477301950660568E-2</v>
      </c>
      <c r="M74" s="24">
        <f>J74/B$76</f>
        <v>0.10596398606568275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2290.9558396505581</v>
      </c>
      <c r="AF74" s="156"/>
      <c r="AG74" s="147">
        <f>AG30*$I$83/4</f>
        <v>-1133.1020239116187</v>
      </c>
      <c r="AH74" s="155"/>
      <c r="AI74" s="147">
        <f>SUM(AA74,AC74,AE74,AG74)</f>
        <v>4437.5919043535232</v>
      </c>
      <c r="AJ74" s="148">
        <f>(AA74+AC74)</f>
        <v>3279.7380886145843</v>
      </c>
      <c r="AK74" s="147">
        <f>(AE74+AG74)</f>
        <v>1157.8538157389394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33095.879999999997</v>
      </c>
      <c r="J76" s="51">
        <f>J130*I$83</f>
        <v>33095.879999999997</v>
      </c>
      <c r="K76" s="40">
        <f>SUM(K70:K75)</f>
        <v>0.56365499031627642</v>
      </c>
      <c r="L76" s="22">
        <f>SUM(L70:L75)</f>
        <v>0.39584283541871856</v>
      </c>
      <c r="M76" s="24">
        <f>SUM(M70:M75)</f>
        <v>0.47632951953374075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6139.6509455702553</v>
      </c>
      <c r="AB76" s="137"/>
      <c r="AC76" s="153">
        <f>AC65</f>
        <v>7833.6511908675666</v>
      </c>
      <c r="AD76" s="137"/>
      <c r="AE76" s="153">
        <f>AE65</f>
        <v>7637.7378635621781</v>
      </c>
      <c r="AF76" s="137"/>
      <c r="AG76" s="153">
        <f>AG65</f>
        <v>4213.68</v>
      </c>
      <c r="AH76" s="137"/>
      <c r="AI76" s="153">
        <f>SUM(AA76,AC76,AE76,AG76)</f>
        <v>25824.720000000001</v>
      </c>
      <c r="AJ76" s="154">
        <f>SUM(AA76,AC76)</f>
        <v>13973.302136437822</v>
      </c>
      <c r="AK76" s="154">
        <f>SUM(AE76,AG76)</f>
        <v>11851.417863562179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12966.924434995401</v>
      </c>
      <c r="K77" s="40"/>
      <c r="L77" s="22">
        <f>-(L131*G$37*F$9/F$7)/B$130</f>
        <v>-0.32135005021992868</v>
      </c>
      <c r="M77" s="24">
        <f>-J77/B$76</f>
        <v>-0.22455104137075124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37.682838898596152</v>
      </c>
      <c r="AF77" s="112"/>
      <c r="AG77" s="111">
        <f>AG31*$I$83/4</f>
        <v>3284.9647571266282</v>
      </c>
      <c r="AH77" s="110"/>
      <c r="AI77" s="154">
        <f>SUM(AA77,AC77,AE77,AG77)</f>
        <v>3322.6475960252242</v>
      </c>
      <c r="AJ77" s="153">
        <f>SUM(AA77,AC77)</f>
        <v>0</v>
      </c>
      <c r="AK77" s="160">
        <f>SUM(AE77,AG77)</f>
        <v>3322.6475960252242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792.86892165863628</v>
      </c>
      <c r="AB79" s="112"/>
      <c r="AC79" s="112">
        <f>AA79-AA74+AC65-AC70</f>
        <v>2486.8691669559475</v>
      </c>
      <c r="AD79" s="112"/>
      <c r="AE79" s="112">
        <f>AC79-AC74+AE65-AE70</f>
        <v>2290.9558396505581</v>
      </c>
      <c r="AF79" s="112"/>
      <c r="AG79" s="112">
        <f>AE79-AE74+AG65-AG70</f>
        <v>-1133.1020239116187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0.28606060606060607</v>
      </c>
      <c r="I106" s="22">
        <f t="shared" si="59"/>
        <v>0.71433292205834342</v>
      </c>
      <c r="J106" s="24">
        <f t="shared" si="60"/>
        <v>0.71433292205834342</v>
      </c>
      <c r="K106" s="22">
        <f t="shared" si="61"/>
        <v>2.4971383927887003</v>
      </c>
      <c r="L106" s="22">
        <f t="shared" si="62"/>
        <v>0.71433292205834342</v>
      </c>
      <c r="M106" s="227">
        <f t="shared" si="63"/>
        <v>0.71433292205834342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2.1080755175779942</v>
      </c>
      <c r="J119" s="24">
        <f>SUM(J91:J118)</f>
        <v>2.1080755175779942</v>
      </c>
      <c r="K119" s="22">
        <f>SUM(K91:K118)</f>
        <v>6.0690131999148269</v>
      </c>
      <c r="L119" s="22">
        <f>SUM(L91:L118)</f>
        <v>2.0529415248724021</v>
      </c>
      <c r="M119" s="57">
        <f t="shared" si="50"/>
        <v>2.1080755175779942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0.74580078338942402</v>
      </c>
      <c r="J125" s="237">
        <f>IF(SUMPRODUCT($B$124:$B125,$H$124:$H125)&lt;J$119,($B125*$H125),IF(SUMPRODUCT($B$124:$B124,$H$124:$H124)&lt;J$119,J$119-SUMPRODUCT($B$124:$B124,$H$124:$H124),0))</f>
        <v>0.74580078338942402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0.69066679068383197</v>
      </c>
      <c r="M125" s="57">
        <f t="shared" ref="M125:M126" si="92">(J125)</f>
        <v>0.74580078338942402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0.74580078338942402</v>
      </c>
      <c r="J128" s="228">
        <f>(J30)</f>
        <v>0.3897556546352845</v>
      </c>
      <c r="K128" s="22">
        <f>(B128)</f>
        <v>0.60560871481942702</v>
      </c>
      <c r="L128" s="22">
        <f>IF(L124=L119,0,(L119-L124)/(B119-B124)*K128)</f>
        <v>9.3710352628348342E-2</v>
      </c>
      <c r="M128" s="57">
        <f t="shared" si="90"/>
        <v>0.3897556546352845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2.1080755175779942</v>
      </c>
      <c r="J130" s="228">
        <f>(J119)</f>
        <v>2.1080755175779942</v>
      </c>
      <c r="K130" s="22">
        <f>(B130)</f>
        <v>6.0690131999148269</v>
      </c>
      <c r="L130" s="22">
        <f>(L119)</f>
        <v>2.0529415248724021</v>
      </c>
      <c r="M130" s="57">
        <f t="shared" si="90"/>
        <v>2.1080755175779942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0.82594135402043012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1242.8631944117926</v>
      </c>
      <c r="H72" s="109">
        <f>Middle!T7</f>
        <v>1967.1972368731397</v>
      </c>
      <c r="I72" s="109">
        <f>Rich!T7</f>
        <v>2133.1650710014669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234.96658297928434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14583.751111111109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28747.200643043027</v>
      </c>
      <c r="G88" s="109">
        <f>Poor!T23</f>
        <v>30464.870575477878</v>
      </c>
      <c r="H88" s="109">
        <f>Middle!T23</f>
        <v>38905.517500074653</v>
      </c>
      <c r="I88" s="109">
        <f>Rich!T23</f>
        <v>34799.780635486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1083.9083791055382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17578.735045772206</v>
      </c>
      <c r="G99" s="239">
        <f t="shared" si="0"/>
        <v>15861.065113337354</v>
      </c>
      <c r="H99" s="239">
        <f t="shared" si="0"/>
        <v>7420.4181887405794</v>
      </c>
      <c r="I99" s="239">
        <f t="shared" si="0"/>
        <v>11526.155053329232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50316.655045772197</v>
      </c>
      <c r="G100" s="239">
        <f t="shared" si="0"/>
        <v>48598.985113337345</v>
      </c>
      <c r="H100" s="239">
        <f t="shared" si="0"/>
        <v>40158.33818874057</v>
      </c>
      <c r="I100" s="239">
        <f t="shared" si="0"/>
        <v>44264.075053329238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2016-06-02T07:32:54Z</dcterms:modified>
  <cp:category/>
</cp:coreProperties>
</file>