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<sst xmlns="http://schemas.openxmlformats.org/spreadsheetml/2006/main" count="790" uniqueCount="145">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</sst>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0.0785816307522383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0.0663192231258267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0.00732193416301302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0.00686150325929825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0.00433653769929572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0.0157106659574833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0.141292065522289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0.196050975548183</c:v>
                </c:pt>
                <c:pt idx="2" formatCode="0.0%">
                  <c:v>0.541031586296782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954664"/>
        <c:axId val="-2034958024"/>
      </c:barChart>
      <c:catAx>
        <c:axId val="-20349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95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0.043814050200505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0.0043814050200505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0.168245952769939</c:v>
                </c:pt>
                <c:pt idx="2">
                  <c:v>0.168245952769939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0.0114065052725382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36136"/>
        <c:axId val="-2033233112"/>
      </c:barChart>
      <c:catAx>
        <c:axId val="-20332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0.00341748492651368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-0.00119473824678651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-0.000434088229665765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-0.000637193731619472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-0.00106198955269912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-0.000318596865809736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-4.64620429305865E-5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0.294686639641007</c:v>
                </c:pt>
                <c:pt idx="2">
                  <c:v>0.294686639641007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948024"/>
        <c:axId val="-2033951160"/>
      </c:barChart>
      <c:catAx>
        <c:axId val="-203394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5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95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4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093128"/>
        <c:axId val="-2034096264"/>
      </c:barChart>
      <c:catAx>
        <c:axId val="-203409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9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2251.398788227296</c:v>
                </c:pt>
                <c:pt idx="6">
                  <c:v>3746.46087848238</c:v>
                </c:pt>
                <c:pt idx="7">
                  <c:v>6285.782612990379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759.0097807007438</c:v>
                </c:pt>
                <c:pt idx="6">
                  <c:v>223.9999999999999</c:v>
                </c:pt>
                <c:pt idx="7">
                  <c:v>-717.471798033609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6519.5</c:v>
                </c:pt>
                <c:pt idx="7">
                  <c:v>16341.97235528657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3656.871370829041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36816.0</c:v>
                </c:pt>
                <c:pt idx="7">
                  <c:v>100333.7142857143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5493.853462623794</c:v>
                </c:pt>
                <c:pt idx="6">
                  <c:v>1152.0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215784"/>
        <c:axId val="-2034219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15784"/>
        <c:axId val="-2034219176"/>
      </c:lineChart>
      <c:catAx>
        <c:axId val="-20342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2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688952"/>
        <c:axId val="-20326857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88952"/>
        <c:axId val="-2032685720"/>
      </c:lineChart>
      <c:catAx>
        <c:axId val="-203268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8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596248"/>
        <c:axId val="-2032592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96248"/>
        <c:axId val="-2032592968"/>
      </c:lineChart>
      <c:catAx>
        <c:axId val="-2032596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9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0.0406405640960411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0.0369684371936993</c:v>
                </c:pt>
                <c:pt idx="2">
                  <c:v>0.102019855610993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-0.257942830611083</c:v>
                </c:pt>
                <c:pt idx="2">
                  <c:v>-0.0117501588704712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528520"/>
        <c:axId val="-2032525144"/>
      </c:barChart>
      <c:catAx>
        <c:axId val="-20325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2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0.0149910471937832</c:v>
                </c:pt>
                <c:pt idx="2">
                  <c:v>0.0586507399624912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0.0275383859223161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0.0149910471937832</c:v>
                </c:pt>
                <c:pt idx="2">
                  <c:v>0.0586507399624912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-0.173172804400637</c:v>
                </c:pt>
                <c:pt idx="2">
                  <c:v>-0.0187085636412826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66216"/>
        <c:axId val="-2032462808"/>
      </c:barChart>
      <c:catAx>
        <c:axId val="-20324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6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0.00807740709404469</c:v>
                </c:pt>
                <c:pt idx="2">
                  <c:v>0.0125489015567149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0.181108235713584</c:v>
                </c:pt>
                <c:pt idx="2">
                  <c:v>0.153719001814101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0.00807740709404469</c:v>
                </c:pt>
                <c:pt idx="2">
                  <c:v>0.0125489015567149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10968"/>
        <c:axId val="-2032407464"/>
      </c:barChart>
      <c:catAx>
        <c:axId val="-20324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0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0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0.0108528307603436</c:v>
                </c:pt>
                <c:pt idx="2">
                  <c:v>0.0331954810720268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0.00539399173298292</c:v>
                </c:pt>
                <c:pt idx="2">
                  <c:v>0.0331954810720268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-0.679362781240923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349896"/>
        <c:axId val="-2032346520"/>
      </c:barChart>
      <c:catAx>
        <c:axId val="-203234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3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0.140175354452055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0.00331411550435865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0.0222896264009963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0.0180261519302615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0.118267101264579</c:v>
                </c:pt>
                <c:pt idx="2" formatCode="0.0%">
                  <c:v>0.462706368189074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36920"/>
        <c:axId val="-2035733608"/>
      </c:barChart>
      <c:catAx>
        <c:axId val="-20357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3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170680"/>
        <c:axId val="-20321672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70680"/>
        <c:axId val="-20321672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170680"/>
        <c:axId val="-2032167256"/>
      </c:scatterChart>
      <c:catAx>
        <c:axId val="-20321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67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16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872744"/>
        <c:axId val="-2032876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72744"/>
        <c:axId val="-2032876136"/>
      </c:lineChart>
      <c:catAx>
        <c:axId val="-2032872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6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876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2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2904"/>
        <c:axId val="-203305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9864"/>
        <c:axId val="-2033062760"/>
      </c:scatterChart>
      <c:valAx>
        <c:axId val="-20330529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6248"/>
        <c:crosses val="autoZero"/>
        <c:crossBetween val="midCat"/>
      </c:valAx>
      <c:valAx>
        <c:axId val="-203305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2904"/>
        <c:crosses val="autoZero"/>
        <c:crossBetween val="midCat"/>
      </c:valAx>
      <c:valAx>
        <c:axId val="-20330598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062760"/>
        <c:crosses val="autoZero"/>
        <c:crossBetween val="midCat"/>
      </c:valAx>
      <c:valAx>
        <c:axId val="-2033062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98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37720"/>
        <c:axId val="-20350434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037720"/>
        <c:axId val="-2035043480"/>
      </c:lineChart>
      <c:catAx>
        <c:axId val="-203503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43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043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377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0.230153024447481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0.127092679267451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0.0369271621894225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0.0602328851859799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0.0228540573938506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0.005500671195786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-0.0046455485960882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0.211615829213913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0.166318312603036</c:v>
                </c:pt>
                <c:pt idx="2" formatCode="0.0%">
                  <c:v>0.258388874998415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72760"/>
        <c:axId val="-2035569416"/>
      </c:barChart>
      <c:catAx>
        <c:axId val="-20355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6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6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7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0.0125722235166489</c:v>
                </c:pt>
                <c:pt idx="2" formatCode="0.0%">
                  <c:v>0.0773714585486425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184712"/>
        <c:axId val="-2057181432"/>
      </c:barChart>
      <c:catAx>
        <c:axId val="-20571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8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0.0157110080969311</c:v>
                </c:pt>
                <c:pt idx="1">
                  <c:v>0.0168508402127491</c:v>
                </c:pt>
                <c:pt idx="2">
                  <c:v>0.000771485023653179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0.148151596442216</c:v>
                </c:pt>
                <c:pt idx="1">
                  <c:v>0.158899980415586</c:v>
                </c:pt>
                <c:pt idx="2">
                  <c:v>0.00727494615115148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0.125033022181445</c:v>
                </c:pt>
                <c:pt idx="1">
                  <c:v>0.134104155831235</c:v>
                </c:pt>
                <c:pt idx="2">
                  <c:v>0.00613971449062664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0.00732193416301302</c:v>
                </c:pt>
                <c:pt idx="1">
                  <c:v>0.00732193416301302</c:v>
                </c:pt>
                <c:pt idx="2">
                  <c:v>0.00732193416301302</c:v>
                </c:pt>
                <c:pt idx="3">
                  <c:v>0.00732193416301302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0.027446013037193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0.00510150294945148</c:v>
                </c:pt>
                <c:pt idx="1">
                  <c:v>0.00306159561570278</c:v>
                </c:pt>
                <c:pt idx="2">
                  <c:v>0.00408154928257713</c:v>
                </c:pt>
                <c:pt idx="3">
                  <c:v>0.00510150294945148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0.141292065522289</c:v>
                </c:pt>
                <c:pt idx="1">
                  <c:v>0.141292065522289</c:v>
                </c:pt>
                <c:pt idx="2">
                  <c:v>0.141292065522289</c:v>
                </c:pt>
                <c:pt idx="3">
                  <c:v>0.141292065522289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0.289538928440216</c:v>
                </c:pt>
                <c:pt idx="3">
                  <c:v>1.87458741674691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82936"/>
        <c:axId val="-2057079624"/>
      </c:barChart>
      <c:catAx>
        <c:axId val="-205708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8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-1.786411197676593</c:v>
                </c:pt>
                <c:pt idx="1">
                  <c:v>-1.786411197676593</c:v>
                </c:pt>
                <c:pt idx="2">
                  <c:v>-1.786411197676593</c:v>
                </c:pt>
                <c:pt idx="3">
                  <c:v>-1.786411197676593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90328"/>
        <c:axId val="-2056487016"/>
      </c:barChart>
      <c:catAx>
        <c:axId val="-2056490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8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48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9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0.00357624976403905</c:v>
                </c:pt>
                <c:pt idx="1">
                  <c:v>0.00114889033558735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0.424370128896612</c:v>
                </c:pt>
                <c:pt idx="1">
                  <c:v>0.136331288911607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0.302520393574188</c:v>
                </c:pt>
                <c:pt idx="1">
                  <c:v>0.0971863766312911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0.0132564620174346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0.0222896264009963</c:v>
                </c:pt>
                <c:pt idx="1">
                  <c:v>0.0222896264009963</c:v>
                </c:pt>
                <c:pt idx="2">
                  <c:v>0.0222896264009963</c:v>
                </c:pt>
                <c:pt idx="3">
                  <c:v>0.0222896264009963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0.0721046077210461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0.187603494534246</c:v>
                </c:pt>
                <c:pt idx="2">
                  <c:v>-0.237774518431947</c:v>
                </c:pt>
                <c:pt idx="3">
                  <c:v>-0.237774518431947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680520"/>
        <c:axId val="-2033677144"/>
      </c:barChart>
      <c:catAx>
        <c:axId val="-203368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7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6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8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0.0175645583518543</c:v>
                </c:pt>
                <c:pt idx="1">
                  <c:v>0.021915728539302</c:v>
                </c:pt>
                <c:pt idx="2">
                  <c:v>0.00632796786778331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0.352996310297076</c:v>
                </c:pt>
                <c:pt idx="1">
                  <c:v>0.440442119686385</c:v>
                </c:pt>
                <c:pt idx="2">
                  <c:v>0.127173667806463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0.194927904835842</c:v>
                </c:pt>
                <c:pt idx="1">
                  <c:v>0.243216308747451</c:v>
                </c:pt>
                <c:pt idx="2">
                  <c:v>0.0702265034865115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0.14770864875769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0.0602328851859799</c:v>
                </c:pt>
                <c:pt idx="1">
                  <c:v>0.0602328851859799</c:v>
                </c:pt>
                <c:pt idx="2">
                  <c:v>0.0602328851859799</c:v>
                </c:pt>
                <c:pt idx="3">
                  <c:v>0.0602328851859799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0.0914162295754025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0.00647098959472265</c:v>
                </c:pt>
                <c:pt idx="1">
                  <c:v>0.00388347386422492</c:v>
                </c:pt>
                <c:pt idx="2">
                  <c:v>0.00517723172947379</c:v>
                </c:pt>
                <c:pt idx="3">
                  <c:v>0.00647098959472265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0.211615829213913</c:v>
                </c:pt>
                <c:pt idx="1">
                  <c:v>0.211615829213913</c:v>
                </c:pt>
                <c:pt idx="2">
                  <c:v>0.211615829213913</c:v>
                </c:pt>
                <c:pt idx="3">
                  <c:v>0.211615829213913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0.483135970774386</c:v>
                </c:pt>
                <c:pt idx="3">
                  <c:v>0.550419529219275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74472"/>
        <c:axId val="-2033571096"/>
      </c:barChart>
      <c:catAx>
        <c:axId val="-2033574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57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0.00120937433190616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0.00439406007259239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0.00268749851534703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0.00241874866381232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0.000470312240185729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0.0334582157899571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0.0204064383686677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0.0809228673239622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383048"/>
        <c:axId val="-2033379992"/>
      </c:barChart>
      <c:catAx>
        <c:axId val="-20333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7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8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32706.788441912722</v>
      </c>
      <c r="T23" s="179">
        <f>SUM(T7:T22)</f>
        <v>33357.202987690478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7.7371458548642469E-2</v>
      </c>
      <c r="J30" s="230">
        <f>IF(I$32&lt;=1,I30,1-SUM(J6:J29))</f>
        <v>7.7371458548642469E-2</v>
      </c>
      <c r="K30" s="22">
        <f t="shared" si="4"/>
        <v>0.56623471980074724</v>
      </c>
      <c r="L30" s="22">
        <f>IF(L124=L119,0,IF(K30="",0,(L119-L124)/(B119-B124)*K30))</f>
        <v>1.257222351664887E-2</v>
      </c>
      <c r="M30" s="175">
        <f t="shared" si="6"/>
        <v>7.7371458548642469E-2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6617.4978501400765</v>
      </c>
      <c r="T30" s="233">
        <f t="shared" si="24"/>
        <v>5967.0833043623206</v>
      </c>
      <c r="V30" s="56"/>
      <c r="W30" s="110"/>
      <c r="X30" s="118"/>
      <c r="Y30" s="183">
        <f>M30*4</f>
        <v>0.30948583419456988</v>
      </c>
      <c r="Z30" s="122">
        <f>IF($Y30=0,0,AA30/($Y$30))</f>
        <v>-5.7721905182694044</v>
      </c>
      <c r="AA30" s="187">
        <f>IF(AA79*4/$I$83+SUM(AA6:AA29)&lt;1,AA79*4/$I$83,1-SUM(AA6:AA29))</f>
        <v>-1.7864111976765933</v>
      </c>
      <c r="AB30" s="122">
        <f>IF($Y30=0,0,AC30/($Y$30))</f>
        <v>-5.7721905182694044</v>
      </c>
      <c r="AC30" s="187">
        <f>IF(AC79*4/$I$83+SUM(AC6:AC29)&lt;1,AC79*4/$I$83,1-SUM(AC6:AC29))</f>
        <v>-1.7864111976765933</v>
      </c>
      <c r="AD30" s="122">
        <f>IF($Y30=0,0,AE30/($Y$30))</f>
        <v>-5.7721905182694044</v>
      </c>
      <c r="AE30" s="187">
        <f>IF(AE79*4/$I$83+SUM(AE6:AE29)&lt;1,AE79*4/$I$83,1-SUM(AE6:AE29))</f>
        <v>-1.7864111976765933</v>
      </c>
      <c r="AF30" s="122">
        <f>IF($Y30=0,0,AG30/($Y$30))</f>
        <v>-5.7721905182694044</v>
      </c>
      <c r="AG30" s="187">
        <f>IF(AG79*4/$I$83+SUM(AG6:AG29)&lt;1,AG79*4/$I$83,1-SUM(AG6:AG29))</f>
        <v>-1.7864111976765933</v>
      </c>
      <c r="AH30" s="123">
        <f t="shared" si="12"/>
        <v>-23.088762073077618</v>
      </c>
      <c r="AI30" s="183">
        <f t="shared" si="13"/>
        <v>-1.7864111976765933</v>
      </c>
      <c r="AJ30" s="120">
        <f t="shared" si="14"/>
        <v>-1.7864111976765933</v>
      </c>
      <c r="AK30" s="119">
        <f t="shared" si="15"/>
        <v>-1.7864111976765933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0.46611621196171171</v>
      </c>
      <c r="K31" s="22" t="str">
        <f t="shared" si="4"/>
        <v/>
      </c>
      <c r="L31" s="22">
        <f>(1-SUM(L6:L30))</f>
        <v>0.64096738080494275</v>
      </c>
      <c r="M31" s="240">
        <f t="shared" si="6"/>
        <v>0.46611621196171171</v>
      </c>
      <c r="N31" s="167">
        <f>M31*I83</f>
        <v>5967.0833043623188</v>
      </c>
      <c r="P31" s="22"/>
      <c r="Q31" s="237" t="s">
        <v>142</v>
      </c>
      <c r="R31" s="233">
        <f t="shared" si="24"/>
        <v>10945.076551611397</v>
      </c>
      <c r="S31" s="233">
        <f t="shared" si="24"/>
        <v>26888.324516806744</v>
      </c>
      <c r="T31" s="233">
        <f>IF(T25&gt;T$23,T25-T$23,0)</f>
        <v>26237.909971028988</v>
      </c>
      <c r="V31" s="56"/>
      <c r="W31" s="129" t="s">
        <v>84</v>
      </c>
      <c r="X31" s="130"/>
      <c r="Y31" s="121">
        <f>M31*4</f>
        <v>1.8644648478468469</v>
      </c>
      <c r="Z31" s="131"/>
      <c r="AA31" s="132">
        <f>1-AA32+IF($Y32&lt;0,$Y32/4,0)</f>
        <v>2.2815358680624147</v>
      </c>
      <c r="AB31" s="131"/>
      <c r="AC31" s="133">
        <f>1-AC32+IF($Y32&lt;0,$Y32/4,0)</f>
        <v>2.4535239441935892</v>
      </c>
      <c r="AD31" s="134"/>
      <c r="AE31" s="133">
        <f>1-AE32+IF($Y32&lt;0,$Y32/4,0)</f>
        <v>2.4615675746045484</v>
      </c>
      <c r="AF31" s="134"/>
      <c r="AG31" s="133">
        <f>1-AG32+IF($Y32&lt;0,$Y32/4,0)</f>
        <v>2.4620196238698036</v>
      </c>
      <c r="AH31" s="123"/>
      <c r="AI31" s="182">
        <f>SUM(AA31,AC31,AE31,AG31)/4</f>
        <v>2.4146617526825889</v>
      </c>
      <c r="AJ31" s="135">
        <f t="shared" si="14"/>
        <v>2.3675299061280022</v>
      </c>
      <c r="AK31" s="136">
        <f t="shared" si="15"/>
        <v>2.461793599237176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0.53388378803828829</v>
      </c>
      <c r="J32" s="17"/>
      <c r="L32" s="22">
        <f>SUM(L6:L30)</f>
        <v>0.35903261919505725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59626.24451680675</v>
      </c>
      <c r="T32" s="233">
        <f t="shared" si="24"/>
        <v>58975.829971028994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-1.2815358680624145</v>
      </c>
      <c r="AB32" s="137"/>
      <c r="AC32" s="139">
        <f>SUM(AC6:AC30)</f>
        <v>-1.4535239441935892</v>
      </c>
      <c r="AD32" s="137"/>
      <c r="AE32" s="139">
        <f>SUM(AE6:AE30)</f>
        <v>-1.4615675746045482</v>
      </c>
      <c r="AF32" s="137"/>
      <c r="AG32" s="139">
        <f>SUM(AG6:AG30)</f>
        <v>-1.4620196238698036</v>
      </c>
      <c r="AH32" s="127"/>
      <c r="AI32" s="110"/>
      <c r="AJ32" s="140">
        <f>SUM(AJ6:AJ31)</f>
        <v>1.0000000000000002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4.6015041019138829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30388.799999999999</v>
      </c>
      <c r="J65" s="39">
        <f>SUM(J37:J64)</f>
        <v>30388.800000000003</v>
      </c>
      <c r="K65" s="40">
        <f>SUM(K37:K64)</f>
        <v>1</v>
      </c>
      <c r="L65" s="22">
        <f>SUM(L37:L64)</f>
        <v>0.99611703197265222</v>
      </c>
      <c r="M65" s="24">
        <f>SUM(M37:M64)</f>
        <v>1.0184596822843355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990.48676422713606</v>
      </c>
      <c r="J71" s="51">
        <f t="shared" si="44"/>
        <v>990.48676422713606</v>
      </c>
      <c r="K71" s="40">
        <f t="shared" ref="K71:K72" si="47">B71/B$76</f>
        <v>0.57573117054315526</v>
      </c>
      <c r="L71" s="22">
        <f t="shared" si="45"/>
        <v>1.085283076034365E-2</v>
      </c>
      <c r="M71" s="24">
        <f t="shared" ref="M71:M72" si="48">J71/B$76</f>
        <v>3.3195481072026814E-2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990.48676422713606</v>
      </c>
      <c r="J74" s="51">
        <f t="shared" si="44"/>
        <v>990.48676422713606</v>
      </c>
      <c r="K74" s="40">
        <f>B74/B$76</f>
        <v>0.14723488931353881</v>
      </c>
      <c r="L74" s="22">
        <f t="shared" si="45"/>
        <v>5.3939917329829173E-3</v>
      </c>
      <c r="M74" s="24">
        <f>J74/B$76</f>
        <v>3.3195481072026814E-2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-5717.2783089432178</v>
      </c>
      <c r="AB74" s="156"/>
      <c r="AC74" s="147">
        <f>AC30*$I$83/4</f>
        <v>-5717.2783089432178</v>
      </c>
      <c r="AD74" s="156"/>
      <c r="AE74" s="147">
        <f>AE30*$I$83/4</f>
        <v>-5717.2783089432178</v>
      </c>
      <c r="AF74" s="156"/>
      <c r="AG74" s="147">
        <f>AG30*$I$83/4</f>
        <v>-5717.2783089432178</v>
      </c>
      <c r="AH74" s="155"/>
      <c r="AI74" s="147">
        <f>SUM(AA74,AC74,AE74,AG74)</f>
        <v>-22869.113235772871</v>
      </c>
      <c r="AJ74" s="148">
        <f>(AA74+AC74)</f>
        <v>-11434.556617886436</v>
      </c>
      <c r="AK74" s="147">
        <f>(AE74+AG74)</f>
        <v>-11434.556617886436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30388.800000000003</v>
      </c>
      <c r="J76" s="51">
        <f t="shared" si="44"/>
        <v>30388.800000000003</v>
      </c>
      <c r="K76" s="40">
        <f>SUM(K70:K75)</f>
        <v>2.4160351384949807</v>
      </c>
      <c r="L76" s="22">
        <f>SUM(L70:L75)</f>
        <v>1.0015110237056353</v>
      </c>
      <c r="M76" s="24">
        <f>SUM(M70:M75)</f>
        <v>1.0516551633563622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20270.826666666664</v>
      </c>
      <c r="J77" s="100">
        <f t="shared" si="44"/>
        <v>20270.826666666664</v>
      </c>
      <c r="K77" s="40"/>
      <c r="L77" s="22">
        <f>-(L131*G$37*F$9/F$7)/B$130</f>
        <v>-0.67936278124092309</v>
      </c>
      <c r="M77" s="24">
        <f>-J77/B$76</f>
        <v>-0.67936278124092309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7301.888583386868</v>
      </c>
      <c r="AB77" s="112"/>
      <c r="AC77" s="111">
        <f>AC31*$I$83/4</f>
        <v>7852.323834991048</v>
      </c>
      <c r="AD77" s="112"/>
      <c r="AE77" s="111">
        <f>AE31*$I$83/4</f>
        <v>7878.0668854900287</v>
      </c>
      <c r="AF77" s="112"/>
      <c r="AG77" s="111">
        <f>AG31*$I$83/4</f>
        <v>7879.5136360826009</v>
      </c>
      <c r="AH77" s="110"/>
      <c r="AI77" s="154">
        <f>SUM(AA77,AC77,AE77,AG77)</f>
        <v>30911.792939950545</v>
      </c>
      <c r="AJ77" s="153">
        <f>SUM(AA77,AC77)</f>
        <v>15154.212418377916</v>
      </c>
      <c r="AK77" s="160">
        <f>SUM(AE77,AG77)</f>
        <v>15757.580521572629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-5717.2783089432178</v>
      </c>
      <c r="AB79" s="112"/>
      <c r="AC79" s="112">
        <f>AA79-AA74+AC65-AC70</f>
        <v>-5717.2783089432178</v>
      </c>
      <c r="AD79" s="112"/>
      <c r="AE79" s="112">
        <f>AC79-AC74+AE65-AE70</f>
        <v>-5717.2783089432178</v>
      </c>
      <c r="AF79" s="112"/>
      <c r="AG79" s="112">
        <f>AE79-AE74+AG65-AG70</f>
        <v>-5717.2783089432178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0.28606060606060607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2.3738083783255979</v>
      </c>
      <c r="J119" s="24">
        <f>SUM(J91:J118)</f>
        <v>2.3738083783255979</v>
      </c>
      <c r="K119" s="22">
        <f>SUM(K91:K118)</f>
        <v>3.8457917307557601</v>
      </c>
      <c r="L119" s="22">
        <f>SUM(L91:L118)</f>
        <v>2.3217325117729684</v>
      </c>
      <c r="M119" s="57">
        <f t="shared" si="49"/>
        <v>2.3738083783255979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7.7371458548642469E-2</v>
      </c>
      <c r="J125" s="236">
        <f>IF(SUMPRODUCT($B$124:$B125,$H$124:$H125)&lt;J$119,($B125*$H125),IF(SUMPRODUCT($B$124:$B124,$H$124:$H124)&lt;J$119,J$119-SUMPRODUCT($B$124:$B124,$H$124:$H124),0))</f>
        <v>7.7371458548642469E-2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2.5295591996012945E-2</v>
      </c>
      <c r="M125" s="239">
        <f t="shared" si="66"/>
        <v>7.7371458548642469E-2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7.7371458548642469E-2</v>
      </c>
      <c r="J128" s="227">
        <f>(J30)</f>
        <v>7.7371458548642469E-2</v>
      </c>
      <c r="K128" s="29">
        <f>(B128)</f>
        <v>0.56623471980074724</v>
      </c>
      <c r="L128" s="29">
        <f>IF(L124=L119,0,(L119-L124)/(B119-B124)*K128)</f>
        <v>1.257222351664887E-2</v>
      </c>
      <c r="M128" s="239">
        <f t="shared" si="66"/>
        <v>7.7371458548642469E-2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2.3738083783255979</v>
      </c>
      <c r="J130" s="227">
        <f>(J119)</f>
        <v>2.3738083783255979</v>
      </c>
      <c r="K130" s="29">
        <f>(B130)</f>
        <v>3.8457917307557601</v>
      </c>
      <c r="L130" s="29">
        <f>(L119)</f>
        <v>2.3217325117729684</v>
      </c>
      <c r="M130" s="239">
        <f t="shared" si="66"/>
        <v>2.3738083783255979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1.5834471310785312</v>
      </c>
      <c r="J131" s="236">
        <f>IF(SUMPRODUCT($B124:$B125,$H124:$H125)&gt;(J119-J128),SUMPRODUCT($B124:$B125,$H124:$H125)+J128-J119,0)</f>
        <v>1.5834471310785312</v>
      </c>
      <c r="K131" s="29"/>
      <c r="L131" s="29">
        <f>IF(I131&lt;SUM(L126:L127),0,I131-(SUM(L126:L127)))</f>
        <v>1.5834471310785312</v>
      </c>
      <c r="M131" s="236">
        <f>IF(I131&lt;SUM(M126:M127),0,I131-(SUM(M126:M127)))</f>
        <v>1.5834471310785312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6" sqref="E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2251.3987882272959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759.00978070074382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0.4713302429079318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1.5711008096931059E-2</v>
      </c>
      <c r="AB9" s="125">
        <f>IF($Y9=0,0,AC9/$Y9)</f>
        <v>0.50552520638247289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1.6850840212749095E-2</v>
      </c>
      <c r="AD9" s="125">
        <f>IF($Y9=0,0,AE9/$Y9)</f>
        <v>2.3144550709595368E-2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7.7148502365317895E-4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1.6280924154840077E-2</v>
      </c>
      <c r="AK9" s="119">
        <f t="shared" si="15"/>
        <v>3.8574251182658947E-4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7.8581630752238313E-2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7.8581630752238313E-2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0.31432652300895325</v>
      </c>
      <c r="Z10" s="125">
        <f>IF($Y10=0,0,AA10/$Y10)</f>
        <v>0.47133024290793174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0.14815159644221554</v>
      </c>
      <c r="AB10" s="125">
        <f>IF($Y10=0,0,AC10/$Y10)</f>
        <v>0.505525206382473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0.15889998041558623</v>
      </c>
      <c r="AD10" s="125">
        <f>IF($Y10=0,0,AE10/$Y10)</f>
        <v>2.3144550709595275E-2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7.2749461511514846E-3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7.8581630752238313E-2</v>
      </c>
      <c r="AJ10" s="120">
        <f t="shared" si="14"/>
        <v>0.15352578842890088</v>
      </c>
      <c r="AK10" s="119">
        <f t="shared" si="15"/>
        <v>3.6374730755757423E-3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6.6319223125826665E-2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6.6319223125826665E-2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0.26527689250330666</v>
      </c>
      <c r="Z11" s="125">
        <f>IF($Y11=0,0,AA11/$Y11)</f>
        <v>0.47133024290793174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0.12503302218144483</v>
      </c>
      <c r="AB11" s="125">
        <f>IF($Y11=0,0,AC11/$Y11)</f>
        <v>0.505525206382473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0.13410415583123519</v>
      </c>
      <c r="AD11" s="125">
        <f>IF($Y11=0,0,AE11/$Y11)</f>
        <v>2.3144550709595296E-2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6.139714490626641E-3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6.6319223125826665E-2</v>
      </c>
      <c r="AJ11" s="120">
        <f t="shared" si="14"/>
        <v>0.12956858900634</v>
      </c>
      <c r="AK11" s="119">
        <f t="shared" si="15"/>
        <v>3.0698572453133205E-3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3656.8713708290411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7.3219341630130193E-3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7.3219341630130193E-3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2.9287736652052077E-2</v>
      </c>
      <c r="Z15" s="116">
        <v>0.25</v>
      </c>
      <c r="AA15" s="121">
        <f t="shared" si="16"/>
        <v>7.3219341630130193E-3</v>
      </c>
      <c r="AB15" s="116">
        <v>0.25</v>
      </c>
      <c r="AC15" s="121">
        <f t="shared" si="7"/>
        <v>7.3219341630130193E-3</v>
      </c>
      <c r="AD15" s="116">
        <v>0.25</v>
      </c>
      <c r="AE15" s="121">
        <f t="shared" si="8"/>
        <v>7.3219341630130193E-3</v>
      </c>
      <c r="AF15" s="122">
        <f t="shared" si="10"/>
        <v>0.25</v>
      </c>
      <c r="AG15" s="121">
        <f t="shared" si="11"/>
        <v>7.3219341630130193E-3</v>
      </c>
      <c r="AH15" s="123">
        <f t="shared" si="12"/>
        <v>1</v>
      </c>
      <c r="AI15" s="183">
        <f t="shared" si="13"/>
        <v>7.3219341630130193E-3</v>
      </c>
      <c r="AJ15" s="120">
        <f t="shared" si="14"/>
        <v>7.3219341630130193E-3</v>
      </c>
      <c r="AK15" s="119">
        <f t="shared" si="15"/>
        <v>7.3219341630130193E-3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6.861503259298251E-3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6.861503259298251E-3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5493.8534626237943</v>
      </c>
      <c r="U16" s="222">
        <v>10</v>
      </c>
      <c r="V16" s="56"/>
      <c r="W16" s="110"/>
      <c r="X16" s="118"/>
      <c r="Y16" s="183">
        <f t="shared" si="9"/>
        <v>2.7446013037193004E-2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2.7446013037193004E-2</v>
      </c>
      <c r="AH16" s="123">
        <f t="shared" si="12"/>
        <v>1</v>
      </c>
      <c r="AI16" s="183">
        <f t="shared" si="13"/>
        <v>6.861503259298251E-3</v>
      </c>
      <c r="AJ16" s="120">
        <f t="shared" si="14"/>
        <v>0</v>
      </c>
      <c r="AK16" s="119">
        <f t="shared" si="15"/>
        <v>1.3723006518596502E-2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4.3365376992957191E-3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4.3365376992957191E-3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1.7346150797182876E-2</v>
      </c>
      <c r="Z17" s="116">
        <v>0.29409999999999997</v>
      </c>
      <c r="AA17" s="121">
        <f t="shared" si="16"/>
        <v>5.1015029494514835E-3</v>
      </c>
      <c r="AB17" s="116">
        <v>0.17649999999999999</v>
      </c>
      <c r="AC17" s="121">
        <f t="shared" si="7"/>
        <v>3.0615956157027777E-3</v>
      </c>
      <c r="AD17" s="116">
        <v>0.23530000000000001</v>
      </c>
      <c r="AE17" s="121">
        <f t="shared" si="8"/>
        <v>4.0815492825771313E-3</v>
      </c>
      <c r="AF17" s="122">
        <f t="shared" si="10"/>
        <v>0.29410000000000003</v>
      </c>
      <c r="AG17" s="121">
        <f t="shared" si="11"/>
        <v>5.1015029494514844E-3</v>
      </c>
      <c r="AH17" s="123">
        <f t="shared" si="12"/>
        <v>1</v>
      </c>
      <c r="AI17" s="183">
        <f t="shared" si="13"/>
        <v>4.3365376992957191E-3</v>
      </c>
      <c r="AJ17" s="120">
        <f t="shared" si="14"/>
        <v>4.0815492825771304E-3</v>
      </c>
      <c r="AK17" s="119">
        <f t="shared" si="15"/>
        <v>4.5915261160143078E-3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58436.358670957998</v>
      </c>
      <c r="T23" s="179">
        <f>SUM(T7:T22)</f>
        <v>59663.225886820772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1.5710665957483341E-2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1.5710665957483341E-2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6.2842663829933365E-2</v>
      </c>
      <c r="Z27" s="116">
        <v>0.25</v>
      </c>
      <c r="AA27" s="121">
        <f t="shared" si="16"/>
        <v>1.5710665957483341E-2</v>
      </c>
      <c r="AB27" s="116">
        <v>0.25</v>
      </c>
      <c r="AC27" s="121">
        <f t="shared" si="7"/>
        <v>1.5710665957483341E-2</v>
      </c>
      <c r="AD27" s="116">
        <v>0.25</v>
      </c>
      <c r="AE27" s="121">
        <f t="shared" si="8"/>
        <v>1.5710665957483341E-2</v>
      </c>
      <c r="AF27" s="122">
        <f t="shared" si="10"/>
        <v>0.25</v>
      </c>
      <c r="AG27" s="121">
        <f t="shared" si="11"/>
        <v>1.5710665957483341E-2</v>
      </c>
      <c r="AH27" s="123">
        <f t="shared" si="12"/>
        <v>1</v>
      </c>
      <c r="AI27" s="183">
        <f t="shared" si="13"/>
        <v>1.5710665957483341E-2</v>
      </c>
      <c r="AJ27" s="120">
        <f t="shared" si="14"/>
        <v>1.5710665957483341E-2</v>
      </c>
      <c r="AK27" s="119">
        <f t="shared" si="15"/>
        <v>1.5710665957483341E-2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0.14129206552228923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0.14129206552228923</v>
      </c>
      <c r="N29" s="228"/>
      <c r="P29" s="22"/>
      <c r="V29" s="56"/>
      <c r="W29" s="110"/>
      <c r="X29" s="118"/>
      <c r="Y29" s="183">
        <f t="shared" si="9"/>
        <v>0.56516826208915694</v>
      </c>
      <c r="Z29" s="116">
        <v>0.25</v>
      </c>
      <c r="AA29" s="121">
        <f t="shared" si="16"/>
        <v>0.14129206552228923</v>
      </c>
      <c r="AB29" s="116">
        <v>0.25</v>
      </c>
      <c r="AC29" s="121">
        <f t="shared" si="7"/>
        <v>0.14129206552228923</v>
      </c>
      <c r="AD29" s="116">
        <v>0.25</v>
      </c>
      <c r="AE29" s="121">
        <f t="shared" si="8"/>
        <v>0.14129206552228923</v>
      </c>
      <c r="AF29" s="122">
        <f t="shared" si="10"/>
        <v>0.25</v>
      </c>
      <c r="AG29" s="121">
        <f t="shared" si="11"/>
        <v>0.14129206552228923</v>
      </c>
      <c r="AH29" s="123">
        <f t="shared" si="12"/>
        <v>1</v>
      </c>
      <c r="AI29" s="183">
        <f t="shared" si="13"/>
        <v>0.14129206552228923</v>
      </c>
      <c r="AJ29" s="120">
        <f t="shared" si="14"/>
        <v>0.14129206552228923</v>
      </c>
      <c r="AK29" s="119">
        <f t="shared" si="15"/>
        <v>0.14129206552228923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2.1877513014427437</v>
      </c>
      <c r="J30" s="230">
        <f>IF(I$32&lt;=1,I30,1-SUM(J6:J29))</f>
        <v>0.54103158629678161</v>
      </c>
      <c r="K30" s="22">
        <f t="shared" si="4"/>
        <v>0.59392078206724785</v>
      </c>
      <c r="L30" s="22">
        <f>IF(L124=L119,0,IF(K30="",0,(L119-L124)/(B119-B124)*K30))</f>
        <v>0.19605097554818326</v>
      </c>
      <c r="M30" s="175">
        <f t="shared" si="6"/>
        <v>0.54103158629678161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2.1641263451871264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0.13379021473682973</v>
      </c>
      <c r="AE30" s="187">
        <f>IF(AE79*4/$I$83+SUM(AE6:AE29)&lt;1,AE79*4/$I$83,1-SUM(AE6:AE29))</f>
        <v>0.28953892844021611</v>
      </c>
      <c r="AF30" s="122">
        <f>IF($Y30=0,0,AG30/($Y$30))</f>
        <v>0.86620978526317005</v>
      </c>
      <c r="AG30" s="187">
        <f>IF(AG79*4/$I$83+SUM(AG6:AG29)&lt;1,AG79*4/$I$83,1-SUM(AG6:AG29))</f>
        <v>1.8745874167469099</v>
      </c>
      <c r="AH30" s="123">
        <f t="shared" si="12"/>
        <v>0.99999999999999978</v>
      </c>
      <c r="AI30" s="183">
        <f t="shared" si="13"/>
        <v>0.5410315862967815</v>
      </c>
      <c r="AJ30" s="120">
        <f t="shared" si="14"/>
        <v>0</v>
      </c>
      <c r="AK30" s="119">
        <f t="shared" si="15"/>
        <v>1.082063172593563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0.4098339042215049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1158.7542877614687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2.7680244724207812</v>
      </c>
      <c r="J32" s="17"/>
      <c r="L32" s="22">
        <f>SUM(L6:L30)</f>
        <v>0.5901660957784951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33896.674287761474</v>
      </c>
      <c r="T32" s="233">
        <f t="shared" si="50"/>
        <v>32669.8070718987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0.34837759211817998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797.7182857162918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1179.9999999999998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0</v>
      </c>
      <c r="AK37" s="147">
        <f>(AE37+AG37)</f>
        <v>1179.9999999999998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82.1044233931093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1.2093743319061614E-3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0.4713302429079318</v>
      </c>
      <c r="AA40" s="147">
        <f t="shared" si="64"/>
        <v>38.698297821689884</v>
      </c>
      <c r="AB40" s="122">
        <f>AB9</f>
        <v>0.50552520638247289</v>
      </c>
      <c r="AC40" s="147">
        <f t="shared" si="65"/>
        <v>41.505855580715512</v>
      </c>
      <c r="AD40" s="122">
        <f>AD9</f>
        <v>2.3144550709595368E-2</v>
      </c>
      <c r="AE40" s="147">
        <f t="shared" si="66"/>
        <v>1.9002699907039065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82.1044233931093</v>
      </c>
      <c r="AJ40" s="148">
        <f t="shared" si="62"/>
        <v>80.204153402405396</v>
      </c>
      <c r="AK40" s="147">
        <f t="shared" si="63"/>
        <v>1.9002699907039065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298.3127383282972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4.3940600725923878E-3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0.47133024290793174</v>
      </c>
      <c r="AA41" s="147">
        <f t="shared" si="64"/>
        <v>140.60381541880659</v>
      </c>
      <c r="AB41" s="122">
        <f>AB11</f>
        <v>0.505525206382473</v>
      </c>
      <c r="AC41" s="147">
        <f t="shared" si="65"/>
        <v>150.8046086099331</v>
      </c>
      <c r="AD41" s="122">
        <f>AD11</f>
        <v>2.3144550709595296E-2</v>
      </c>
      <c r="AE41" s="147">
        <f t="shared" si="66"/>
        <v>6.9043142995575071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298.31273832829714</v>
      </c>
      <c r="AJ41" s="148">
        <f t="shared" si="62"/>
        <v>291.40842402873966</v>
      </c>
      <c r="AK41" s="147">
        <f t="shared" si="63"/>
        <v>6.9043142995575071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182.45427420690959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2.6874985153470259E-3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45.613568551727397</v>
      </c>
      <c r="AB43" s="116">
        <v>0.25</v>
      </c>
      <c r="AC43" s="147">
        <f t="shared" si="65"/>
        <v>45.613568551727397</v>
      </c>
      <c r="AD43" s="116">
        <v>0.25</v>
      </c>
      <c r="AE43" s="147">
        <f t="shared" si="66"/>
        <v>45.613568551727397</v>
      </c>
      <c r="AF43" s="122">
        <f t="shared" si="57"/>
        <v>0.25</v>
      </c>
      <c r="AG43" s="147">
        <f t="shared" si="60"/>
        <v>45.613568551727397</v>
      </c>
      <c r="AH43" s="123">
        <f t="shared" si="61"/>
        <v>1</v>
      </c>
      <c r="AI43" s="112">
        <f t="shared" si="61"/>
        <v>182.45427420690959</v>
      </c>
      <c r="AJ43" s="148">
        <f t="shared" si="62"/>
        <v>91.227137103454794</v>
      </c>
      <c r="AK43" s="147">
        <f t="shared" si="63"/>
        <v>91.227137103454794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164.2088467862186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2.4187486638123229E-3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41.05221169655465</v>
      </c>
      <c r="AB44" s="116">
        <v>0.25</v>
      </c>
      <c r="AC44" s="147">
        <f t="shared" si="65"/>
        <v>41.05221169655465</v>
      </c>
      <c r="AD44" s="116">
        <v>0.25</v>
      </c>
      <c r="AE44" s="147">
        <f t="shared" si="66"/>
        <v>41.05221169655465</v>
      </c>
      <c r="AF44" s="122">
        <f t="shared" si="57"/>
        <v>0.25</v>
      </c>
      <c r="AG44" s="147">
        <f t="shared" si="60"/>
        <v>41.05221169655465</v>
      </c>
      <c r="AH44" s="123">
        <f t="shared" si="61"/>
        <v>1</v>
      </c>
      <c r="AI44" s="112">
        <f t="shared" si="61"/>
        <v>164.2088467862186</v>
      </c>
      <c r="AJ44" s="148">
        <f t="shared" si="62"/>
        <v>82.1044233931093</v>
      </c>
      <c r="AK44" s="147">
        <f t="shared" si="63"/>
        <v>82.1044233931093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31.929497986209174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4.7031224018572945E-4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7.9823744965522936</v>
      </c>
      <c r="AB45" s="116">
        <v>0.25</v>
      </c>
      <c r="AC45" s="147">
        <f t="shared" si="65"/>
        <v>7.9823744965522936</v>
      </c>
      <c r="AD45" s="116">
        <v>0.25</v>
      </c>
      <c r="AE45" s="147">
        <f t="shared" si="66"/>
        <v>7.9823744965522936</v>
      </c>
      <c r="AF45" s="122">
        <f t="shared" si="57"/>
        <v>0.25</v>
      </c>
      <c r="AG45" s="147">
        <f t="shared" si="60"/>
        <v>7.9823744965522936</v>
      </c>
      <c r="AH45" s="123">
        <f t="shared" si="61"/>
        <v>1</v>
      </c>
      <c r="AI45" s="112">
        <f t="shared" si="61"/>
        <v>31.929497986209174</v>
      </c>
      <c r="AJ45" s="148">
        <f t="shared" si="62"/>
        <v>15.964748993104587</v>
      </c>
      <c r="AK45" s="147">
        <f t="shared" si="63"/>
        <v>15.964748993104587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2271.478269980189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3.345821578995712E-2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567.86956749504725</v>
      </c>
      <c r="AB47" s="116">
        <v>0.25</v>
      </c>
      <c r="AC47" s="147">
        <f t="shared" si="65"/>
        <v>567.86956749504725</v>
      </c>
      <c r="AD47" s="116">
        <v>0.25</v>
      </c>
      <c r="AE47" s="147">
        <f t="shared" si="66"/>
        <v>567.86956749504725</v>
      </c>
      <c r="AF47" s="122">
        <f t="shared" si="57"/>
        <v>0.25</v>
      </c>
      <c r="AG47" s="147">
        <f t="shared" si="60"/>
        <v>567.86956749504725</v>
      </c>
      <c r="AH47" s="123">
        <f t="shared" si="61"/>
        <v>1</v>
      </c>
      <c r="AI47" s="112">
        <f t="shared" si="61"/>
        <v>2271.478269980189</v>
      </c>
      <c r="AJ47" s="148">
        <f t="shared" si="62"/>
        <v>1135.7391349900945</v>
      </c>
      <c r="AK47" s="147">
        <f t="shared" si="63"/>
        <v>1135.7391349900945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1385.3931008488521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2.0406438368667727E-2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346.34827521221303</v>
      </c>
      <c r="AB48" s="116">
        <v>0.25</v>
      </c>
      <c r="AC48" s="147">
        <f t="shared" si="65"/>
        <v>346.34827521221303</v>
      </c>
      <c r="AD48" s="116">
        <v>0.25</v>
      </c>
      <c r="AE48" s="147">
        <f t="shared" si="66"/>
        <v>346.34827521221303</v>
      </c>
      <c r="AF48" s="122">
        <f t="shared" si="57"/>
        <v>0.25</v>
      </c>
      <c r="AG48" s="147">
        <f t="shared" si="60"/>
        <v>346.34827521221303</v>
      </c>
      <c r="AH48" s="123">
        <f t="shared" si="61"/>
        <v>1</v>
      </c>
      <c r="AI48" s="112">
        <f t="shared" si="61"/>
        <v>1385.3931008488521</v>
      </c>
      <c r="AJ48" s="148">
        <f t="shared" si="62"/>
        <v>692.69655042442605</v>
      </c>
      <c r="AK48" s="147">
        <f t="shared" si="63"/>
        <v>692.69655042442605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0.4</v>
      </c>
      <c r="F53" s="26">
        <v>1.18</v>
      </c>
      <c r="G53" s="22">
        <f t="shared" si="59"/>
        <v>1.65</v>
      </c>
      <c r="H53" s="24">
        <f t="shared" si="68"/>
        <v>0.47199999999999998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5493.8534626237943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8.0922867323962214E-2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57405.264999999999</v>
      </c>
      <c r="J65" s="39">
        <f>SUM(J37:J64)</f>
        <v>55797.549614153584</v>
      </c>
      <c r="K65" s="40">
        <f>SUM(K37:K64)</f>
        <v>1</v>
      </c>
      <c r="L65" s="22">
        <f>SUM(L37:L64)</f>
        <v>0.80922101929591983</v>
      </c>
      <c r="M65" s="24">
        <f>SUM(M37:M64)</f>
        <v>0.82188171474670169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9000.9218606925915</v>
      </c>
      <c r="AB65" s="137"/>
      <c r="AC65" s="153">
        <f>SUM(AC37:AC64)</f>
        <v>9013.9302116427425</v>
      </c>
      <c r="AD65" s="137"/>
      <c r="AE65" s="153">
        <f>SUM(AE37:AE64)</f>
        <v>8830.424331742357</v>
      </c>
      <c r="AF65" s="137"/>
      <c r="AG65" s="153">
        <f>SUM(AG37:AG64)</f>
        <v>10001.619747452094</v>
      </c>
      <c r="AH65" s="137"/>
      <c r="AI65" s="153">
        <f>SUM(AI37:AI64)</f>
        <v>36846.896151529785</v>
      </c>
      <c r="AJ65" s="153">
        <f>SUM(AJ37:AJ64)</f>
        <v>18014.852072335336</v>
      </c>
      <c r="AK65" s="153">
        <f>SUM(AK37:AK64)</f>
        <v>18832.044079194453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4.064056409604111E-2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28006.951764227135</v>
      </c>
      <c r="J74" s="51">
        <f t="shared" si="75"/>
        <v>6926.1279974303416</v>
      </c>
      <c r="K74" s="40">
        <f>B74/B$76</f>
        <v>6.7874502872293421E-2</v>
      </c>
      <c r="L74" s="22">
        <f t="shared" si="76"/>
        <v>3.6968437193699265E-2</v>
      </c>
      <c r="M74" s="24">
        <f>J74/B$76</f>
        <v>0.1020198556109934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926.64815207097377</v>
      </c>
      <c r="AF74" s="156"/>
      <c r="AG74" s="147">
        <f>AG30*$I$83/4</f>
        <v>5999.4798453593658</v>
      </c>
      <c r="AH74" s="155"/>
      <c r="AI74" s="147">
        <f>SUM(AA74,AC74,AE74,AG74)</f>
        <v>6926.1279974303397</v>
      </c>
      <c r="AJ74" s="148">
        <f>(AA74+AC74)</f>
        <v>0</v>
      </c>
      <c r="AK74" s="147">
        <f>(AE74+AG74)</f>
        <v>6926.1279974303397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1651.3435517493745</v>
      </c>
      <c r="AB75" s="158"/>
      <c r="AC75" s="149">
        <f>AA75+AC65-SUM(AC70,AC74)</f>
        <v>3315.6954544488999</v>
      </c>
      <c r="AD75" s="158"/>
      <c r="AE75" s="149">
        <f>AC75+AE65-SUM(AE70,AE74)</f>
        <v>3869.8933251770668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522.45491832657717</v>
      </c>
      <c r="AJ75" s="151">
        <f>AJ76-SUM(AJ70,AJ74)</f>
        <v>3315.6954544489017</v>
      </c>
      <c r="AK75" s="149">
        <f>AJ75+AK76-SUM(AK70,AK74)</f>
        <v>522.45491832657717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57405.265000000007</v>
      </c>
      <c r="J76" s="51">
        <f t="shared" si="75"/>
        <v>55797.549614153577</v>
      </c>
      <c r="K76" s="40">
        <f>SUM(K70:K75)</f>
        <v>1.0946304586106326</v>
      </c>
      <c r="L76" s="22">
        <f>SUM(L70:L75)</f>
        <v>0.80922101929592016</v>
      </c>
      <c r="M76" s="24">
        <f>SUM(M70:M75)</f>
        <v>0.83363187361717295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9000.9218606925915</v>
      </c>
      <c r="AB76" s="137"/>
      <c r="AC76" s="153">
        <f>AC65</f>
        <v>9013.9302116427425</v>
      </c>
      <c r="AD76" s="137"/>
      <c r="AE76" s="153">
        <f>AE65</f>
        <v>8830.424331742357</v>
      </c>
      <c r="AF76" s="137"/>
      <c r="AG76" s="153">
        <f>AG65</f>
        <v>10001.619747452094</v>
      </c>
      <c r="AH76" s="137"/>
      <c r="AI76" s="153">
        <f>SUM(AA76,AC76,AE76,AG76)</f>
        <v>36846.896151529785</v>
      </c>
      <c r="AJ76" s="154">
        <f>SUM(AA76,AC76)</f>
        <v>18014.852072335336</v>
      </c>
      <c r="AK76" s="154">
        <f>SUM(AE76,AG76)</f>
        <v>18832.044079194449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797.7182857162918</v>
      </c>
      <c r="K77" s="40"/>
      <c r="L77" s="22">
        <f>-(L131*G$37*F$9/F$7)/B$130</f>
        <v>-0.25794283061108325</v>
      </c>
      <c r="M77" s="24">
        <f>-J77/B$76</f>
        <v>-1.175015887047123E-2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1651.3435517493745</v>
      </c>
      <c r="AD78" s="112"/>
      <c r="AE78" s="112">
        <f>AC75</f>
        <v>3315.6954544488999</v>
      </c>
      <c r="AF78" s="112"/>
      <c r="AG78" s="112">
        <f>AE75</f>
        <v>3869.8933251770668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1651.3435517493745</v>
      </c>
      <c r="AB79" s="112"/>
      <c r="AC79" s="112">
        <f>AA79-AA74+AC65-AC70</f>
        <v>3315.6954544488999</v>
      </c>
      <c r="AD79" s="112"/>
      <c r="AE79" s="112">
        <f>AC79-AC74+AE65-AE70</f>
        <v>4796.5414772480399</v>
      </c>
      <c r="AF79" s="112"/>
      <c r="AG79" s="112">
        <f>AE79-AE74+AG65-AG70</f>
        <v>6521.9347636859438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6.413552629526505E-3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6.413552629526505E-3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2.3302574553946305E-2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2.3302574553946305E-2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1.4252339176725567E-2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1.4252339176725567E-2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1.282710525905301E-2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1.282710525905301E-2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2.4941593559269742E-3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2.4941593559269742E-3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0.17743557325276108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0.17743557325276108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0.10821940155812287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0.10821940155812287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0.28606060606060607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0.42915006116955778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0.42915006116955778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4.4841882212196991</v>
      </c>
      <c r="J119" s="24">
        <f>SUM(J91:J118)</f>
        <v>4.3586022075276407</v>
      </c>
      <c r="K119" s="22">
        <f>SUM(K91:K118)</f>
        <v>8.7502781889204542</v>
      </c>
      <c r="L119" s="22">
        <f>SUM(L91:L118)</f>
        <v>4.2914600213097378</v>
      </c>
      <c r="M119" s="57">
        <f t="shared" si="80"/>
        <v>4.3586022075276407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0.21552499490606802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2.1877513014427437</v>
      </c>
      <c r="J128" s="227">
        <f>(J30)</f>
        <v>0.54103158629678161</v>
      </c>
      <c r="K128" s="29">
        <f>(B128)</f>
        <v>0.59392078206724785</v>
      </c>
      <c r="L128" s="29">
        <f>IF(L124=L119,0,(L119-L124)/(B119-B124)*K128)</f>
        <v>0.19605097554818326</v>
      </c>
      <c r="M128" s="239">
        <f t="shared" si="93"/>
        <v>0.54103158629678161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4.4841882212196991</v>
      </c>
      <c r="J130" s="227">
        <f>(J119)</f>
        <v>4.3586022075276407</v>
      </c>
      <c r="K130" s="29">
        <f>(B130)</f>
        <v>8.7502781889204542</v>
      </c>
      <c r="L130" s="29">
        <f>(L119)</f>
        <v>4.2914600213097378</v>
      </c>
      <c r="M130" s="239">
        <f t="shared" si="93"/>
        <v>4.3586022075276407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6.2313429624627048E-2</v>
      </c>
      <c r="K131" s="29"/>
      <c r="L131" s="29">
        <f>IF(I131&lt;SUM(L126:L127),0,I131-(SUM(L126:L127)))</f>
        <v>1.3679221361724636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3746.460878482379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223.99999999999994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0.75685581562371351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3.5762497640390548E-3</v>
      </c>
      <c r="AB8" s="125">
        <f>IF($Y8=0,0,AC8/$Y8)</f>
        <v>0.24314418437628646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1.1488903355873462E-3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0.14017535445205478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0.14017535445205478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0.56070141780821914</v>
      </c>
      <c r="Z10" s="125">
        <f>IF($Y10=0,0,AA10/$Y10)</f>
        <v>0.75685581562371362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0.4243701288966123</v>
      </c>
      <c r="AB10" s="125">
        <f>IF($Y10=0,0,AC10/$Y10)</f>
        <v>0.24314418437628643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0.13633128891160684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0.14017535445205478</v>
      </c>
      <c r="AJ10" s="120">
        <f t="shared" si="14"/>
        <v>0.28035070890410957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6519.5</v>
      </c>
      <c r="U11" s="222">
        <v>5</v>
      </c>
      <c r="V11" s="56"/>
      <c r="W11" s="115"/>
      <c r="X11" s="118">
        <f>Poor!X11</f>
        <v>1</v>
      </c>
      <c r="Y11" s="183">
        <f t="shared" si="9"/>
        <v>0.39970677020547951</v>
      </c>
      <c r="Z11" s="125">
        <f>IF($Y11=0,0,AA11/$Y11)</f>
        <v>0.75685581562371351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0.30252039357418842</v>
      </c>
      <c r="AB11" s="125">
        <f>IF($Y11=0,0,AC11/$Y11)</f>
        <v>0.24314418437628652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9.7186376631291094E-2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0.19985338510273976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3.314115504358655E-3</v>
      </c>
      <c r="K13" s="22">
        <f t="shared" si="4"/>
        <v>0</v>
      </c>
      <c r="L13" s="22">
        <f t="shared" si="5"/>
        <v>0</v>
      </c>
      <c r="M13" s="224">
        <f t="shared" si="6"/>
        <v>3.314115504358655E-3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1.325646201743462E-2</v>
      </c>
      <c r="Z13" s="156">
        <f>Poor!Z13</f>
        <v>1</v>
      </c>
      <c r="AA13" s="121">
        <f>$M13*Z13*4</f>
        <v>1.325646201743462E-2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3.314115504358655E-3</v>
      </c>
      <c r="AJ13" s="120">
        <f t="shared" si="14"/>
        <v>6.6282310087173099E-3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36816</v>
      </c>
      <c r="T14" s="221">
        <f>IF($B$81=0,0,(SUMIF($N$6:$N$28,$U14,M$6:M$28)+SUMIF($N$91:$N$118,$U14,M$91:M$118))*$I$83*Poor!$B$81/$B$81)</f>
        <v>36816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2.2289626400996271E-2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2.2289626400996271E-2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8.9158505603985083E-2</v>
      </c>
      <c r="Z15" s="156">
        <f>Poor!Z15</f>
        <v>0.25</v>
      </c>
      <c r="AA15" s="121">
        <f t="shared" si="16"/>
        <v>2.2289626400996271E-2</v>
      </c>
      <c r="AB15" s="156">
        <f>Poor!AB15</f>
        <v>0.25</v>
      </c>
      <c r="AC15" s="121">
        <f t="shared" si="7"/>
        <v>2.2289626400996271E-2</v>
      </c>
      <c r="AD15" s="156">
        <f>Poor!AD15</f>
        <v>0.25</v>
      </c>
      <c r="AE15" s="121">
        <f t="shared" si="8"/>
        <v>2.2289626400996271E-2</v>
      </c>
      <c r="AF15" s="122">
        <f t="shared" si="10"/>
        <v>0.25</v>
      </c>
      <c r="AG15" s="121">
        <f t="shared" si="11"/>
        <v>2.2289626400996271E-2</v>
      </c>
      <c r="AH15" s="123">
        <f t="shared" si="12"/>
        <v>1</v>
      </c>
      <c r="AI15" s="183">
        <f t="shared" si="13"/>
        <v>2.2289626400996271E-2</v>
      </c>
      <c r="AJ15" s="120">
        <f t="shared" si="14"/>
        <v>2.2289626400996271E-2</v>
      </c>
      <c r="AK15" s="119">
        <f t="shared" si="15"/>
        <v>2.2289626400996271E-2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1.8026151930261521E-2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1.8026151930261521E-2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1152</v>
      </c>
      <c r="U16" s="222">
        <v>10</v>
      </c>
      <c r="V16" s="56"/>
      <c r="W16" s="110"/>
      <c r="X16" s="118"/>
      <c r="Y16" s="183">
        <f t="shared" si="9"/>
        <v>7.2104607721046085E-2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7.2104607721046085E-2</v>
      </c>
      <c r="AH16" s="123">
        <f t="shared" si="12"/>
        <v>1</v>
      </c>
      <c r="AI16" s="183">
        <f t="shared" si="13"/>
        <v>1.8026151930261521E-2</v>
      </c>
      <c r="AJ16" s="120">
        <f t="shared" si="14"/>
        <v>0</v>
      </c>
      <c r="AK16" s="119">
        <f t="shared" si="15"/>
        <v>3.6052303860523043E-2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1.87733499377335E-2</v>
      </c>
      <c r="Z17" s="156">
        <f>Poor!Z17</f>
        <v>0.29409999999999997</v>
      </c>
      <c r="AA17" s="121">
        <f t="shared" si="16"/>
        <v>5.5212422166874215E-3</v>
      </c>
      <c r="AB17" s="156">
        <f>Poor!AB17</f>
        <v>0.17649999999999999</v>
      </c>
      <c r="AC17" s="121">
        <f t="shared" si="7"/>
        <v>3.3134962640099627E-3</v>
      </c>
      <c r="AD17" s="156">
        <f>Poor!AD17</f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56387.772223081491</v>
      </c>
      <c r="T23" s="179">
        <f>SUM(T7:T22)</f>
        <v>57705.641573768131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1.8985582337683438</v>
      </c>
      <c r="J30" s="230">
        <f>IF(I$32&lt;=1,I30,1-SUM(J6:J29))</f>
        <v>0.46270636818907385</v>
      </c>
      <c r="K30" s="22">
        <f t="shared" si="4"/>
        <v>0.63544987546699883</v>
      </c>
      <c r="L30" s="22">
        <f>IF(L124=L119,0,IF(K30="",0,(L119-L124)/(B119-B124)*K30))</f>
        <v>0.11826710126457918</v>
      </c>
      <c r="M30" s="175">
        <f t="shared" si="6"/>
        <v>0.46270636818907385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1.8508254727562954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0.10136206643777283</v>
      </c>
      <c r="AC30" s="187">
        <f>IF(AC79*4/$I$84+SUM(AC6:AC29)&lt;1,AC79*4/$I$84,1-SUM(AC6:AC29))</f>
        <v>0.18760349453424593</v>
      </c>
      <c r="AD30" s="122">
        <f>IF($Y30=0,0,AE30/($Y$30))</f>
        <v>-0.12846944346289305</v>
      </c>
      <c r="AE30" s="187">
        <f>IF(AE79*4/$I$84+SUM(AE6:AE29)&lt;1,AE79*4/$I$84,1-SUM(AE6:AE29))</f>
        <v>-0.23777451843194716</v>
      </c>
      <c r="AF30" s="122">
        <f>IF($Y30=0,0,AG30/($Y$30))</f>
        <v>-0.12846944346289305</v>
      </c>
      <c r="AG30" s="187">
        <f>IF(AG79*4/$I$84+SUM(AG6:AG29)&lt;1,AG79*4/$I$84,1-SUM(AG6:AG29))</f>
        <v>-0.23777451843194716</v>
      </c>
      <c r="AH30" s="123">
        <f t="shared" si="12"/>
        <v>-0.15557682048801325</v>
      </c>
      <c r="AI30" s="183">
        <f t="shared" si="13"/>
        <v>-7.1986385582412105E-2</v>
      </c>
      <c r="AJ30" s="120">
        <f t="shared" si="14"/>
        <v>9.3801747267122967E-2</v>
      </c>
      <c r="AK30" s="119">
        <f t="shared" si="15"/>
        <v>-0.23777451843194716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0.44937378871829758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3207.3407356379757</v>
      </c>
      <c r="T31" s="233">
        <f>IF(T25&gt;T$23,T25-T$23,0)</f>
        <v>1889.4713849513355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0.31472649641737627</v>
      </c>
      <c r="AD31" s="134"/>
      <c r="AE31" s="133">
        <f>1-AE32+IF($Y32&lt;0,$Y32/4,0)</f>
        <v>0.97365292722967611</v>
      </c>
      <c r="AF31" s="134"/>
      <c r="AG31" s="133">
        <f>1-AG32+IF($Y32&lt;0,$Y32/4,0)</f>
        <v>0.88814057275894132</v>
      </c>
      <c r="AH31" s="123"/>
      <c r="AI31" s="182">
        <f>SUM(AA31,AC31,AE31,AG31)/4</f>
        <v>0.54412999910149851</v>
      </c>
      <c r="AJ31" s="135">
        <f t="shared" si="14"/>
        <v>0.15736324820868813</v>
      </c>
      <c r="AK31" s="136">
        <f t="shared" si="15"/>
        <v>0.93089674999430871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2.43585186557927</v>
      </c>
      <c r="J32" s="17"/>
      <c r="L32" s="22">
        <f>SUM(L6:L30)</f>
        <v>0.55062621128170242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35945.260735637981</v>
      </c>
      <c r="T32" s="233">
        <f t="shared" si="24"/>
        <v>34627.391384951341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0.68527350358262373</v>
      </c>
      <c r="AD32" s="137"/>
      <c r="AE32" s="139">
        <f>SUM(AE6:AE30)</f>
        <v>2.6347072770323915E-2</v>
      </c>
      <c r="AF32" s="137"/>
      <c r="AG32" s="139">
        <f>SUM(AG6:AG30)</f>
        <v>0.11185942724105866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2.2131729065854779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1889.47138495134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0.32954905554216329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544.41503975565365</v>
      </c>
      <c r="AB37" s="122">
        <f>IF($J37=0,0,AC37/($J37))</f>
        <v>0.67045094445783671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1107.5849602443461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4425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4.3814050200504974E-2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0.32954905554216324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1458.2545707740724</v>
      </c>
      <c r="AB38" s="122">
        <f>IF($J38=0,0,AC38/($J38))</f>
        <v>0.67045094445783671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2966.7454292259276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4425</v>
      </c>
      <c r="AJ38" s="148">
        <f t="shared" ref="AJ38:AJ64" si="38">(AA38+AC38)</f>
        <v>4425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442.5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4.3814050200504974E-3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0.75685581562371351</v>
      </c>
      <c r="AA39" s="147">
        <f t="shared" ref="AA39:AA64" si="40">$J39*Z39</f>
        <v>334.90869841349325</v>
      </c>
      <c r="AB39" s="122">
        <f>AB8</f>
        <v>0.24314418437628646</v>
      </c>
      <c r="AC39" s="147">
        <f t="shared" ref="AC39:AC64" si="41">$J39*AB39</f>
        <v>107.59130158650676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442.5</v>
      </c>
      <c r="AJ39" s="148">
        <f t="shared" si="38"/>
        <v>442.5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0.75685581562371351</v>
      </c>
      <c r="AA41" s="147">
        <f t="shared" si="40"/>
        <v>0</v>
      </c>
      <c r="AB41" s="122">
        <f>AB11</f>
        <v>0.24314418437628652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16992</v>
      </c>
      <c r="J53" s="38">
        <f t="shared" si="32"/>
        <v>16992</v>
      </c>
      <c r="K53" s="40">
        <f t="shared" si="33"/>
        <v>0.35645328976682011</v>
      </c>
      <c r="L53" s="22">
        <f t="shared" si="34"/>
        <v>0.16824595276993909</v>
      </c>
      <c r="M53" s="24">
        <f t="shared" si="35"/>
        <v>0.16824595276993912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1.1406505272538245E-2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53703.1</v>
      </c>
      <c r="J65" s="39">
        <f>SUM(J37:J64)</f>
        <v>53703.1</v>
      </c>
      <c r="K65" s="40">
        <f>SUM(K37:K64)</f>
        <v>1</v>
      </c>
      <c r="L65" s="22">
        <f>SUM(L37:L64)</f>
        <v>0.53432744195257187</v>
      </c>
      <c r="M65" s="24">
        <f>SUM(M37:M64)</f>
        <v>0.53174018515768107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9193.9216910567811</v>
      </c>
      <c r="AD65" s="137"/>
      <c r="AE65" s="153">
        <f>SUM(AE37:AE64)</f>
        <v>5012</v>
      </c>
      <c r="AF65" s="137"/>
      <c r="AG65" s="153">
        <f>SUM(AG37:AG64)</f>
        <v>5012</v>
      </c>
      <c r="AH65" s="137"/>
      <c r="AI65" s="153">
        <f>SUM(AI37:AI64)</f>
        <v>26567.5</v>
      </c>
      <c r="AJ65" s="153">
        <f>SUM(AJ37:AJ64)</f>
        <v>16543.5</v>
      </c>
      <c r="AK65" s="153">
        <f>SUM(AK37:AK64)</f>
        <v>10024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0.27470666864696275</v>
      </c>
      <c r="L72" s="22">
        <f t="shared" si="45"/>
        <v>2.7538385922316149E-2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24304.786764227127</v>
      </c>
      <c r="J74" s="51">
        <f t="shared" si="44"/>
        <v>5923.4314825118008</v>
      </c>
      <c r="K74" s="40">
        <f>B74/B$76</f>
        <v>4.8816357829535556E-2</v>
      </c>
      <c r="L74" s="22">
        <f t="shared" si="45"/>
        <v>1.4991047193783242E-2</v>
      </c>
      <c r="M74" s="24">
        <f>J74/B$76</f>
        <v>5.8650739962491219E-2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1844.3433821135625</v>
      </c>
      <c r="AD74" s="156"/>
      <c r="AE74" s="147">
        <f>AE30*$I$84/4</f>
        <v>-2337.5783089432189</v>
      </c>
      <c r="AF74" s="156"/>
      <c r="AG74" s="147">
        <f>AG30*$I$84/4</f>
        <v>-2337.5783089432189</v>
      </c>
      <c r="AH74" s="155"/>
      <c r="AI74" s="147">
        <f>SUM(AA74,AC74,AE74,AG74)</f>
        <v>-2830.8132357728755</v>
      </c>
      <c r="AJ74" s="148">
        <f>(AA74+AC74)</f>
        <v>1844.3433821135625</v>
      </c>
      <c r="AK74" s="147">
        <f>(AE74+AG74)</f>
        <v>-4675.1566178864377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53703.1</v>
      </c>
      <c r="J76" s="51">
        <f t="shared" si="44"/>
        <v>53703.1</v>
      </c>
      <c r="K76" s="40">
        <f>SUM(K70:K75)</f>
        <v>1.1014571998026617</v>
      </c>
      <c r="L76" s="22">
        <f>SUM(L70:L75)</f>
        <v>0.53432744195257198</v>
      </c>
      <c r="M76" s="24">
        <f>SUM(M70:M75)</f>
        <v>0.55044874879896377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9193.9216910567811</v>
      </c>
      <c r="AD76" s="137"/>
      <c r="AE76" s="153">
        <f>AE65</f>
        <v>5012</v>
      </c>
      <c r="AF76" s="137"/>
      <c r="AG76" s="153">
        <f>AG65</f>
        <v>5012</v>
      </c>
      <c r="AH76" s="137"/>
      <c r="AI76" s="153">
        <f>SUM(AA76,AC76,AE76,AG76)</f>
        <v>26567.5</v>
      </c>
      <c r="AJ76" s="154">
        <f>SUM(AA76,AC76)</f>
        <v>16543.5</v>
      </c>
      <c r="AK76" s="154">
        <f>SUM(AE76,AG76)</f>
        <v>10024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1889.47138495134</v>
      </c>
      <c r="K77" s="40"/>
      <c r="L77" s="22">
        <f>-(L131*G$37*F$9/F$7)/B$130</f>
        <v>-0.17317280440063715</v>
      </c>
      <c r="M77" s="24">
        <f>-J77/B$76</f>
        <v>-1.8708563641282639E-2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3094.0987122029082</v>
      </c>
      <c r="AD77" s="112"/>
      <c r="AE77" s="111">
        <f>AE31*$I$84/4</f>
        <v>9572.0516148687584</v>
      </c>
      <c r="AF77" s="112"/>
      <c r="AG77" s="111">
        <f>AG31*$I$84/4</f>
        <v>8731.3735376900895</v>
      </c>
      <c r="AH77" s="110"/>
      <c r="AI77" s="154">
        <f>SUM(AA77,AC77,AE77,AG77)</f>
        <v>21397.523864761759</v>
      </c>
      <c r="AJ77" s="153">
        <f>SUM(AA77,AC77)</f>
        <v>3094.0987122029082</v>
      </c>
      <c r="AK77" s="160">
        <f>SUM(AE77,AG77)</f>
        <v>18303.425152558848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1844.3433821135623</v>
      </c>
      <c r="AD79" s="112"/>
      <c r="AE79" s="112">
        <f>AC79-AC74+AE65-AE70</f>
        <v>-2337.5783089432189</v>
      </c>
      <c r="AF79" s="112"/>
      <c r="AG79" s="112">
        <f>AE79-AE74+AG65-AG70</f>
        <v>-2337.5783089432189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0.34565702081328548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0.34565702081328548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3.4565702081328545E-2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3.4565702081328545E-2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0.28606060606060607</v>
      </c>
      <c r="I107" s="22">
        <f t="shared" si="58"/>
        <v>1.3273229599230161</v>
      </c>
      <c r="J107" s="24">
        <f t="shared" si="59"/>
        <v>1.3273229599230161</v>
      </c>
      <c r="K107" s="22">
        <f t="shared" si="60"/>
        <v>4.6400061099003738</v>
      </c>
      <c r="L107" s="22">
        <f t="shared" si="61"/>
        <v>1.3273229599230161</v>
      </c>
      <c r="M107" s="226">
        <f t="shared" si="62"/>
        <v>1.3273229599230161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8.9987997282916343E-2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8.9987997282916343E-2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4.1949951535452996</v>
      </c>
      <c r="J119" s="24">
        <f>SUM(J91:J118)</f>
        <v>4.1949951535452996</v>
      </c>
      <c r="K119" s="22">
        <f>SUM(K91:K118)</f>
        <v>13.017150474149673</v>
      </c>
      <c r="L119" s="22">
        <f>SUM(L91:L118)</f>
        <v>4.2154064935540028</v>
      </c>
      <c r="M119" s="57">
        <f t="shared" si="49"/>
        <v>4.1949951535452996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0.21725534143393599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1.8985582337683438</v>
      </c>
      <c r="J128" s="227">
        <f>(J30)</f>
        <v>0.46270636818907385</v>
      </c>
      <c r="K128" s="22">
        <f>(B128)</f>
        <v>0.63544987546699883</v>
      </c>
      <c r="L128" s="22">
        <f>IF(L124=L119,0,(L119-L124)/(B119-B124)*K128)</f>
        <v>0.11826710126457918</v>
      </c>
      <c r="M128" s="57">
        <f t="shared" si="63"/>
        <v>0.46270636818907385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4.1949951535452996</v>
      </c>
      <c r="J130" s="227">
        <f>(J119)</f>
        <v>4.1949951535452996</v>
      </c>
      <c r="K130" s="22">
        <f>(B130)</f>
        <v>13.017150474149673</v>
      </c>
      <c r="L130" s="22">
        <f>(L119)</f>
        <v>4.2154064935540028</v>
      </c>
      <c r="M130" s="57">
        <f t="shared" si="63"/>
        <v>4.1949951535452996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0.14759526549926161</v>
      </c>
      <c r="K131" s="29"/>
      <c r="L131" s="29">
        <f>IF(I131&lt;SUM(L126:L127),0,I131-(SUM(L126:L127)))</f>
        <v>1.3661917896445956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6285.7826129903788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-717.47179803360893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0.38343653222079038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1.7564558351854352E-2</v>
      </c>
      <c r="AB8" s="125">
        <f>IF($Y8=0,0,AC8/$Y8)</f>
        <v>0.47842312820322125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2.1915728539302022E-2</v>
      </c>
      <c r="AD8" s="125">
        <f>IF($Y8=0,0,AE8/$Y8)</f>
        <v>0.13814033957598837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6.3279678677833143E-3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1.9740143445578187E-2</v>
      </c>
      <c r="AK8" s="119">
        <f t="shared" si="15"/>
        <v>3.1639839338916571E-3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0.23015302444748109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0.23015302444748109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0.92061209778992437</v>
      </c>
      <c r="Z10" s="125">
        <f>IF($Y10=0,0,AA10/$Y10)</f>
        <v>0.38343653222079044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0.35299631029707579</v>
      </c>
      <c r="AB10" s="125">
        <f>IF($Y10=0,0,AC10/$Y10)</f>
        <v>0.47842312820322119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0.44044211968638541</v>
      </c>
      <c r="AD10" s="125">
        <f>IF($Y10=0,0,AE10/$Y10)</f>
        <v>0.13814033957598837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0.12717366780646316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0.23015302444748109</v>
      </c>
      <c r="AJ10" s="120">
        <f t="shared" si="14"/>
        <v>0.39671921499173057</v>
      </c>
      <c r="AK10" s="119">
        <f t="shared" si="15"/>
        <v>6.3586833903231582E-2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0.1270926792674511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0.1270926792674511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16341.972355286567</v>
      </c>
      <c r="U11" s="222">
        <v>5</v>
      </c>
      <c r="V11" s="56"/>
      <c r="W11" s="115"/>
      <c r="X11" s="118">
        <f>Poor!X11</f>
        <v>1</v>
      </c>
      <c r="Y11" s="183">
        <f t="shared" si="9"/>
        <v>0.50837071706980441</v>
      </c>
      <c r="Z11" s="125">
        <f>IF($Y11=0,0,AA11/$Y11)</f>
        <v>0.38343653222079038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0.19492790483584238</v>
      </c>
      <c r="AB11" s="125">
        <f>IF($Y11=0,0,AC11/$Y11)</f>
        <v>0.47842312820322125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0.24321630874745057</v>
      </c>
      <c r="AD11" s="125">
        <f>IF($Y11=0,0,AE11/$Y11)</f>
        <v>0.13814033957598831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7.0226503486511466E-2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0.1270926792674511</v>
      </c>
      <c r="AJ11" s="120">
        <f t="shared" si="14"/>
        <v>0.21907210679164646</v>
      </c>
      <c r="AK11" s="119">
        <f t="shared" si="15"/>
        <v>3.5113251743255733E-2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3.6927162189422463E-2</v>
      </c>
      <c r="K13" s="22">
        <f t="shared" si="4"/>
        <v>0</v>
      </c>
      <c r="L13" s="22">
        <f t="shared" si="5"/>
        <v>0</v>
      </c>
      <c r="M13" s="224">
        <f t="shared" si="6"/>
        <v>3.6927162189422463E-2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0.14770864875768985</v>
      </c>
      <c r="Z13" s="156">
        <f>Poor!Z13</f>
        <v>1</v>
      </c>
      <c r="AA13" s="121">
        <f>$M13*Z13*4</f>
        <v>0.14770864875768985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3.6927162189422463E-2</v>
      </c>
      <c r="AJ13" s="120">
        <f t="shared" si="14"/>
        <v>7.3854324378844927E-2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100333.7142857143</v>
      </c>
      <c r="T14" s="221">
        <f>IF($B$81=0,0,(SUMIF($N$6:$N$28,$U14,M$6:M$28)+SUMIF($N$91:$N$118,$U14,M$91:M$118))*$I$83*Poor!$B$81/$B$81)</f>
        <v>100333.7142857143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6.0232885185979905E-2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6.0232885185979905E-2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0.24093154074391962</v>
      </c>
      <c r="Z15" s="156">
        <f>Poor!Z15</f>
        <v>0.25</v>
      </c>
      <c r="AA15" s="121">
        <f t="shared" si="16"/>
        <v>6.0232885185979905E-2</v>
      </c>
      <c r="AB15" s="156">
        <f>Poor!AB15</f>
        <v>0.25</v>
      </c>
      <c r="AC15" s="121">
        <f t="shared" si="7"/>
        <v>6.0232885185979905E-2</v>
      </c>
      <c r="AD15" s="156">
        <f>Poor!AD15</f>
        <v>0.25</v>
      </c>
      <c r="AE15" s="121">
        <f t="shared" si="8"/>
        <v>6.0232885185979905E-2</v>
      </c>
      <c r="AF15" s="122">
        <f t="shared" si="10"/>
        <v>0.25</v>
      </c>
      <c r="AG15" s="121">
        <f t="shared" si="11"/>
        <v>6.0232885185979905E-2</v>
      </c>
      <c r="AH15" s="123">
        <f t="shared" si="12"/>
        <v>1</v>
      </c>
      <c r="AI15" s="183">
        <f t="shared" si="13"/>
        <v>6.0232885185979905E-2</v>
      </c>
      <c r="AJ15" s="120">
        <f t="shared" si="14"/>
        <v>6.0232885185979905E-2</v>
      </c>
      <c r="AK15" s="119">
        <f t="shared" si="15"/>
        <v>6.0232885185979905E-2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2.2854057393850623E-2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2.2854057393850623E-2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9.1416229575402491E-2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9.1416229575402491E-2</v>
      </c>
      <c r="AH16" s="123">
        <f t="shared" si="12"/>
        <v>1</v>
      </c>
      <c r="AI16" s="183">
        <f t="shared" si="13"/>
        <v>2.2854057393850623E-2</v>
      </c>
      <c r="AJ16" s="120">
        <f t="shared" si="14"/>
        <v>0</v>
      </c>
      <c r="AK16" s="119">
        <f t="shared" si="15"/>
        <v>4.5708114787701246E-2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5.5006711957860032E-3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5.5006711957860032E-3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2.2002684783144013E-2</v>
      </c>
      <c r="Z17" s="156">
        <f>Poor!Z17</f>
        <v>0.29409999999999997</v>
      </c>
      <c r="AA17" s="121">
        <f t="shared" si="16"/>
        <v>6.4709895947226538E-3</v>
      </c>
      <c r="AB17" s="156">
        <f>Poor!AB17</f>
        <v>0.17649999999999999</v>
      </c>
      <c r="AC17" s="121">
        <f t="shared" si="7"/>
        <v>3.8834738642249179E-3</v>
      </c>
      <c r="AD17" s="156">
        <f>Poor!AD17</f>
        <v>0.23530000000000001</v>
      </c>
      <c r="AE17" s="121">
        <f t="shared" si="8"/>
        <v>5.1772317294737861E-3</v>
      </c>
      <c r="AF17" s="122">
        <f t="shared" si="10"/>
        <v>0.29410000000000003</v>
      </c>
      <c r="AG17" s="121">
        <f t="shared" si="11"/>
        <v>6.4709895947226547E-3</v>
      </c>
      <c r="AH17" s="123">
        <f t="shared" si="12"/>
        <v>1</v>
      </c>
      <c r="AI17" s="183">
        <f t="shared" si="13"/>
        <v>5.5006711957860032E-3</v>
      </c>
      <c r="AJ17" s="120">
        <f t="shared" si="14"/>
        <v>5.1772317294737861E-3</v>
      </c>
      <c r="AK17" s="119">
        <f t="shared" si="15"/>
        <v>5.8241106620982204E-3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134363.46473408805</v>
      </c>
      <c r="T23" s="179">
        <f>SUM(T7:T22)</f>
        <v>133078.64471883434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-4.6455485960882059E-3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-4.6455485960882059E-3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-1.8582194384352824E-2</v>
      </c>
      <c r="Z27" s="156">
        <f>Poor!Z27</f>
        <v>0.25</v>
      </c>
      <c r="AA27" s="121">
        <f t="shared" si="16"/>
        <v>-4.6455485960882059E-3</v>
      </c>
      <c r="AB27" s="156">
        <f>Poor!AB27</f>
        <v>0.25</v>
      </c>
      <c r="AC27" s="121">
        <f t="shared" si="7"/>
        <v>-4.6455485960882059E-3</v>
      </c>
      <c r="AD27" s="156">
        <f>Poor!AD27</f>
        <v>0.25</v>
      </c>
      <c r="AE27" s="121">
        <f t="shared" si="8"/>
        <v>-4.6455485960882059E-3</v>
      </c>
      <c r="AF27" s="122">
        <f t="shared" si="10"/>
        <v>0.25</v>
      </c>
      <c r="AG27" s="121">
        <f t="shared" si="11"/>
        <v>-4.6455485960882059E-3</v>
      </c>
      <c r="AH27" s="123">
        <f t="shared" si="12"/>
        <v>1</v>
      </c>
      <c r="AI27" s="183">
        <f t="shared" si="13"/>
        <v>-4.6455485960882059E-3</v>
      </c>
      <c r="AJ27" s="120">
        <f t="shared" si="14"/>
        <v>-4.6455485960882059E-3</v>
      </c>
      <c r="AK27" s="119">
        <f t="shared" si="15"/>
        <v>-4.6455485960882059E-3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0.21161582921391253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0.21161582921391253</v>
      </c>
      <c r="N29" s="228"/>
      <c r="P29" s="22"/>
      <c r="V29" s="56"/>
      <c r="W29" s="110"/>
      <c r="X29" s="118"/>
      <c r="Y29" s="183">
        <f t="shared" si="9"/>
        <v>0.84646331685565013</v>
      </c>
      <c r="Z29" s="156">
        <f>Poor!Z29</f>
        <v>0.25</v>
      </c>
      <c r="AA29" s="121">
        <f t="shared" si="16"/>
        <v>0.21161582921391253</v>
      </c>
      <c r="AB29" s="156">
        <f>Poor!AB29</f>
        <v>0.25</v>
      </c>
      <c r="AC29" s="121">
        <f t="shared" si="7"/>
        <v>0.21161582921391253</v>
      </c>
      <c r="AD29" s="156">
        <f>Poor!AD29</f>
        <v>0.25</v>
      </c>
      <c r="AE29" s="121">
        <f t="shared" si="8"/>
        <v>0.21161582921391253</v>
      </c>
      <c r="AF29" s="122">
        <f t="shared" si="10"/>
        <v>0.25</v>
      </c>
      <c r="AG29" s="121">
        <f t="shared" si="11"/>
        <v>0.21161582921391253</v>
      </c>
      <c r="AH29" s="123">
        <f t="shared" si="12"/>
        <v>1</v>
      </c>
      <c r="AI29" s="183">
        <f t="shared" si="13"/>
        <v>0.21161582921391253</v>
      </c>
      <c r="AJ29" s="120">
        <f t="shared" si="14"/>
        <v>0.21161582921391253</v>
      </c>
      <c r="AK29" s="119">
        <f t="shared" si="15"/>
        <v>0.21161582921391253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7.6489865465991356</v>
      </c>
      <c r="J30" s="230">
        <f>IF(I$32&lt;=1,I30,1-SUM(J6:J29))</f>
        <v>0.25838887499841523</v>
      </c>
      <c r="K30" s="22">
        <f t="shared" si="4"/>
        <v>0.64712539405799685</v>
      </c>
      <c r="L30" s="22">
        <f>IF(L124=L119,0,IF(K30="",0,(L119-L124)/(B119-B124)*K30))</f>
        <v>0.16631831260303595</v>
      </c>
      <c r="M30" s="175">
        <f t="shared" si="6"/>
        <v>0.25838887499841523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1.0335554999936609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0.46745043761786309</v>
      </c>
      <c r="AE30" s="187">
        <f>IF(AE79*4/$I$83+SUM(AE6:AE29)&lt;1,AE79*4/$I$83,1-SUM(AE6:AE29))</f>
        <v>0.48313597077438608</v>
      </c>
      <c r="AF30" s="122">
        <f>IF($Y30=0,0,AG30/($Y$30))</f>
        <v>0.5325495623821368</v>
      </c>
      <c r="AG30" s="187">
        <f>IF(AG79*4/$I$83+SUM(AG6:AG29)&lt;1,AG79*4/$I$83,1-SUM(AG6:AG29))</f>
        <v>0.55041952921927473</v>
      </c>
      <c r="AH30" s="123">
        <f t="shared" si="12"/>
        <v>0.99999999999999989</v>
      </c>
      <c r="AI30" s="183">
        <f t="shared" si="13"/>
        <v>0.25838887499841523</v>
      </c>
      <c r="AJ30" s="120">
        <f t="shared" si="14"/>
        <v>0</v>
      </c>
      <c r="AK30" s="119">
        <f t="shared" si="15"/>
        <v>0.51677774999683046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0.36514987175028191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8.3415928624286977</v>
      </c>
      <c r="J32" s="17"/>
      <c r="L32" s="22">
        <f>SUM(L6:L30)</f>
        <v>0.63485012824971809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1.218698732484186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9.4298201969939141E-2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272.61610189509406</v>
      </c>
      <c r="AB37" s="122">
        <f>IF($J37=0,0,AC37/($J37))</f>
        <v>8.6741234377796364E-2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250.76890858620928</v>
      </c>
      <c r="AD37" s="122">
        <f>IF($J37=0,0,AE37/($J37))</f>
        <v>0.2096480804259645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606.09260051146339</v>
      </c>
      <c r="AF37" s="122">
        <f t="shared" ref="AF37:AF64" si="31">1-SUM(Z37,AB37,AD37)</f>
        <v>0.60931248322629994</v>
      </c>
      <c r="AG37" s="147">
        <f>$J37*AF37</f>
        <v>1761.5223890072332</v>
      </c>
      <c r="AH37" s="123">
        <f>SUM(Z37,AB37,AD37,AF37)</f>
        <v>1</v>
      </c>
      <c r="AI37" s="112">
        <f>SUM(AA37,AC37,AE37,AG37)</f>
        <v>2891</v>
      </c>
      <c r="AJ37" s="148">
        <f>(AA37+AC37)</f>
        <v>523.38501048130331</v>
      </c>
      <c r="AK37" s="147">
        <f>(AE37+AG37)</f>
        <v>2367.6149895186963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9.4298201969939141E-2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1001.4469049207539</v>
      </c>
      <c r="AB38" s="122">
        <f>IF($J38=0,0,AC38/($J38))</f>
        <v>8.6741234377796364E-2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921.19190909219753</v>
      </c>
      <c r="AD38" s="122">
        <f>IF($J38=0,0,AE38/($J38))</f>
        <v>0.20964808042596453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2226.4626141237436</v>
      </c>
      <c r="AF38" s="122">
        <f t="shared" si="31"/>
        <v>0.60931248322629994</v>
      </c>
      <c r="AG38" s="147">
        <f t="shared" ref="AG38:AG64" si="34">$J38*AF38</f>
        <v>6470.8985718633066</v>
      </c>
      <c r="AH38" s="123">
        <f t="shared" ref="AH38:AI58" si="35">SUM(Z38,AB38,AD38,AF38)</f>
        <v>1</v>
      </c>
      <c r="AI38" s="112">
        <f t="shared" si="35"/>
        <v>10620.000000000002</v>
      </c>
      <c r="AJ38" s="148">
        <f t="shared" ref="AJ38:AJ64" si="36">(AA38+AC38)</f>
        <v>1922.6388140129516</v>
      </c>
      <c r="AK38" s="147">
        <f t="shared" ref="AK38:AK64" si="37">(AE38+AG38)</f>
        <v>8697.3611859870507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788.22581087574781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3.4174849265136806E-3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0.38343653222079038</v>
      </c>
      <c r="AA39" s="147">
        <f>$J39*Z39</f>
        <v>302.23457152911732</v>
      </c>
      <c r="AB39" s="122">
        <f>AB8</f>
        <v>0.47842312820322125</v>
      </c>
      <c r="AC39" s="147">
        <f>$J39*AB39</f>
        <v>377.10545816969591</v>
      </c>
      <c r="AD39" s="122">
        <f>AD8</f>
        <v>0.13814033957598837</v>
      </c>
      <c r="AE39" s="147">
        <f>$J39*AD39</f>
        <v>108.88578117693459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788.22581087574781</v>
      </c>
      <c r="AJ39" s="148">
        <f t="shared" si="36"/>
        <v>679.34002969881317</v>
      </c>
      <c r="AK39" s="147">
        <f t="shared" si="37"/>
        <v>108.88578117693459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-275.56040293007453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-1.1947382467865097E-3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-275.56040293007453</v>
      </c>
      <c r="AH40" s="123">
        <f t="shared" si="35"/>
        <v>1</v>
      </c>
      <c r="AI40" s="112">
        <f t="shared" si="35"/>
        <v>-275.56040293007453</v>
      </c>
      <c r="AJ40" s="148">
        <f t="shared" si="36"/>
        <v>0</v>
      </c>
      <c r="AK40" s="147">
        <f t="shared" si="37"/>
        <v>-275.56040293007453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-100.1202797312604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-4.3408822966576515E-4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0.38343653222079038</v>
      </c>
      <c r="AA41" s="147">
        <f>$J41*Z41</f>
        <v>-38.38977286512997</v>
      </c>
      <c r="AB41" s="122">
        <f>AB11</f>
        <v>0.47842312820322125</v>
      </c>
      <c r="AC41" s="147">
        <f>$J41*AB41</f>
        <v>-47.899857425611167</v>
      </c>
      <c r="AD41" s="122">
        <f>AD11</f>
        <v>0.13814033957598831</v>
      </c>
      <c r="AE41" s="147">
        <f>$J41*AD41</f>
        <v>-13.830649440519251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-100.1202797312604</v>
      </c>
      <c r="AJ41" s="148">
        <f t="shared" si="36"/>
        <v>-86.289630290741144</v>
      </c>
      <c r="AK41" s="147">
        <f t="shared" si="37"/>
        <v>-13.830649440519251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-146.96554822937304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-6.3719373161947169E-4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-36.74138705734326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-73.482774114686521</v>
      </c>
      <c r="AF42" s="122">
        <f t="shared" si="31"/>
        <v>0.25</v>
      </c>
      <c r="AG42" s="147">
        <f t="shared" si="34"/>
        <v>-36.74138705734326</v>
      </c>
      <c r="AH42" s="123">
        <f t="shared" si="35"/>
        <v>1</v>
      </c>
      <c r="AI42" s="112">
        <f t="shared" si="35"/>
        <v>-146.96554822937304</v>
      </c>
      <c r="AJ42" s="148">
        <f t="shared" si="36"/>
        <v>-36.74138705734326</v>
      </c>
      <c r="AK42" s="147">
        <f t="shared" si="37"/>
        <v>-110.22416117202978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-244.9425803822883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-1.0619895526991191E-3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-61.235645095572075</v>
      </c>
      <c r="AB43" s="156">
        <f>Poor!AB43</f>
        <v>0.25</v>
      </c>
      <c r="AC43" s="147">
        <f t="shared" si="39"/>
        <v>-61.235645095572075</v>
      </c>
      <c r="AD43" s="156">
        <f>Poor!AD43</f>
        <v>0.25</v>
      </c>
      <c r="AE43" s="147">
        <f t="shared" si="40"/>
        <v>-61.235645095572075</v>
      </c>
      <c r="AF43" s="122">
        <f t="shared" si="31"/>
        <v>0.25</v>
      </c>
      <c r="AG43" s="147">
        <f t="shared" si="34"/>
        <v>-61.235645095572075</v>
      </c>
      <c r="AH43" s="123">
        <f t="shared" si="35"/>
        <v>1</v>
      </c>
      <c r="AI43" s="112">
        <f t="shared" si="35"/>
        <v>-244.9425803822883</v>
      </c>
      <c r="AJ43" s="148">
        <f t="shared" si="36"/>
        <v>-122.47129019114415</v>
      </c>
      <c r="AK43" s="147">
        <f t="shared" si="37"/>
        <v>-122.47129019114415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-73.482774114686521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-3.1859686580973585E-4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-18.37069352867163</v>
      </c>
      <c r="AB44" s="156">
        <f>Poor!AB44</f>
        <v>0.25</v>
      </c>
      <c r="AC44" s="147">
        <f t="shared" si="39"/>
        <v>-18.37069352867163</v>
      </c>
      <c r="AD44" s="156">
        <f>Poor!AD44</f>
        <v>0.25</v>
      </c>
      <c r="AE44" s="147">
        <f t="shared" si="40"/>
        <v>-18.37069352867163</v>
      </c>
      <c r="AF44" s="122">
        <f t="shared" si="31"/>
        <v>0.25</v>
      </c>
      <c r="AG44" s="147">
        <f t="shared" si="34"/>
        <v>-18.37069352867163</v>
      </c>
      <c r="AH44" s="123">
        <f t="shared" si="35"/>
        <v>1</v>
      </c>
      <c r="AI44" s="112">
        <f t="shared" si="35"/>
        <v>-73.482774114686521</v>
      </c>
      <c r="AJ44" s="148">
        <f t="shared" si="36"/>
        <v>-36.74138705734326</v>
      </c>
      <c r="AK44" s="147">
        <f t="shared" si="37"/>
        <v>-36.74138705734326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-10.716237891725118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-4.6462042930586478E-5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-2.6790594729312796</v>
      </c>
      <c r="AB45" s="156">
        <f>Poor!AB45</f>
        <v>0.25</v>
      </c>
      <c r="AC45" s="147">
        <f t="shared" si="39"/>
        <v>-2.6790594729312796</v>
      </c>
      <c r="AD45" s="156">
        <f>Poor!AD45</f>
        <v>0.25</v>
      </c>
      <c r="AE45" s="147">
        <f t="shared" si="40"/>
        <v>-2.6790594729312796</v>
      </c>
      <c r="AF45" s="122">
        <f t="shared" si="31"/>
        <v>0.25</v>
      </c>
      <c r="AG45" s="147">
        <f t="shared" si="34"/>
        <v>-2.6790594729312796</v>
      </c>
      <c r="AH45" s="123">
        <f t="shared" si="35"/>
        <v>1</v>
      </c>
      <c r="AI45" s="112">
        <f t="shared" si="35"/>
        <v>-10.716237891725118</v>
      </c>
      <c r="AJ45" s="148">
        <f t="shared" si="36"/>
        <v>-5.3581189458625591</v>
      </c>
      <c r="AK45" s="147">
        <f t="shared" si="37"/>
        <v>-5.3581189458625591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0.4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0.47199999999999998</v>
      </c>
      <c r="I53" s="39">
        <f t="shared" ref="I53:I64" si="42">D53*H53</f>
        <v>67968</v>
      </c>
      <c r="J53" s="38">
        <f t="shared" si="33"/>
        <v>67968.000000000015</v>
      </c>
      <c r="K53" s="40">
        <f t="shared" ref="K53:K64" si="43">(B53/B$65)</f>
        <v>0.62433610093433634</v>
      </c>
      <c r="L53" s="22">
        <f t="shared" ref="L53:L64" si="44">(K53*H53)</f>
        <v>0.29468663964100672</v>
      </c>
      <c r="M53" s="24">
        <f t="shared" ref="M53:M64" si="45">J53/B$65</f>
        <v>0.29468663964100683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111403.6</v>
      </c>
      <c r="J65" s="39">
        <f>SUM(J37:J64)</f>
        <v>110455.03798759636</v>
      </c>
      <c r="K65" s="40">
        <f>SUM(K37:K64)</f>
        <v>1</v>
      </c>
      <c r="L65" s="22">
        <f>SUM(L37:L64)</f>
        <v>0.50181404322660361</v>
      </c>
      <c r="M65" s="24">
        <f>SUM(M37:M64)</f>
        <v>0.47889630378979109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</v>
      </c>
      <c r="AB65" s="137"/>
      <c r="AC65" s="153">
        <f>SUM(AC37:AC64)</f>
        <v>6430.8810203253161</v>
      </c>
      <c r="AD65" s="137"/>
      <c r="AE65" s="153">
        <f>SUM(AE37:AE64)</f>
        <v>7783.8421741597604</v>
      </c>
      <c r="AF65" s="137"/>
      <c r="AG65" s="153">
        <f>SUM(AG37:AG64)</f>
        <v>12849.833772785947</v>
      </c>
      <c r="AH65" s="137"/>
      <c r="AI65" s="153">
        <f>SUM(AI37:AI64)</f>
        <v>33495.437987596342</v>
      </c>
      <c r="AJ65" s="153">
        <f>SUM(AJ37:AJ64)</f>
        <v>12861.762040650632</v>
      </c>
      <c r="AK65" s="153">
        <f>SUM(AK37:AK64)</f>
        <v>20633.67594694571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35454.51917341326</v>
      </c>
      <c r="K73" s="40">
        <f>B73/B$76</f>
        <v>0.33796527130438553</v>
      </c>
      <c r="L73" s="22">
        <f>(L127*G$37*F$9/F$7)/B$130</f>
        <v>0.18110823571358356</v>
      </c>
      <c r="M73" s="24">
        <f>J73/B$76</f>
        <v>0.15371900181410073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85680.075918698756</v>
      </c>
      <c r="J74" s="51">
        <f>J128*I$83</f>
        <v>2894.3413995484984</v>
      </c>
      <c r="K74" s="40">
        <f>B74/B$76</f>
        <v>1.9047430585260341E-2</v>
      </c>
      <c r="L74" s="22">
        <f>(L128*G$37*F$9/F$7)/B$130</f>
        <v>8.0774070940446904E-3</v>
      </c>
      <c r="M74" s="24">
        <f>J74/B$76</f>
        <v>1.2548901556714858E-2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1352.9611538344438</v>
      </c>
      <c r="AF74" s="156"/>
      <c r="AG74" s="147">
        <f>AG30*$I$83/4</f>
        <v>1541.3802457140544</v>
      </c>
      <c r="AH74" s="155"/>
      <c r="AI74" s="147">
        <f>SUM(AA74,AC74,AE74,AG74)</f>
        <v>2894.341399548498</v>
      </c>
      <c r="AJ74" s="148">
        <f>(AA74+AC74)</f>
        <v>0</v>
      </c>
      <c r="AK74" s="147">
        <f>(AE74+AG74)</f>
        <v>2894.341399548498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4877.5725067465755</v>
      </c>
      <c r="AB75" s="158"/>
      <c r="AC75" s="149">
        <f>AA75+AC65-SUM(AC70,AC74)</f>
        <v>4877.5725067465746</v>
      </c>
      <c r="AD75" s="158"/>
      <c r="AE75" s="149">
        <f>AC75+AE65-SUM(AE70,AE74)</f>
        <v>4877.5725067465737</v>
      </c>
      <c r="AF75" s="158"/>
      <c r="AG75" s="149">
        <f>IF(SUM(AG6:AG29)+((AG65-AG70-$J$75)*4/I$83)&lt;1,0,AG65-AG70-$J$75-(1-SUM(AG6:AG29))*I$83/4)</f>
        <v>4877.5725067465755</v>
      </c>
      <c r="AH75" s="134"/>
      <c r="AI75" s="149">
        <f>AI76-SUM(AI70,AI74)</f>
        <v>4877.5725067465683</v>
      </c>
      <c r="AJ75" s="151">
        <f>AJ76-SUM(AJ70,AJ74)</f>
        <v>0</v>
      </c>
      <c r="AK75" s="149">
        <f>AJ75+AK76-SUM(AK70,AK74)</f>
        <v>4877.5725067465755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111403.60000000002</v>
      </c>
      <c r="J76" s="51">
        <f>J130*I$83</f>
        <v>110455.03798759637</v>
      </c>
      <c r="K76" s="40">
        <f>SUM(K70:K75)</f>
        <v>0.8295764775593083</v>
      </c>
      <c r="L76" s="22">
        <f>SUM(L70:L75)</f>
        <v>0.30071428674658757</v>
      </c>
      <c r="M76" s="24">
        <f>SUM(M70:M75)</f>
        <v>0.27779654730977488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</v>
      </c>
      <c r="AB76" s="137"/>
      <c r="AC76" s="153">
        <f>AC65</f>
        <v>6430.8810203253161</v>
      </c>
      <c r="AD76" s="137"/>
      <c r="AE76" s="153">
        <f>AE65</f>
        <v>7783.8421741597604</v>
      </c>
      <c r="AF76" s="137"/>
      <c r="AG76" s="153">
        <f>AG65</f>
        <v>12849.833772785947</v>
      </c>
      <c r="AH76" s="137"/>
      <c r="AI76" s="153">
        <f>SUM(AA76,AC76,AE76,AG76)</f>
        <v>33495.437987596335</v>
      </c>
      <c r="AJ76" s="154">
        <f>SUM(AA76,AC76)</f>
        <v>12861.762040650632</v>
      </c>
      <c r="AK76" s="154">
        <f>SUM(AE76,AG76)</f>
        <v>20633.675946945707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4877.5725067465755</v>
      </c>
      <c r="AB78" s="112"/>
      <c r="AC78" s="112">
        <f>IF(AA75&lt;0,0,AA75)</f>
        <v>4877.5725067465755</v>
      </c>
      <c r="AD78" s="112"/>
      <c r="AE78" s="112">
        <f>AC75</f>
        <v>4877.5725067465746</v>
      </c>
      <c r="AF78" s="112"/>
      <c r="AG78" s="112">
        <f>AE75</f>
        <v>4877.5725067465737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4877.5725067465755</v>
      </c>
      <c r="AB79" s="112"/>
      <c r="AC79" s="112">
        <f>AA79-AA74+AC65-AC70</f>
        <v>4877.5725067465746</v>
      </c>
      <c r="AD79" s="112"/>
      <c r="AE79" s="112">
        <f>AC79-AC74+AE65-AE70</f>
        <v>6230.533660581018</v>
      </c>
      <c r="AF79" s="112"/>
      <c r="AG79" s="112">
        <f>AE79-AE74+AG65-AG70</f>
        <v>11296.525259207207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7.0367918777193769E-2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7.0367918777193769E-2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-2.4600326180705234E-2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-2.4600326180705234E-2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-8.9381185123229012E-3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-8.9381185123229012E-3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-1.312017396304279E-2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-1.312017396304279E-2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-2.1866956605071305E-2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-2.1866956605071305E-2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-6.5600869815213951E-3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-6.5600869815213951E-3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-9.5667935147187005E-4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-9.5667935147187005E-4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0.28606060606060607</v>
      </c>
      <c r="I107" s="22">
        <f t="shared" si="59"/>
        <v>6.0677621025052169</v>
      </c>
      <c r="J107" s="24">
        <f t="shared" si="60"/>
        <v>6.0677621025052169</v>
      </c>
      <c r="K107" s="22">
        <f t="shared" si="61"/>
        <v>21.21145650240171</v>
      </c>
      <c r="L107" s="22">
        <f t="shared" si="62"/>
        <v>6.0677621025052169</v>
      </c>
      <c r="M107" s="226">
        <f t="shared" si="63"/>
        <v>6.0677621025052169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9.9454234663760914</v>
      </c>
      <c r="J119" s="24">
        <f>SUM(J91:J118)</f>
        <v>9.8607417245161137</v>
      </c>
      <c r="K119" s="22">
        <f>SUM(K91:K118)</f>
        <v>33.974419340253071</v>
      </c>
      <c r="L119" s="22">
        <f>SUM(L91:L118)</f>
        <v>10.332630748732434</v>
      </c>
      <c r="M119" s="57">
        <f t="shared" si="50"/>
        <v>9.8607417245161137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3.1651598958772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3.7291194824889002</v>
      </c>
      <c r="M127" s="57">
        <f t="shared" si="90"/>
        <v>3.1651598958772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7.6489865465991356</v>
      </c>
      <c r="J128" s="227">
        <f>(J30)</f>
        <v>0.25838887499841523</v>
      </c>
      <c r="K128" s="22">
        <f>(B128)</f>
        <v>0.64712539405799685</v>
      </c>
      <c r="L128" s="22">
        <f>IF(L124=L119,0,(L119-L124)/(B119-B124)*K128)</f>
        <v>0.16631831260303595</v>
      </c>
      <c r="M128" s="57">
        <f t="shared" si="90"/>
        <v>0.25838887499841523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9.9454234663760914</v>
      </c>
      <c r="J130" s="227">
        <f>(J119)</f>
        <v>9.8607417245161137</v>
      </c>
      <c r="K130" s="22">
        <f>(B130)</f>
        <v>33.974419340253071</v>
      </c>
      <c r="L130" s="22">
        <f>(L119)</f>
        <v>10.332630748732434</v>
      </c>
      <c r="M130" s="57">
        <f t="shared" si="90"/>
        <v>9.8607417245161137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2251.3987882272959</v>
      </c>
      <c r="H72" s="109">
        <f>Middle!T7</f>
        <v>3746.460878482379</v>
      </c>
      <c r="I72" s="109">
        <f>Rich!T7</f>
        <v>6285.7826129903788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759.00978070074382</v>
      </c>
      <c r="H73" s="109">
        <f>Middle!T8</f>
        <v>223.99999999999994</v>
      </c>
      <c r="I73" s="109">
        <f>Rich!T8</f>
        <v>-717.47179803360893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6519.5</v>
      </c>
      <c r="I76" s="109">
        <f>Rich!T11</f>
        <v>16341.972355286567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3656.8713708290411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36816</v>
      </c>
      <c r="I79" s="109">
        <f>Rich!T14</f>
        <v>100333.7142857143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5493.8534626237943</v>
      </c>
      <c r="H81" s="109">
        <f>Middle!T16</f>
        <v>1152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33357.202987690478</v>
      </c>
      <c r="G88" s="109">
        <f>Poor!T23</f>
        <v>59663.225886820772</v>
      </c>
      <c r="H88" s="109">
        <f>Middle!T23</f>
        <v>57705.641573768131</v>
      </c>
      <c r="I88" s="109">
        <f>Rich!T23</f>
        <v>133078.64471883434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5967.0833043623206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26237.909971028988</v>
      </c>
      <c r="G99" s="238">
        <f t="shared" si="0"/>
        <v>0</v>
      </c>
      <c r="H99" s="238">
        <f t="shared" si="0"/>
        <v>1889.4713849513355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58975.829971028994</v>
      </c>
      <c r="G100" s="238">
        <f t="shared" si="0"/>
        <v>32669.8070718987</v>
      </c>
      <c r="H100" s="238">
        <f t="shared" si="0"/>
        <v>34627.391384951341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2016-06-02T07:26:34Z</dcterms:modified>
  <cp:category/>
</cp:coreProperties>
</file>