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7760" windowHeight="167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0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0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0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<sst xmlns="http://schemas.openxmlformats.org/spreadsheetml/2006/main" count="790" uniqueCount="145">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</sst>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0.0181560269271455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0.0382216872288659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0.210812802951809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0.298360378237598</c:v>
                </c:pt>
                <c:pt idx="2" formatCode="0.0%">
                  <c:v>0.492427673398762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86968"/>
        <c:axId val="-2030013288"/>
      </c:barChart>
      <c:catAx>
        <c:axId val="-20299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8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0.0810553229599931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0.00927129142435959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0.00214486733765498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0.0010437310645523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0.000974148993582147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0.00130466383069038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0.00304421560494421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0.000434887943563458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0.000487074496791073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0.34666647465023</c:v>
                </c:pt>
                <c:pt idx="2">
                  <c:v>0.34666647465023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94984"/>
        <c:axId val="-2028574376"/>
      </c:barChart>
      <c:catAx>
        <c:axId val="-20307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0.062276125802966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0.0156887541255246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0.00807672797168776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0.00395594839429604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0.00428561076048738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0.00461527312667872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0.000659324732382674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0.269800715380685</c:v>
                </c:pt>
                <c:pt idx="2">
                  <c:v>0.269800715380685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77736"/>
        <c:axId val="-2027780872"/>
      </c:barChart>
      <c:catAx>
        <c:axId val="-20277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7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0.0385378967533576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0.152444330474629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923080"/>
        <c:axId val="-2027926216"/>
      </c:barChart>
      <c:catAx>
        <c:axId val="-2027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1689.58326157995</c:v>
                </c:pt>
                <c:pt idx="6">
                  <c:v>1664.444167005405</c:v>
                </c:pt>
                <c:pt idx="7">
                  <c:v>2670.27205937607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278.2826278989033</c:v>
                </c:pt>
                <c:pt idx="6">
                  <c:v>1938.226945482044</c:v>
                </c:pt>
                <c:pt idx="7">
                  <c:v>9474.30982948364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14534.57054383515</c:v>
                </c:pt>
                <c:pt idx="7">
                  <c:v>16033.02921099257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1633.13761671652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55021.7142857143</c:v>
                </c:pt>
                <c:pt idx="7">
                  <c:v>55381.33333333334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5977.559975525176</c:v>
                </c:pt>
                <c:pt idx="5">
                  <c:v>2209.63077848394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5848"/>
        <c:axId val="-2036132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35848"/>
        <c:axId val="-2036132520"/>
      </c:lineChart>
      <c:catAx>
        <c:axId val="-20361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96648"/>
        <c:axId val="-2024293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96648"/>
        <c:axId val="-2024293416"/>
      </c:lineChart>
      <c:catAx>
        <c:axId val="-20242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00040"/>
        <c:axId val="-2024196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00040"/>
        <c:axId val="-2024196760"/>
      </c:lineChart>
      <c:catAx>
        <c:axId val="-202420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1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9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20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0.117917364184772</c:v>
                </c:pt>
                <c:pt idx="2">
                  <c:v>0.039878300850352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-1.80368734821783E-16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0.121180345637836</c:v>
                </c:pt>
                <c:pt idx="2">
                  <c:v>0.200001608848269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-0.274088593005842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125512"/>
        <c:axId val="-2024122136"/>
      </c:barChart>
      <c:catAx>
        <c:axId val="-202412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2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0.0151618256260187</c:v>
                </c:pt>
                <c:pt idx="2">
                  <c:v>0.0491197345113381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0.0523953529965201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0.00517381673863692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0.0151618256260187</c:v>
                </c:pt>
                <c:pt idx="2">
                  <c:v>0.0491197345113381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3560"/>
        <c:axId val="-2024060152"/>
      </c:barChart>
      <c:catAx>
        <c:axId val="-20240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0.0139324424193002</c:v>
                </c:pt>
                <c:pt idx="2">
                  <c:v>0.0385807968129047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0.0329299891092207</c:v>
                </c:pt>
                <c:pt idx="2">
                  <c:v>0.00736565479363133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0.0139324424193002</c:v>
                </c:pt>
                <c:pt idx="2">
                  <c:v>0.0385807968129047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08280"/>
        <c:axId val="-2024004776"/>
      </c:barChart>
      <c:catAx>
        <c:axId val="-20240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0.0953099268702151</c:v>
                </c:pt>
                <c:pt idx="2">
                  <c:v>0.240940412299327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-0.212633993737144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47160"/>
        <c:axId val="-2023943784"/>
      </c:barChart>
      <c:catAx>
        <c:axId val="-202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0.051191165766612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0.012636728847968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0.0031835641190491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0.00159453198244761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0.0127871466430077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0.00147639437861993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0.000963347223794757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0.0317208367098689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0.00323577085762699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0.275333799341076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0.140808101764452</c:v>
                </c:pt>
                <c:pt idx="2" formatCode="0.0%">
                  <c:v>0.456175710387162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853272"/>
        <c:axId val="-2029849976"/>
      </c:barChart>
      <c:catAx>
        <c:axId val="-20298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273832"/>
        <c:axId val="-202327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73832"/>
        <c:axId val="-202327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3832"/>
        <c:axId val="-2023270408"/>
      </c:scatterChart>
      <c:catAx>
        <c:axId val="-20232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27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66808"/>
        <c:axId val="-20231634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6808"/>
        <c:axId val="-2023163432"/>
      </c:lineChart>
      <c:catAx>
        <c:axId val="-202316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3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63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6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3784"/>
        <c:axId val="-2022980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76824"/>
        <c:axId val="-2022973928"/>
      </c:scatterChart>
      <c:valAx>
        <c:axId val="-2022983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440"/>
        <c:crosses val="autoZero"/>
        <c:crossBetween val="midCat"/>
      </c:valAx>
      <c:valAx>
        <c:axId val="-202298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3784"/>
        <c:crosses val="autoZero"/>
        <c:crossBetween val="midCat"/>
      </c:valAx>
      <c:valAx>
        <c:axId val="-202297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2973928"/>
        <c:crosses val="autoZero"/>
        <c:crossBetween val="midCat"/>
      </c:valAx>
      <c:valAx>
        <c:axId val="-2022973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7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93384"/>
        <c:axId val="-2022887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893384"/>
        <c:axId val="-2022887640"/>
      </c:lineChart>
      <c:catAx>
        <c:axId val="-20228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8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93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0.0808226756711555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0.0144327942012858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0.0255705061560485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0.00187173567658642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0.00260668635580155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0.0410439747778057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0.0038957491489229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0.223699136118144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0.167340645635822</c:v>
                </c:pt>
                <c:pt idx="2" formatCode="0.0%">
                  <c:v>0.46338863305636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721304"/>
        <c:axId val="-2029718008"/>
      </c:barChart>
      <c:catAx>
        <c:axId val="-20297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0.00654302793268661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0.000596263408627428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0.218677789020498</c:v>
                </c:pt>
                <c:pt idx="2" formatCode="0.0%">
                  <c:v>0.552810377444216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67496"/>
        <c:axId val="-2026570840"/>
      </c:barChart>
      <c:catAx>
        <c:axId val="-20265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7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7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0.0181560269271455</c:v>
                </c:pt>
                <c:pt idx="1">
                  <c:v>0.0181560269271455</c:v>
                </c:pt>
                <c:pt idx="2">
                  <c:v>0.0181560269271455</c:v>
                </c:pt>
                <c:pt idx="3">
                  <c:v>0.0181560269271455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0.210812802951809</c:v>
                </c:pt>
                <c:pt idx="1">
                  <c:v>0.210812802951809</c:v>
                </c:pt>
                <c:pt idx="2">
                  <c:v>0.210812802951809</c:v>
                </c:pt>
                <c:pt idx="3">
                  <c:v>0.210812802951809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0.269256402577592</c:v>
                </c:pt>
                <c:pt idx="1">
                  <c:v>0.566761471089505</c:v>
                </c:pt>
                <c:pt idx="2">
                  <c:v>0.575137771775433</c:v>
                </c:pt>
                <c:pt idx="3">
                  <c:v>0.558555048152519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661208"/>
        <c:axId val="-2026664600"/>
      </c:barChart>
      <c:catAx>
        <c:axId val="-202666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6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0.376373797161264</c:v>
                </c:pt>
                <c:pt idx="1">
                  <c:v>0.423663027731971</c:v>
                </c:pt>
                <c:pt idx="2">
                  <c:v>0.368454718874879</c:v>
                </c:pt>
                <c:pt idx="3">
                  <c:v>0.368454718874879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8088"/>
        <c:axId val="-2026771480"/>
      </c:barChart>
      <c:catAx>
        <c:axId val="-20267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7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0.204764663066448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0.0505469153918719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0.0127342564761964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0.00637812792979044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0.0127871466430077</c:v>
                </c:pt>
                <c:pt idx="1">
                  <c:v>0.0127871466430077</c:v>
                </c:pt>
                <c:pt idx="2">
                  <c:v>0.0127871466430077</c:v>
                </c:pt>
                <c:pt idx="3">
                  <c:v>0.0127871466430077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0.0059055775144797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0.00113328167407215</c:v>
                </c:pt>
                <c:pt idx="1">
                  <c:v>0.000680123139999098</c:v>
                </c:pt>
                <c:pt idx="2">
                  <c:v>0.000906702407035625</c:v>
                </c:pt>
                <c:pt idx="3">
                  <c:v>0.00113328167407215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0.00647154171525399</c:v>
                </c:pt>
                <c:pt idx="3">
                  <c:v>0.00647154171525399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0.275333799341076</c:v>
                </c:pt>
                <c:pt idx="1">
                  <c:v>0.275333799341076</c:v>
                </c:pt>
                <c:pt idx="2">
                  <c:v>0.275333799341076</c:v>
                </c:pt>
                <c:pt idx="3">
                  <c:v>0.275333799341076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0.243776804643715</c:v>
                </c:pt>
                <c:pt idx="1">
                  <c:v>0.559551520434545</c:v>
                </c:pt>
                <c:pt idx="2">
                  <c:v>0.548010560751196</c:v>
                </c:pt>
                <c:pt idx="3">
                  <c:v>0.0515457981532064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78552"/>
        <c:axId val="-2026881944"/>
      </c:barChart>
      <c:catAx>
        <c:axId val="-202687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0.323290702684622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0.0577311768051433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0.102282024624194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0.00748694270634568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0.00306650582896494</c:v>
                </c:pt>
                <c:pt idx="1">
                  <c:v>0.0018403205671959</c:v>
                </c:pt>
                <c:pt idx="2">
                  <c:v>0.00245341319808042</c:v>
                </c:pt>
                <c:pt idx="3">
                  <c:v>0.00306650582896495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0.0077914982978458</c:v>
                </c:pt>
                <c:pt idx="3">
                  <c:v>0.0077914982978458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0.223699136118144</c:v>
                </c:pt>
                <c:pt idx="1">
                  <c:v>0.223699136118144</c:v>
                </c:pt>
                <c:pt idx="2">
                  <c:v>0.223699136118144</c:v>
                </c:pt>
                <c:pt idx="3">
                  <c:v>0.223699136118144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0.13832402098313</c:v>
                </c:pt>
                <c:pt idx="1">
                  <c:v>0.540991191870122</c:v>
                </c:pt>
                <c:pt idx="2">
                  <c:v>0.624010173959109</c:v>
                </c:pt>
                <c:pt idx="3">
                  <c:v>0.550229145413079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404152"/>
        <c:axId val="-2027400840"/>
      </c:barChart>
      <c:catAx>
        <c:axId val="-202740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4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0.00511627520079147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0.0525127329836004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71976"/>
        <c:axId val="-2027168984"/>
      </c:barChart>
      <c:catAx>
        <c:axId val="-20271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7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1633.1376167165199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5977.559975525176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6.5430279326866075E-3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6.5430279326866075E-3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5.9626340862742853E-4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5.9626340862742853E-4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36477.916319023636</v>
      </c>
      <c r="T23" s="179">
        <f>SUM(T7:T22)</f>
        <v>37591.235453492947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1.1092810229673662</v>
      </c>
      <c r="J30" s="230">
        <f>IF(I$32&lt;=1,I30,1-SUM(J6:J29))</f>
        <v>0.55281037744421579</v>
      </c>
      <c r="K30" s="22">
        <f t="shared" si="4"/>
        <v>0.60449541284468955</v>
      </c>
      <c r="L30" s="22">
        <f>IF(L124=L119,0,IF(K30="",0,(L119-L124)/(B119-B124)*K30))</f>
        <v>0.21867778902049839</v>
      </c>
      <c r="M30" s="175">
        <f t="shared" si="6"/>
        <v>0.55281037744421579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2.2112415097768632</v>
      </c>
      <c r="Z30" s="122">
        <f>IF($Y30=0,0,AA30/($Y$30))</f>
        <v>0.17020926728136707</v>
      </c>
      <c r="AA30" s="187">
        <f>IF(AA79*4/$I$83+SUM(AA6:AA29)&lt;1,AA79*4/$I$83,1-SUM(AA6:AA29))</f>
        <v>0.37637379716126373</v>
      </c>
      <c r="AB30" s="122">
        <f>IF($Y30=0,0,AC30/($Y$30))</f>
        <v>0.19159509527058521</v>
      </c>
      <c r="AC30" s="187">
        <f>IF(AC79*4/$I$83+SUM(AC6:AC29)&lt;1,AC79*4/$I$83,1-SUM(AC6:AC29))</f>
        <v>0.42366302773197079</v>
      </c>
      <c r="AD30" s="122">
        <f>IF($Y30=0,0,AE30/($Y$30))</f>
        <v>0.16662798579249721</v>
      </c>
      <c r="AE30" s="187">
        <f>IF(AE79*4/$I$83+SUM(AE6:AE29)&lt;1,AE79*4/$I$83,1-SUM(AE6:AE29))</f>
        <v>0.36845471887487924</v>
      </c>
      <c r="AF30" s="122">
        <f>IF($Y30=0,0,AG30/($Y$30))</f>
        <v>0.16662798579249721</v>
      </c>
      <c r="AG30" s="187">
        <f>IF(AG79*4/$I$83+SUM(AG6:AG29)&lt;1,AG79*4/$I$83,1-SUM(AG6:AG29))</f>
        <v>0.36845471887487924</v>
      </c>
      <c r="AH30" s="123">
        <f t="shared" si="12"/>
        <v>0.69506033413694679</v>
      </c>
      <c r="AI30" s="183">
        <f t="shared" si="13"/>
        <v>0.38423656566074826</v>
      </c>
      <c r="AJ30" s="120">
        <f t="shared" si="14"/>
        <v>0.40001841244661729</v>
      </c>
      <c r="AK30" s="119">
        <f t="shared" si="15"/>
        <v>0.36845471887487924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0.33426994532773657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9451.0017917509249</v>
      </c>
      <c r="T31" s="233">
        <f>IF(T25&gt;T$23,T25-T$23,0)</f>
        <v>8337.6826572816135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0.19128642234988824</v>
      </c>
      <c r="AD31" s="134"/>
      <c r="AE31" s="133">
        <f>1-AE32+IF($Y32&lt;0,$Y32/4,0)</f>
        <v>0.25945256722334697</v>
      </c>
      <c r="AF31" s="134"/>
      <c r="AG31" s="133">
        <f>1-AG32+IF($Y32&lt;0,$Y32/4,0)</f>
        <v>0.2543669422285062</v>
      </c>
      <c r="AH31" s="123"/>
      <c r="AI31" s="182">
        <f>SUM(AA31,AC31,AE31,AG31)/4</f>
        <v>0.17627648295043535</v>
      </c>
      <c r="AJ31" s="135">
        <f t="shared" si="14"/>
        <v>9.5643211174944121E-2</v>
      </c>
      <c r="AK31" s="136">
        <f t="shared" si="15"/>
        <v>0.25690975472592659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1.5574708890955529</v>
      </c>
      <c r="J32" s="17"/>
      <c r="L32" s="22">
        <f>SUM(L6:L30)</f>
        <v>0.66573005467226343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42188.921791750916</v>
      </c>
      <c r="T32" s="233">
        <f t="shared" si="24"/>
        <v>41075.602657281604</v>
      </c>
      <c r="V32" s="56"/>
      <c r="W32" s="110"/>
      <c r="X32" s="118"/>
      <c r="Y32" s="115">
        <f>SUM(Y6:Y31)</f>
        <v>3.9691893153321289</v>
      </c>
      <c r="Z32" s="137"/>
      <c r="AA32" s="138">
        <f>SUM(AA6:AA30)</f>
        <v>1</v>
      </c>
      <c r="AB32" s="137"/>
      <c r="AC32" s="139">
        <f>SUM(AC6:AC30)</f>
        <v>0.80871357765011176</v>
      </c>
      <c r="AD32" s="137"/>
      <c r="AE32" s="139">
        <f>SUM(AE6:AE30)</f>
        <v>0.74054743277665303</v>
      </c>
      <c r="AF32" s="137"/>
      <c r="AG32" s="139">
        <f>SUM(AG6:AG30)</f>
        <v>0.7456330577714938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0.44829685269221792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7295.4723251214127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1322.2352376077013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3.8537896753357656E-2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5230.3649785845291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0.15244433047462924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1307.5912446461323</v>
      </c>
      <c r="AB58" s="156">
        <f>Poor!AB58</f>
        <v>0.25</v>
      </c>
      <c r="AC58" s="147">
        <f t="shared" si="41"/>
        <v>1307.5912446461323</v>
      </c>
      <c r="AD58" s="156">
        <f>Poor!AD58</f>
        <v>0.25</v>
      </c>
      <c r="AE58" s="147">
        <f t="shared" si="42"/>
        <v>1307.5912446461323</v>
      </c>
      <c r="AF58" s="122">
        <f t="shared" si="29"/>
        <v>0.25</v>
      </c>
      <c r="AG58" s="147">
        <f t="shared" si="36"/>
        <v>1307.5912446461323</v>
      </c>
      <c r="AH58" s="123">
        <f t="shared" si="37"/>
        <v>1</v>
      </c>
      <c r="AI58" s="112">
        <f t="shared" si="37"/>
        <v>5230.3649785845291</v>
      </c>
      <c r="AJ58" s="148">
        <f t="shared" si="38"/>
        <v>2615.1824892922646</v>
      </c>
      <c r="AK58" s="147">
        <f t="shared" si="39"/>
        <v>2615.1824892922646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30748.2</v>
      </c>
      <c r="J65" s="39">
        <f>SUM(J37:J64)</f>
        <v>29564.300216192234</v>
      </c>
      <c r="K65" s="40">
        <f>SUM(K37:K64)</f>
        <v>1</v>
      </c>
      <c r="L65" s="22">
        <f>SUM(L37:L64)</f>
        <v>0.83364325269600703</v>
      </c>
      <c r="M65" s="24">
        <f>SUM(M37:M64)</f>
        <v>0.86168173174562035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5153.4912446461331</v>
      </c>
      <c r="AB65" s="137"/>
      <c r="AC65" s="153">
        <f>SUM(AC37:AC64)</f>
        <v>4917.4912446461331</v>
      </c>
      <c r="AD65" s="137"/>
      <c r="AE65" s="153">
        <f>SUM(AE37:AE64)</f>
        <v>4917.4912446461331</v>
      </c>
      <c r="AF65" s="137"/>
      <c r="AG65" s="153">
        <f>SUM(AG37:AG64)</f>
        <v>4917.4912446461331</v>
      </c>
      <c r="AH65" s="137"/>
      <c r="AI65" s="153">
        <f>SUM(AI37:AI64)</f>
        <v>19905.964978584532</v>
      </c>
      <c r="AJ65" s="153">
        <f>SUM(AJ37:AJ64)</f>
        <v>10070.982489292266</v>
      </c>
      <c r="AK65" s="153">
        <f>SUM(AK37:AK64)</f>
        <v>9834.9824892922661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16588.066338009612</v>
      </c>
      <c r="J74" s="51">
        <f t="shared" si="44"/>
        <v>8266.6655459899248</v>
      </c>
      <c r="K74" s="40">
        <f>B74/B$76</f>
        <v>0.15967705991340145</v>
      </c>
      <c r="L74" s="22">
        <f t="shared" si="45"/>
        <v>9.5309926870215111E-2</v>
      </c>
      <c r="M74" s="24">
        <f>J74/B$76</f>
        <v>0.24094041229932744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1407.0630854430674</v>
      </c>
      <c r="AB74" s="156"/>
      <c r="AC74" s="147">
        <f>AC30*$I$83/4</f>
        <v>1583.8525728540039</v>
      </c>
      <c r="AD74" s="156"/>
      <c r="AE74" s="147">
        <f>AE30*$I$83/4</f>
        <v>1377.4578291485354</v>
      </c>
      <c r="AF74" s="156"/>
      <c r="AG74" s="147">
        <f>AG30*$I$83/4</f>
        <v>1377.4578291485354</v>
      </c>
      <c r="AH74" s="155"/>
      <c r="AI74" s="147">
        <f>SUM(AA74,AC74,AE74,AG74)</f>
        <v>5745.8313165941418</v>
      </c>
      <c r="AJ74" s="148">
        <f>(AA74+AC74)</f>
        <v>2990.9156582970713</v>
      </c>
      <c r="AK74" s="147">
        <f>(AE74+AG74)</f>
        <v>2754.9156582970709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206.39474370546804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30748.200000000004</v>
      </c>
      <c r="J76" s="51">
        <f t="shared" si="44"/>
        <v>29564.300216192234</v>
      </c>
      <c r="K76" s="40">
        <f>SUM(K70:K75)</f>
        <v>1.5427057547682346</v>
      </c>
      <c r="L76" s="22">
        <f>SUM(L70:L75)</f>
        <v>0.92868524005365205</v>
      </c>
      <c r="M76" s="24">
        <f>SUM(M70:M75)</f>
        <v>1.0743157254827644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5153.4912446461331</v>
      </c>
      <c r="AB76" s="137"/>
      <c r="AC76" s="153">
        <f>AC65</f>
        <v>4917.4912446461331</v>
      </c>
      <c r="AD76" s="137"/>
      <c r="AE76" s="153">
        <f>AE65</f>
        <v>4917.4912446461331</v>
      </c>
      <c r="AF76" s="137"/>
      <c r="AG76" s="153">
        <f>AG65</f>
        <v>4917.4912446461331</v>
      </c>
      <c r="AH76" s="137"/>
      <c r="AI76" s="153">
        <f>SUM(AA76,AC76,AE76,AG76)</f>
        <v>19905.964978584532</v>
      </c>
      <c r="AJ76" s="154">
        <f>SUM(AA76,AC76)</f>
        <v>10070.982489292266</v>
      </c>
      <c r="AK76" s="154">
        <f>SUM(AE76,AG76)</f>
        <v>9834.9824892922661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7295.4723251214127</v>
      </c>
      <c r="K77" s="40"/>
      <c r="L77" s="22">
        <f>-(L131*G$37*F$9/F$7)/B$130</f>
        <v>-0.4206637520645099</v>
      </c>
      <c r="M77" s="24">
        <f>-J77/B$76</f>
        <v>-0.21263399373714406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715.11902705510795</v>
      </c>
      <c r="AD77" s="112"/>
      <c r="AE77" s="111">
        <f>AE31*$I$83/4</f>
        <v>969.95628419634284</v>
      </c>
      <c r="AF77" s="112"/>
      <c r="AG77" s="111">
        <f>AG31*$I$83/4</f>
        <v>950.94381507490448</v>
      </c>
      <c r="AH77" s="110"/>
      <c r="AI77" s="154">
        <f>SUM(AA77,AC77,AE77,AG77)</f>
        <v>2636.019126326355</v>
      </c>
      <c r="AJ77" s="153">
        <f>SUM(AA77,AC77)</f>
        <v>715.11902705510795</v>
      </c>
      <c r="AK77" s="160">
        <f>SUM(AE77,AG77)</f>
        <v>1920.9000992712472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206.39474370546804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1613.4578291485354</v>
      </c>
      <c r="AB79" s="112"/>
      <c r="AC79" s="112">
        <f>AA79-AA74+AC65-AC70</f>
        <v>1583.8525728540039</v>
      </c>
      <c r="AD79" s="112"/>
      <c r="AE79" s="112">
        <f>AC79-AC74+AE65-AE70</f>
        <v>1377.4578291485354</v>
      </c>
      <c r="AF79" s="112"/>
      <c r="AG79" s="112">
        <f>AE79-AE74+AG65-AG70</f>
        <v>1377.4578291485354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8.8420821757634771E-2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8.8420821757634771E-2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0.34976618104320306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0.34976618104320306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2.0562007683951551</v>
      </c>
      <c r="J119" s="24">
        <f>SUM(J91:J118)</f>
        <v>1.9770307472177076</v>
      </c>
      <c r="K119" s="22">
        <f>SUM(K91:K118)</f>
        <v>3.7857373699924648</v>
      </c>
      <c r="L119" s="22">
        <f>SUM(L91:L118)</f>
        <v>1.9126996454383911</v>
      </c>
      <c r="M119" s="57">
        <f t="shared" si="49"/>
        <v>1.9770307472177076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1.1092810229673662</v>
      </c>
      <c r="J128" s="227">
        <f>(J30)</f>
        <v>0.55281037744421579</v>
      </c>
      <c r="K128" s="29">
        <f>(B128)</f>
        <v>0.60449541284468955</v>
      </c>
      <c r="L128" s="29">
        <f>IF(L124=L119,0,(L119-L124)/(B119-B124)*K128)</f>
        <v>0.21867778902049839</v>
      </c>
      <c r="M128" s="239">
        <f t="shared" si="66"/>
        <v>0.55281037744421579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2.0562007683951551</v>
      </c>
      <c r="J130" s="227">
        <f>(J119)</f>
        <v>1.9770307472177076</v>
      </c>
      <c r="K130" s="29">
        <f>(B130)</f>
        <v>3.7857373699924648</v>
      </c>
      <c r="L130" s="29">
        <f>(L119)</f>
        <v>1.9126996454383911</v>
      </c>
      <c r="M130" s="239">
        <f t="shared" si="66"/>
        <v>1.9770307472177076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0.48786451892209093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1689.5832615799497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278.28262789890334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1.8156026927145553E-2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1.8156026927145553E-2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7.2624107708582214E-2</v>
      </c>
      <c r="Z15" s="116">
        <v>0.25</v>
      </c>
      <c r="AA15" s="121">
        <f t="shared" si="16"/>
        <v>1.8156026927145553E-2</v>
      </c>
      <c r="AB15" s="116">
        <v>0.25</v>
      </c>
      <c r="AC15" s="121">
        <f t="shared" si="7"/>
        <v>1.8156026927145553E-2</v>
      </c>
      <c r="AD15" s="116">
        <v>0.25</v>
      </c>
      <c r="AE15" s="121">
        <f t="shared" si="8"/>
        <v>1.8156026927145553E-2</v>
      </c>
      <c r="AF15" s="122">
        <f t="shared" si="10"/>
        <v>0.25</v>
      </c>
      <c r="AG15" s="121">
        <f t="shared" si="11"/>
        <v>1.8156026927145553E-2</v>
      </c>
      <c r="AH15" s="123">
        <f t="shared" si="12"/>
        <v>1</v>
      </c>
      <c r="AI15" s="183">
        <f t="shared" si="13"/>
        <v>1.8156026927145553E-2</v>
      </c>
      <c r="AJ15" s="120">
        <f t="shared" si="14"/>
        <v>1.8156026927145553E-2</v>
      </c>
      <c r="AK15" s="119">
        <f t="shared" si="15"/>
        <v>1.8156026927145553E-2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2209.6307784839396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47007.981910916191</v>
      </c>
      <c r="T23" s="179">
        <f>SUM(T7:T22)</f>
        <v>47189.956381273347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3.8221687228865937E-2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3.8221687228865937E-2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0.15288674891546375</v>
      </c>
      <c r="Z27" s="116">
        <v>0.25</v>
      </c>
      <c r="AA27" s="121">
        <f t="shared" si="16"/>
        <v>3.8221687228865937E-2</v>
      </c>
      <c r="AB27" s="116">
        <v>0.25</v>
      </c>
      <c r="AC27" s="121">
        <f t="shared" si="7"/>
        <v>3.8221687228865937E-2</v>
      </c>
      <c r="AD27" s="116">
        <v>0.25</v>
      </c>
      <c r="AE27" s="121">
        <f t="shared" si="8"/>
        <v>3.8221687228865937E-2</v>
      </c>
      <c r="AF27" s="122">
        <f t="shared" si="10"/>
        <v>0.25</v>
      </c>
      <c r="AG27" s="121">
        <f t="shared" si="11"/>
        <v>3.8221687228865937E-2</v>
      </c>
      <c r="AH27" s="123">
        <f t="shared" si="12"/>
        <v>1</v>
      </c>
      <c r="AI27" s="183">
        <f t="shared" si="13"/>
        <v>3.8221687228865937E-2</v>
      </c>
      <c r="AJ27" s="120">
        <f t="shared" si="14"/>
        <v>3.8221687228865937E-2</v>
      </c>
      <c r="AK27" s="119">
        <f t="shared" si="15"/>
        <v>3.8221687228865937E-2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0.21081280295180854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0.21081280295180854</v>
      </c>
      <c r="N29" s="228"/>
      <c r="P29" s="22"/>
      <c r="V29" s="56"/>
      <c r="W29" s="110"/>
      <c r="X29" s="118"/>
      <c r="Y29" s="183">
        <f t="shared" si="9"/>
        <v>0.84325121180723417</v>
      </c>
      <c r="Z29" s="116">
        <v>0.25</v>
      </c>
      <c r="AA29" s="121">
        <f t="shared" si="16"/>
        <v>0.21081280295180854</v>
      </c>
      <c r="AB29" s="116">
        <v>0.25</v>
      </c>
      <c r="AC29" s="121">
        <f t="shared" si="7"/>
        <v>0.21081280295180854</v>
      </c>
      <c r="AD29" s="116">
        <v>0.25</v>
      </c>
      <c r="AE29" s="121">
        <f t="shared" si="8"/>
        <v>0.21081280295180854</v>
      </c>
      <c r="AF29" s="122">
        <f t="shared" si="10"/>
        <v>0.25</v>
      </c>
      <c r="AG29" s="121">
        <f t="shared" si="11"/>
        <v>0.21081280295180854</v>
      </c>
      <c r="AH29" s="123">
        <f t="shared" si="12"/>
        <v>1</v>
      </c>
      <c r="AI29" s="183">
        <f t="shared" si="13"/>
        <v>0.21081280295180854</v>
      </c>
      <c r="AJ29" s="120">
        <f t="shared" si="14"/>
        <v>0.21081280295180854</v>
      </c>
      <c r="AK29" s="119">
        <f t="shared" si="15"/>
        <v>0.21081280295180854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1.5621843326678992</v>
      </c>
      <c r="J30" s="230">
        <f>IF(I$32&lt;=1,I30,1-SUM(J6:J29))</f>
        <v>0.49242767339876248</v>
      </c>
      <c r="K30" s="22">
        <f t="shared" si="4"/>
        <v>0.56576416102117066</v>
      </c>
      <c r="L30" s="22">
        <f>IF(L124=L119,0,IF(K30="",0,(L119-L124)/(B119-B124)*K30))</f>
        <v>0.29836037823759787</v>
      </c>
      <c r="M30" s="175">
        <f t="shared" si="6"/>
        <v>0.49242767339876248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1.9697106935950499</v>
      </c>
      <c r="Z30" s="122">
        <f>IF($Y30=0,0,AA30/($Y$30))</f>
        <v>0.13669845193669233</v>
      </c>
      <c r="AA30" s="187">
        <f>IF(AA79*4/$I$83+SUM(AA6:AA29)&lt;1,AA79*4/$I$83,1-SUM(AA6:AA29))</f>
        <v>0.26925640257759187</v>
      </c>
      <c r="AB30" s="122">
        <f>IF($Y30=0,0,AC30/($Y$30))</f>
        <v>0.2877384343459452</v>
      </c>
      <c r="AC30" s="187">
        <f>IF(AC79*4/$I$83+SUM(AC6:AC29)&lt;1,AC79*4/$I$83,1-SUM(AC6:AC29))</f>
        <v>0.56676147108950548</v>
      </c>
      <c r="AD30" s="122">
        <f>IF($Y30=0,0,AE30/($Y$30))</f>
        <v>0.29199098814136559</v>
      </c>
      <c r="AE30" s="187">
        <f>IF(AE79*4/$I$83+SUM(AE6:AE29)&lt;1,AE79*4/$I$83,1-SUM(AE6:AE29))</f>
        <v>0.57513777177543324</v>
      </c>
      <c r="AF30" s="122">
        <f>IF($Y30=0,0,AG30/($Y$30))</f>
        <v>0.28357212557599676</v>
      </c>
      <c r="AG30" s="187">
        <f>IF(AG79*4/$I$83+SUM(AG6:AG29)&lt;1,AG79*4/$I$83,1-SUM(AG6:AG29))</f>
        <v>0.55855504815251922</v>
      </c>
      <c r="AH30" s="123">
        <f t="shared" si="12"/>
        <v>0.99999999999999989</v>
      </c>
      <c r="AI30" s="183">
        <f t="shared" si="13"/>
        <v>0.49242767339876242</v>
      </c>
      <c r="AJ30" s="120">
        <f t="shared" si="14"/>
        <v>0.41800893683354867</v>
      </c>
      <c r="AK30" s="119">
        <f t="shared" si="15"/>
        <v>0.56684640996397628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0.19545499505229724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2.0743728491668256</v>
      </c>
      <c r="J32" s="17"/>
      <c r="L32" s="22">
        <f>SUM(L6:L30)</f>
        <v>0.80454500494770276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31658.856199858361</v>
      </c>
      <c r="T32" s="233">
        <f t="shared" si="50"/>
        <v>31476.881729501205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0.23113347178963076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2064.9999999999995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0</v>
      </c>
      <c r="AK37" s="147">
        <f>(AE37+AG37)</f>
        <v>2064.9999999999995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354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0</v>
      </c>
      <c r="AK38" s="147">
        <f t="shared" ref="AK38:AK64" si="63">(AE38+AG38)</f>
        <v>354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215.28262789890334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5.1162752007914668E-3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53.820656974725836</v>
      </c>
      <c r="AB45" s="116">
        <v>0.25</v>
      </c>
      <c r="AC45" s="147">
        <f t="shared" si="65"/>
        <v>53.820656974725836</v>
      </c>
      <c r="AD45" s="116">
        <v>0.25</v>
      </c>
      <c r="AE45" s="147">
        <f t="shared" si="66"/>
        <v>53.820656974725836</v>
      </c>
      <c r="AF45" s="122">
        <f t="shared" si="57"/>
        <v>0.25</v>
      </c>
      <c r="AG45" s="147">
        <f t="shared" si="60"/>
        <v>53.820656974725836</v>
      </c>
      <c r="AH45" s="123">
        <f t="shared" si="61"/>
        <v>1</v>
      </c>
      <c r="AI45" s="112">
        <f t="shared" si="61"/>
        <v>215.28262789890334</v>
      </c>
      <c r="AJ45" s="148">
        <f t="shared" si="62"/>
        <v>107.64131394945167</v>
      </c>
      <c r="AK45" s="147">
        <f t="shared" si="63"/>
        <v>107.64131394945167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E17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E18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62.999999999999993</v>
      </c>
      <c r="J50" s="38">
        <f t="shared" ref="J50:J64" si="70">J104*I$83</f>
        <v>62.999999999999986</v>
      </c>
      <c r="K50" s="40">
        <f t="shared" ref="K50:K64" si="71">(B50/B$65)</f>
        <v>5.347212319977185E-3</v>
      </c>
      <c r="L50" s="22">
        <f t="shared" ref="L50:L64" si="72">(K50*H50)</f>
        <v>1.4972194495936116E-3</v>
      </c>
      <c r="M50" s="24">
        <f t="shared" ref="M50:M64" si="73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1748.2500000000002</v>
      </c>
      <c r="J54" s="38">
        <f t="shared" si="70"/>
        <v>1748.2500000000002</v>
      </c>
      <c r="K54" s="40">
        <f t="shared" si="71"/>
        <v>7.4860972479680599E-2</v>
      </c>
      <c r="L54" s="22">
        <f t="shared" si="72"/>
        <v>4.1547839726222738E-2</v>
      </c>
      <c r="M54" s="24">
        <f t="shared" si="73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8"/>
        <v>0.8</v>
      </c>
      <c r="I58" s="39">
        <f t="shared" si="69"/>
        <v>2534.4</v>
      </c>
      <c r="J58" s="38">
        <f t="shared" si="70"/>
        <v>2209.6307784839396</v>
      </c>
      <c r="K58" s="40">
        <f t="shared" si="71"/>
        <v>6.274062455439898E-2</v>
      </c>
      <c r="L58" s="22">
        <f t="shared" si="72"/>
        <v>5.0192499643519184E-2</v>
      </c>
      <c r="M58" s="24">
        <f t="shared" si="73"/>
        <v>5.2512732983600444E-2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552.4076946209849</v>
      </c>
      <c r="AB58" s="116">
        <v>0.25</v>
      </c>
      <c r="AC58" s="147">
        <f t="shared" si="65"/>
        <v>552.4076946209849</v>
      </c>
      <c r="AD58" s="116">
        <v>0.25</v>
      </c>
      <c r="AE58" s="147">
        <f t="shared" si="66"/>
        <v>552.4076946209849</v>
      </c>
      <c r="AF58" s="122">
        <f t="shared" si="57"/>
        <v>0.25</v>
      </c>
      <c r="AG58" s="147">
        <f t="shared" si="60"/>
        <v>552.4076946209849</v>
      </c>
      <c r="AH58" s="123">
        <f t="shared" si="61"/>
        <v>1</v>
      </c>
      <c r="AI58" s="112">
        <f t="shared" si="61"/>
        <v>2209.6307784839396</v>
      </c>
      <c r="AJ58" s="148">
        <f t="shared" si="62"/>
        <v>1104.8153892419698</v>
      </c>
      <c r="AK58" s="147">
        <f t="shared" si="63"/>
        <v>1104.8153892419698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8"/>
        <v>0.94399999999999995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8"/>
        <v>1.18</v>
      </c>
      <c r="I60" s="39">
        <f t="shared" si="69"/>
        <v>29311.199999999997</v>
      </c>
      <c r="J60" s="38">
        <f t="shared" si="70"/>
        <v>29311.199999999997</v>
      </c>
      <c r="K60" s="40">
        <f t="shared" si="71"/>
        <v>0.59033224012548124</v>
      </c>
      <c r="L60" s="22">
        <f t="shared" si="72"/>
        <v>0.69659204334806779</v>
      </c>
      <c r="M60" s="24">
        <f t="shared" si="73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4"/>
        <v>1</v>
      </c>
      <c r="AI60" s="112">
        <f t="shared" si="74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8"/>
        <v>1.1100000000000001</v>
      </c>
      <c r="I61" s="39">
        <f t="shared" si="69"/>
        <v>6660.0000000000009</v>
      </c>
      <c r="J61" s="38">
        <f t="shared" si="70"/>
        <v>6659.9999999999991</v>
      </c>
      <c r="K61" s="40">
        <f t="shared" si="71"/>
        <v>0.14259232853272494</v>
      </c>
      <c r="L61" s="22">
        <f t="shared" si="72"/>
        <v>0.15827748467132469</v>
      </c>
      <c r="M61" s="24">
        <f t="shared" si="73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4"/>
        <v>1</v>
      </c>
      <c r="AI61" s="112">
        <f t="shared" si="74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42880.99</v>
      </c>
      <c r="J65" s="39">
        <f>SUM(J37:J64)</f>
        <v>42771.503406382835</v>
      </c>
      <c r="K65" s="40">
        <f>SUM(K37:K64)</f>
        <v>1</v>
      </c>
      <c r="L65" s="22">
        <f>SUM(L37:L64)</f>
        <v>1.0156991777175721</v>
      </c>
      <c r="M65" s="24">
        <f>SUM(M37:M64)</f>
        <v>1.0164813775935841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9744.1683515957102</v>
      </c>
      <c r="AB65" s="137"/>
      <c r="AC65" s="153">
        <f>SUM(AC37:AC64)</f>
        <v>9599.028351595709</v>
      </c>
      <c r="AD65" s="137"/>
      <c r="AE65" s="153">
        <f>SUM(AE37:AE64)</f>
        <v>9599.028351595709</v>
      </c>
      <c r="AF65" s="137"/>
      <c r="AG65" s="153">
        <f>SUM(AG37:AG64)</f>
        <v>12018.028351595709</v>
      </c>
      <c r="AH65" s="137"/>
      <c r="AI65" s="153">
        <f>SUM(AI37:AI64)</f>
        <v>40960.253406382835</v>
      </c>
      <c r="AJ65" s="153">
        <f>SUM(AJ37:AJ64)</f>
        <v>19343.196703191421</v>
      </c>
      <c r="AK65" s="153">
        <f>SUM(AK37:AK64)</f>
        <v>21617.056703191418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5">J124*I$83</f>
        <v>16183.009899417588</v>
      </c>
      <c r="K70" s="40">
        <f>B70/B$76</f>
        <v>0.2747110790745349</v>
      </c>
      <c r="L70" s="22">
        <f t="shared" ref="L70:L75" si="76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16494.826666666668</v>
      </c>
      <c r="J71" s="51">
        <f t="shared" si="75"/>
        <v>16494.826666666668</v>
      </c>
      <c r="K71" s="40">
        <f t="shared" ref="K71:K72" si="78">B71/B$76</f>
        <v>0.33220843829713076</v>
      </c>
      <c r="L71" s="22">
        <f t="shared" si="76"/>
        <v>0.39200595719061437</v>
      </c>
      <c r="M71" s="24">
        <f t="shared" ref="M71:M72" si="79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1677.9991431811122</v>
      </c>
      <c r="K72" s="40">
        <f t="shared" si="78"/>
        <v>0.65934692713532017</v>
      </c>
      <c r="L72" s="22">
        <f t="shared" si="76"/>
        <v>0.11791736418477246</v>
      </c>
      <c r="M72" s="24">
        <f t="shared" si="79"/>
        <v>3.9878300850352016E-2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26697.980100582408</v>
      </c>
      <c r="J74" s="51">
        <f t="shared" si="75"/>
        <v>8415.6676971174711</v>
      </c>
      <c r="K74" s="40">
        <f>B74/B$76</f>
        <v>0.13926517420029469</v>
      </c>
      <c r="L74" s="22">
        <f t="shared" si="76"/>
        <v>0.1211803456378365</v>
      </c>
      <c r="M74" s="24">
        <f>J74/B$76</f>
        <v>0.2000016088482692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1150.408746209587</v>
      </c>
      <c r="AB74" s="156"/>
      <c r="AC74" s="147">
        <f>AC30*$I$83/4</f>
        <v>2421.5110471443272</v>
      </c>
      <c r="AD74" s="156"/>
      <c r="AE74" s="147">
        <f>AE30*$I$83/4</f>
        <v>2457.2991267507014</v>
      </c>
      <c r="AF74" s="156"/>
      <c r="AG74" s="147">
        <f>AG30*$I$83/4</f>
        <v>2386.4487770128553</v>
      </c>
      <c r="AH74" s="155"/>
      <c r="AI74" s="147">
        <f>SUM(AA74,AC74,AE74,AG74)</f>
        <v>8415.6676971174711</v>
      </c>
      <c r="AJ74" s="148">
        <f>(AA74+AC74)</f>
        <v>3571.9197933539144</v>
      </c>
      <c r="AK74" s="147">
        <f>(AE74+AG74)</f>
        <v>4843.7479037635567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-7.5895556238310025E-12</v>
      </c>
      <c r="K75" s="40">
        <f>B75/B$76</f>
        <v>0</v>
      </c>
      <c r="L75" s="22">
        <f t="shared" si="76"/>
        <v>0</v>
      </c>
      <c r="M75" s="24">
        <f>J75/B$76</f>
        <v>-1.8036873482178342E-16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10133.83423026019</v>
      </c>
      <c r="AB75" s="158"/>
      <c r="AC75" s="149">
        <f>AA75+AC65-SUM(AC70,AC74)</f>
        <v>13265.599059857177</v>
      </c>
      <c r="AD75" s="158"/>
      <c r="AE75" s="149">
        <f>AC75+AE65-SUM(AE70,AE74)</f>
        <v>16361.575809847787</v>
      </c>
      <c r="AF75" s="158"/>
      <c r="AG75" s="149">
        <f>IF(SUM(AG6:AG29)+((AG65-AG70-$J$75)*4/I$83)&lt;1,0,AG65-AG70-$J$75-(1-SUM(AG6:AG29))*I$83/4)</f>
        <v>5585.8270997284644</v>
      </c>
      <c r="AH75" s="134"/>
      <c r="AI75" s="149">
        <f>AI76-SUM(AI70,AI74)</f>
        <v>16361.575809847775</v>
      </c>
      <c r="AJ75" s="151">
        <f>AJ76-SUM(AJ70,AJ74)</f>
        <v>7679.7719601287099</v>
      </c>
      <c r="AK75" s="149">
        <f>AJ75+AK76-SUM(AK70,AK74)</f>
        <v>16361.575809847778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42880.99</v>
      </c>
      <c r="J76" s="51">
        <f t="shared" si="75"/>
        <v>42771.503406382835</v>
      </c>
      <c r="K76" s="40">
        <f>SUM(K70:K75)</f>
        <v>1.4392784697933587</v>
      </c>
      <c r="L76" s="22">
        <f>SUM(L70:L75)</f>
        <v>1.0156991777175723</v>
      </c>
      <c r="M76" s="24">
        <f>SUM(M70:M75)</f>
        <v>1.0164813775935841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9744.1683515957102</v>
      </c>
      <c r="AB76" s="137"/>
      <c r="AC76" s="153">
        <f>AC65</f>
        <v>9599.028351595709</v>
      </c>
      <c r="AD76" s="137"/>
      <c r="AE76" s="153">
        <f>AE65</f>
        <v>9599.028351595709</v>
      </c>
      <c r="AF76" s="137"/>
      <c r="AG76" s="153">
        <f>AG65</f>
        <v>12018.028351595709</v>
      </c>
      <c r="AH76" s="137"/>
      <c r="AI76" s="153">
        <f>SUM(AA76,AC76,AE76,AG76)</f>
        <v>40960.253406382835</v>
      </c>
      <c r="AJ76" s="154">
        <f>SUM(AA76,AC76)</f>
        <v>19343.196703191417</v>
      </c>
      <c r="AK76" s="154">
        <f>SUM(AE76,AG76)</f>
        <v>21617.056703191418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5"/>
        <v>0</v>
      </c>
      <c r="K77" s="40"/>
      <c r="L77" s="22">
        <f>-(L131*G$37*F$9/F$7)/B$130</f>
        <v>-0.27408859300584199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5585.8270997284644</v>
      </c>
      <c r="AB78" s="112"/>
      <c r="AC78" s="112">
        <f>IF(AA75&lt;0,0,AA75)</f>
        <v>10133.83423026019</v>
      </c>
      <c r="AD78" s="112"/>
      <c r="AE78" s="112">
        <f>AC75</f>
        <v>13265.599059857177</v>
      </c>
      <c r="AF78" s="112"/>
      <c r="AG78" s="112">
        <f>AE75</f>
        <v>16361.575809847787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11284.242976469777</v>
      </c>
      <c r="AB79" s="112"/>
      <c r="AC79" s="112">
        <f>AA79-AA74+AC65-AC70</f>
        <v>15687.110107001505</v>
      </c>
      <c r="AD79" s="112"/>
      <c r="AE79" s="112">
        <f>AC79-AC74+AE65-AE70</f>
        <v>18818.874936598488</v>
      </c>
      <c r="AF79" s="112"/>
      <c r="AG79" s="112">
        <f>AE79-AE74+AG65-AG70</f>
        <v>24333.851686589096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2">(D91*H91)</f>
        <v>0.12082976445430939</v>
      </c>
      <c r="J91" s="24">
        <f>IF(I$32&lt;=1+I$131,I91,L91+J$33*(I91-L91))</f>
        <v>0.12082976445430939</v>
      </c>
      <c r="K91" s="22">
        <f t="shared" ref="K91" si="83">IF(B91="",0,B91)</f>
        <v>0.33791374805018726</v>
      </c>
      <c r="L91" s="22">
        <f t="shared" ref="L91" si="84">(K91*H91)</f>
        <v>0.12082976445430939</v>
      </c>
      <c r="M91" s="226">
        <f t="shared" si="80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0.3575757575757576</v>
      </c>
      <c r="I92" s="22">
        <f t="shared" ref="I92:I118" si="88">(D92*H92)</f>
        <v>2.071367390645304E-2</v>
      </c>
      <c r="J92" s="24">
        <f t="shared" ref="J92:J118" si="89">IF(I$32&lt;=1+I$131,I92,L92+J$33*(I92-L92))</f>
        <v>2.071367390645304E-2</v>
      </c>
      <c r="K92" s="22">
        <f t="shared" ref="K92:K118" si="90">IF(B92="",0,B92)</f>
        <v>5.7928071094317815E-2</v>
      </c>
      <c r="L92" s="22">
        <f t="shared" ref="L92:L118" si="91">(K92*H92)</f>
        <v>2.071367390645304E-2</v>
      </c>
      <c r="M92" s="226">
        <f t="shared" ref="M92:M118" si="92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0.7151515151515152</v>
      </c>
      <c r="I93" s="22">
        <f t="shared" si="88"/>
        <v>8.4926063016457463E-3</v>
      </c>
      <c r="J93" s="24">
        <f t="shared" si="89"/>
        <v>8.4926063016457463E-3</v>
      </c>
      <c r="K93" s="22">
        <f t="shared" si="90"/>
        <v>1.1875254574335152E-2</v>
      </c>
      <c r="L93" s="22">
        <f t="shared" si="91"/>
        <v>8.4926063016457463E-3</v>
      </c>
      <c r="M93" s="226">
        <f t="shared" si="92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1.2596876135655801E-2</v>
      </c>
      <c r="K99" s="22">
        <f t="shared" si="90"/>
        <v>9.6546785157196363E-2</v>
      </c>
      <c r="L99" s="22">
        <f t="shared" si="91"/>
        <v>1.6383696875160593E-2</v>
      </c>
      <c r="M99" s="226">
        <f t="shared" si="92"/>
        <v>1.2596876135655801E-2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0.16969696969696968</v>
      </c>
      <c r="I104" s="22">
        <f t="shared" si="88"/>
        <v>3.6863317969111336E-3</v>
      </c>
      <c r="J104" s="24">
        <f t="shared" si="89"/>
        <v>3.6863317969111336E-3</v>
      </c>
      <c r="K104" s="22">
        <f t="shared" si="90"/>
        <v>2.1723026660369182E-2</v>
      </c>
      <c r="L104" s="22">
        <f t="shared" si="91"/>
        <v>3.6863317969111336E-3</v>
      </c>
      <c r="M104" s="226">
        <f t="shared" si="92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0.33636363636363642</v>
      </c>
      <c r="I108" s="22">
        <f t="shared" si="88"/>
        <v>0.10229570736428399</v>
      </c>
      <c r="J108" s="24">
        <f t="shared" si="89"/>
        <v>0.10229570736428399</v>
      </c>
      <c r="K108" s="22">
        <f t="shared" si="90"/>
        <v>0.30412237324516855</v>
      </c>
      <c r="L108" s="22">
        <f t="shared" si="91"/>
        <v>0.10229570736428399</v>
      </c>
      <c r="M108" s="226">
        <f t="shared" si="92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0.33636363636363642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0.28606060606060607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0.48484848484848486</v>
      </c>
      <c r="I112" s="22">
        <f t="shared" si="88"/>
        <v>0.14829586200145362</v>
      </c>
      <c r="J112" s="24">
        <f t="shared" si="89"/>
        <v>0.12929257457394999</v>
      </c>
      <c r="K112" s="22">
        <f t="shared" si="90"/>
        <v>0.25488351281499838</v>
      </c>
      <c r="L112" s="22">
        <f t="shared" si="91"/>
        <v>0.12357988500121134</v>
      </c>
      <c r="M112" s="226">
        <f t="shared" si="92"/>
        <v>0.12929257457394999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0.57212121212121214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0.7151515151515152</v>
      </c>
      <c r="I114" s="22">
        <f t="shared" si="88"/>
        <v>1.7150921994543116</v>
      </c>
      <c r="J114" s="24">
        <f t="shared" si="89"/>
        <v>1.7150921994543116</v>
      </c>
      <c r="K114" s="22">
        <f t="shared" si="90"/>
        <v>2.3982221433047575</v>
      </c>
      <c r="L114" s="22">
        <f t="shared" si="91"/>
        <v>1.7150921994543116</v>
      </c>
      <c r="M114" s="226">
        <f t="shared" si="92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0.67272727272727284</v>
      </c>
      <c r="I115" s="22">
        <f t="shared" si="88"/>
        <v>0.38969793281631987</v>
      </c>
      <c r="J115" s="24">
        <f t="shared" si="89"/>
        <v>0.38969793281631987</v>
      </c>
      <c r="K115" s="22">
        <f t="shared" si="90"/>
        <v>0.57928071094317812</v>
      </c>
      <c r="L115" s="22">
        <f t="shared" si="91"/>
        <v>0.38969793281631987</v>
      </c>
      <c r="M115" s="226">
        <f t="shared" si="92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2.5091040780956884</v>
      </c>
      <c r="J119" s="24">
        <f>SUM(J91:J118)</f>
        <v>2.5026976668038405</v>
      </c>
      <c r="K119" s="22">
        <f>SUM(K91:K118)</f>
        <v>4.062495625844508</v>
      </c>
      <c r="L119" s="22">
        <f>SUM(L91:L118)</f>
        <v>2.5007717979706068</v>
      </c>
      <c r="M119" s="57">
        <f t="shared" si="80"/>
        <v>2.5026976668038405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3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9.8185104709494819E-2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0.29032653103742545</v>
      </c>
      <c r="M126" s="239">
        <f t="shared" si="93"/>
        <v>9.8185104709494819E-2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1.5621843326678992</v>
      </c>
      <c r="J128" s="227">
        <f>(J30)</f>
        <v>0.49242767339876248</v>
      </c>
      <c r="K128" s="29">
        <f>(B128)</f>
        <v>0.56576416102117066</v>
      </c>
      <c r="L128" s="29">
        <f>IF(L124=L119,0,(L119-L124)/(B119-B124)*K128)</f>
        <v>0.29836037823759787</v>
      </c>
      <c r="M128" s="239">
        <f t="shared" si="93"/>
        <v>0.49242767339876248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2.5091040780956884</v>
      </c>
      <c r="J130" s="227">
        <f>(J119)</f>
        <v>2.5026976668038405</v>
      </c>
      <c r="K130" s="29">
        <f>(B130)</f>
        <v>4.062495625844508</v>
      </c>
      <c r="L130" s="29">
        <f>(L119)</f>
        <v>2.5007717979706068</v>
      </c>
      <c r="M130" s="239">
        <f t="shared" si="93"/>
        <v>2.5026976668038405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0.67483861223036889</v>
      </c>
      <c r="M131" s="236">
        <f>IF(I131&lt;SUM(M126:M127),0,I131-(SUM(M126:M127)))</f>
        <v>0.86698003855829953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1664.4441670054046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1938.2269454820439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5.1191165766611965E-2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5.1191165766611965E-2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0.20476466306644786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0.20476466306644786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5.1191165766611965E-2</v>
      </c>
      <c r="AJ9" s="120">
        <f t="shared" si="14"/>
        <v>0.10238233153322393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1.2636728847967967E-2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1.2636728847967967E-2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5.0546915391871866E-2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5.0546915391871866E-2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1.2636728847967967E-2</v>
      </c>
      <c r="AJ10" s="120">
        <f t="shared" si="14"/>
        <v>2.5273457695935933E-2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14534.570543835149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3.1835641190490981E-3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3.1835641190490981E-3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1.2734256476196392E-2</v>
      </c>
      <c r="Z13" s="156">
        <f>Poor!Z13</f>
        <v>1</v>
      </c>
      <c r="AA13" s="121">
        <f>$M13*Z13*4</f>
        <v>1.2734256476196392E-2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3.1835641190490981E-3</v>
      </c>
      <c r="AJ13" s="120">
        <f t="shared" si="14"/>
        <v>6.3671282380981962E-3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1.5945319824476111E-3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1.5945319824476111E-3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55021.714285714297</v>
      </c>
      <c r="T14" s="221">
        <f>IF($B$81=0,0,(SUMIF($N$6:$N$28,$U14,M$6:M$28)+SUMIF($N$91:$N$118,$U14,M$91:M$118))*$I$83*Poor!$B$81/$B$81)</f>
        <v>55021.714285714297</v>
      </c>
      <c r="U14" s="222">
        <v>8</v>
      </c>
      <c r="V14" s="56"/>
      <c r="W14" s="110"/>
      <c r="X14" s="118"/>
      <c r="Y14" s="183">
        <f>M14*4</f>
        <v>6.3781279297904442E-3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6.3781279297904442E-3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1.5945319824476111E-3</v>
      </c>
      <c r="AJ14" s="120">
        <f t="shared" si="14"/>
        <v>3.1890639648952221E-3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1.2787146643007716E-2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1.2787146643007716E-2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5.1148586572030863E-2</v>
      </c>
      <c r="Z15" s="156">
        <f>Poor!Z15</f>
        <v>0.25</v>
      </c>
      <c r="AA15" s="121">
        <f t="shared" si="16"/>
        <v>1.2787146643007716E-2</v>
      </c>
      <c r="AB15" s="156">
        <f>Poor!AB15</f>
        <v>0.25</v>
      </c>
      <c r="AC15" s="121">
        <f t="shared" si="7"/>
        <v>1.2787146643007716E-2</v>
      </c>
      <c r="AD15" s="156">
        <f>Poor!AD15</f>
        <v>0.25</v>
      </c>
      <c r="AE15" s="121">
        <f t="shared" si="8"/>
        <v>1.2787146643007716E-2</v>
      </c>
      <c r="AF15" s="122">
        <f t="shared" si="10"/>
        <v>0.25</v>
      </c>
      <c r="AG15" s="121">
        <f t="shared" si="11"/>
        <v>1.2787146643007716E-2</v>
      </c>
      <c r="AH15" s="123">
        <f t="shared" si="12"/>
        <v>1</v>
      </c>
      <c r="AI15" s="183">
        <f t="shared" si="13"/>
        <v>1.2787146643007716E-2</v>
      </c>
      <c r="AJ15" s="120">
        <f t="shared" si="14"/>
        <v>1.2787146643007716E-2</v>
      </c>
      <c r="AK15" s="119">
        <f t="shared" si="15"/>
        <v>1.2787146643007716E-2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1.4763943786199262E-3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1.4763943786199262E-3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5.9055775144797049E-3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5.9055775144797049E-3</v>
      </c>
      <c r="AH16" s="123">
        <f t="shared" si="12"/>
        <v>1</v>
      </c>
      <c r="AI16" s="183">
        <f t="shared" si="13"/>
        <v>1.4763943786199262E-3</v>
      </c>
      <c r="AJ16" s="120">
        <f t="shared" si="14"/>
        <v>0</v>
      </c>
      <c r="AK16" s="119">
        <f t="shared" si="15"/>
        <v>2.9527887572398524E-3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9.6334722379475706E-4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9.6334722379475706E-4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3.8533888951790283E-3</v>
      </c>
      <c r="Z17" s="156">
        <f>Poor!Z17</f>
        <v>0.29409999999999997</v>
      </c>
      <c r="AA17" s="121">
        <f t="shared" si="16"/>
        <v>1.1332816740721521E-3</v>
      </c>
      <c r="AB17" s="156">
        <f>Poor!AB17</f>
        <v>0.17649999999999999</v>
      </c>
      <c r="AC17" s="121">
        <f t="shared" si="7"/>
        <v>6.801231399990985E-4</v>
      </c>
      <c r="AD17" s="156">
        <f>Poor!AD17</f>
        <v>0.23530000000000001</v>
      </c>
      <c r="AE17" s="121">
        <f t="shared" si="8"/>
        <v>9.0670240703562537E-4</v>
      </c>
      <c r="AF17" s="122">
        <f t="shared" si="10"/>
        <v>0.29410000000000003</v>
      </c>
      <c r="AG17" s="121">
        <f t="shared" si="11"/>
        <v>1.1332816740721524E-3</v>
      </c>
      <c r="AH17" s="123">
        <f t="shared" si="12"/>
        <v>1</v>
      </c>
      <c r="AI17" s="183">
        <f t="shared" si="13"/>
        <v>9.6334722379475706E-4</v>
      </c>
      <c r="AJ17" s="120">
        <f t="shared" si="14"/>
        <v>9.0670240703562537E-4</v>
      </c>
      <c r="AK17" s="119">
        <f t="shared" si="15"/>
        <v>1.0199920405538888E-3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86706.483316047525</v>
      </c>
      <c r="T23" s="179">
        <f>SUM(T7:T22)</f>
        <v>85519.014610357131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3.1720836709868923E-2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3.1720836709868923E-2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0.12688334683947569</v>
      </c>
      <c r="Z27" s="156">
        <f>Poor!Z27</f>
        <v>0.25</v>
      </c>
      <c r="AA27" s="121">
        <f t="shared" si="16"/>
        <v>3.1720836709868923E-2</v>
      </c>
      <c r="AB27" s="156">
        <f>Poor!AB27</f>
        <v>0.25</v>
      </c>
      <c r="AC27" s="121">
        <f t="shared" si="7"/>
        <v>3.1720836709868923E-2</v>
      </c>
      <c r="AD27" s="156">
        <f>Poor!AD27</f>
        <v>0.25</v>
      </c>
      <c r="AE27" s="121">
        <f t="shared" si="8"/>
        <v>3.1720836709868923E-2</v>
      </c>
      <c r="AF27" s="122">
        <f t="shared" si="10"/>
        <v>0.25</v>
      </c>
      <c r="AG27" s="121">
        <f t="shared" si="11"/>
        <v>3.1720836709868923E-2</v>
      </c>
      <c r="AH27" s="123">
        <f t="shared" si="12"/>
        <v>1</v>
      </c>
      <c r="AI27" s="183">
        <f t="shared" si="13"/>
        <v>3.1720836709868923E-2</v>
      </c>
      <c r="AJ27" s="120">
        <f t="shared" si="14"/>
        <v>3.1720836709868923E-2</v>
      </c>
      <c r="AK27" s="119">
        <f t="shared" si="15"/>
        <v>3.1720836709868923E-2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3.2357708576269935E-3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3.2357708576269935E-3</v>
      </c>
      <c r="N28" s="228"/>
      <c r="O28" s="2"/>
      <c r="P28" s="22"/>
      <c r="V28" s="56"/>
      <c r="W28" s="110"/>
      <c r="X28" s="118"/>
      <c r="Y28" s="183">
        <f t="shared" si="9"/>
        <v>1.2943083430507974E-2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6.471541715253987E-3</v>
      </c>
      <c r="AF28" s="122">
        <f t="shared" si="10"/>
        <v>0.5</v>
      </c>
      <c r="AG28" s="121">
        <f t="shared" si="11"/>
        <v>6.471541715253987E-3</v>
      </c>
      <c r="AH28" s="123">
        <f t="shared" si="12"/>
        <v>1</v>
      </c>
      <c r="AI28" s="183">
        <f t="shared" si="13"/>
        <v>3.2357708576269935E-3</v>
      </c>
      <c r="AJ28" s="120">
        <f t="shared" si="14"/>
        <v>0</v>
      </c>
      <c r="AK28" s="119">
        <f t="shared" si="15"/>
        <v>6.471541715253987E-3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0.27533379934107582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0.27533379934107582</v>
      </c>
      <c r="N29" s="228"/>
      <c r="P29" s="22"/>
      <c r="V29" s="56"/>
      <c r="W29" s="110"/>
      <c r="X29" s="118"/>
      <c r="Y29" s="183">
        <f t="shared" si="9"/>
        <v>1.1013351973643033</v>
      </c>
      <c r="Z29" s="156">
        <f>Poor!Z29</f>
        <v>0.25</v>
      </c>
      <c r="AA29" s="121">
        <f t="shared" si="16"/>
        <v>0.27533379934107582</v>
      </c>
      <c r="AB29" s="156">
        <f>Poor!AB29</f>
        <v>0.25</v>
      </c>
      <c r="AC29" s="121">
        <f t="shared" si="7"/>
        <v>0.27533379934107582</v>
      </c>
      <c r="AD29" s="156">
        <f>Poor!AD29</f>
        <v>0.25</v>
      </c>
      <c r="AE29" s="121">
        <f t="shared" si="8"/>
        <v>0.27533379934107582</v>
      </c>
      <c r="AF29" s="122">
        <f t="shared" si="10"/>
        <v>0.25</v>
      </c>
      <c r="AG29" s="121">
        <f t="shared" si="11"/>
        <v>0.27533379934107582</v>
      </c>
      <c r="AH29" s="123">
        <f t="shared" si="12"/>
        <v>1</v>
      </c>
      <c r="AI29" s="183">
        <f t="shared" si="13"/>
        <v>0.27533379934107582</v>
      </c>
      <c r="AJ29" s="120">
        <f t="shared" si="14"/>
        <v>0.27533379934107582</v>
      </c>
      <c r="AK29" s="119">
        <f t="shared" si="15"/>
        <v>0.27533379934107582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3.2797731233189991</v>
      </c>
      <c r="J30" s="230">
        <f>IF(I$32&lt;=1,I30,1-SUM(J6:J29))</f>
        <v>0.45617571038716187</v>
      </c>
      <c r="K30" s="22">
        <f t="shared" si="4"/>
        <v>0.51164617712150862</v>
      </c>
      <c r="L30" s="22">
        <f>IF(L124=L119,0,IF(K30="",0,(L119-L124)/(B119-B124)*K30))</f>
        <v>0.14080810176445233</v>
      </c>
      <c r="M30" s="175">
        <f t="shared" si="6"/>
        <v>0.45617571038716187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1.8247028415486475</v>
      </c>
      <c r="Z30" s="122">
        <f>IF($Y30=0,0,AA30/($Y$30))</f>
        <v>0.13359808462665562</v>
      </c>
      <c r="AA30" s="187">
        <f>IF(AA79*4/$I$84+SUM(AA6:AA29)&lt;1,AA79*4/$I$84,1-SUM(AA6:AA29))</f>
        <v>0.24377680464371521</v>
      </c>
      <c r="AB30" s="122">
        <f>IF($Y30=0,0,AC30/($Y$30))</f>
        <v>0.30665350417257359</v>
      </c>
      <c r="AC30" s="187">
        <f>IF(AC79*4/$I$84+SUM(AC6:AC29)&lt;1,AC79*4/$I$84,1-SUM(AC6:AC29))</f>
        <v>0.55955152043454504</v>
      </c>
      <c r="AD30" s="122">
        <f>IF($Y30=0,0,AE30/($Y$30))</f>
        <v>0.3003286607950329</v>
      </c>
      <c r="AE30" s="187">
        <f>IF(AE79*4/$I$84+SUM(AE6:AE29)&lt;1,AE79*4/$I$84,1-SUM(AE6:AE29))</f>
        <v>0.54801056075119636</v>
      </c>
      <c r="AF30" s="122">
        <f>IF($Y30=0,0,AG30/($Y$30))</f>
        <v>2.8248872627095183E-2</v>
      </c>
      <c r="AG30" s="187">
        <f>IF(AG79*4/$I$84+SUM(AG6:AG29)&lt;1,AG79*4/$I$84,1-SUM(AG6:AG29))</f>
        <v>5.1545798153206389E-2</v>
      </c>
      <c r="AH30" s="123">
        <f t="shared" si="12"/>
        <v>0.76882912222135735</v>
      </c>
      <c r="AI30" s="183">
        <f t="shared" si="13"/>
        <v>0.35072117099566574</v>
      </c>
      <c r="AJ30" s="120">
        <f t="shared" si="14"/>
        <v>0.40166416253913012</v>
      </c>
      <c r="AK30" s="119">
        <f t="shared" si="15"/>
        <v>0.29977817945220137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0.31873312187225011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0.42181815756598451</v>
      </c>
      <c r="AH31" s="123"/>
      <c r="AI31" s="182">
        <f>SUM(AA31,AC31,AE31,AG31)/4</f>
        <v>0.10545453939149613</v>
      </c>
      <c r="AJ31" s="135">
        <f t="shared" si="14"/>
        <v>0</v>
      </c>
      <c r="AK31" s="136">
        <f t="shared" si="15"/>
        <v>0.21090907878299225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3.8447617083512107</v>
      </c>
      <c r="J32" s="17"/>
      <c r="L32" s="22">
        <f>SUM(L6:L30)</f>
        <v>0.68126687812774989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0.57818184243401549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0.13720095802482238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11256.72008671497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8.1055322959993154E-2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0.15826138423753436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1781.5041028979688</v>
      </c>
      <c r="AB37" s="122">
        <f>IF($J37=0,0,AC37/($J37))</f>
        <v>0.37532940325585074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4224.9780327648778</v>
      </c>
      <c r="AD37" s="122">
        <f>IF($J37=0,0,AE37/($J37))</f>
        <v>0.35768720291073708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4026.3847217661873</v>
      </c>
      <c r="AF37" s="122">
        <f t="shared" ref="AF37:AF64" si="29">1-SUM(Z37,AB37,AD37)</f>
        <v>0.10872200959587786</v>
      </c>
      <c r="AG37" s="147">
        <f>$J37*AF37</f>
        <v>1223.8532292859359</v>
      </c>
      <c r="AH37" s="123">
        <f>SUM(Z37,AB37,AD37,AF37)</f>
        <v>1</v>
      </c>
      <c r="AI37" s="112">
        <f>SUM(AA37,AC37,AE37,AG37)</f>
        <v>11256.72008671497</v>
      </c>
      <c r="AJ37" s="148">
        <f>(AA37+AC37)</f>
        <v>6006.4821356628463</v>
      </c>
      <c r="AK37" s="147">
        <f>(AE37+AG37)</f>
        <v>5250.2379510521232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1287.5691391407872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9.2712914243595936E-3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0.15826138423753433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203.77247426195143</v>
      </c>
      <c r="AB38" s="122">
        <f>IF($J38=0,0,AC38/($J38))</f>
        <v>0.37532940325585074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483.2625566443611</v>
      </c>
      <c r="AD38" s="122">
        <f>IF($J38=0,0,AE38/($J38))</f>
        <v>0.35768720291073708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460.54700393345382</v>
      </c>
      <c r="AF38" s="122">
        <f t="shared" si="29"/>
        <v>0.10872200959587786</v>
      </c>
      <c r="AG38" s="147">
        <f t="shared" ref="AG38:AG64" si="36">$J38*AF38</f>
        <v>139.98710430102085</v>
      </c>
      <c r="AH38" s="123">
        <f t="shared" ref="AH38:AI58" si="37">SUM(Z38,AB38,AD38,AF38)</f>
        <v>1</v>
      </c>
      <c r="AI38" s="112">
        <f t="shared" si="37"/>
        <v>1287.5691391407872</v>
      </c>
      <c r="AJ38" s="148">
        <f t="shared" ref="AJ38:AJ64" si="38">(AA38+AC38)</f>
        <v>687.0350309063125</v>
      </c>
      <c r="AK38" s="147">
        <f t="shared" ref="AK38:AK64" si="39">(AE38+AG38)</f>
        <v>600.53410823447462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297.87274125151043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2.1448673376549786E-3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297.87274125151043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297.87274125151043</v>
      </c>
      <c r="AJ40" s="148">
        <f t="shared" si="38"/>
        <v>297.87274125151043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144.95023905182984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1.0437310645523006E-3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144.95023905182984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144.95023905182984</v>
      </c>
      <c r="AJ41" s="148">
        <f t="shared" si="38"/>
        <v>144.95023905182984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135.28688978170783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9.7414899358214699E-4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33.821722445426957</v>
      </c>
      <c r="AB43" s="156">
        <f>Poor!AB43</f>
        <v>0.25</v>
      </c>
      <c r="AC43" s="147">
        <f t="shared" si="41"/>
        <v>33.821722445426957</v>
      </c>
      <c r="AD43" s="156">
        <f>Poor!AD43</f>
        <v>0.25</v>
      </c>
      <c r="AE43" s="147">
        <f t="shared" si="42"/>
        <v>33.821722445426957</v>
      </c>
      <c r="AF43" s="122">
        <f t="shared" si="29"/>
        <v>0.25</v>
      </c>
      <c r="AG43" s="147">
        <f t="shared" si="36"/>
        <v>33.821722445426957</v>
      </c>
      <c r="AH43" s="123">
        <f t="shared" si="37"/>
        <v>1</v>
      </c>
      <c r="AI43" s="112">
        <f t="shared" si="37"/>
        <v>135.28688978170783</v>
      </c>
      <c r="AJ43" s="148">
        <f t="shared" si="38"/>
        <v>67.643444890853914</v>
      </c>
      <c r="AK43" s="147">
        <f t="shared" si="39"/>
        <v>67.643444890853914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181.1877988147873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1.3046638306903756E-3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45.296949703696825</v>
      </c>
      <c r="AB44" s="156">
        <f>Poor!AB44</f>
        <v>0.25</v>
      </c>
      <c r="AC44" s="147">
        <f t="shared" si="41"/>
        <v>45.296949703696825</v>
      </c>
      <c r="AD44" s="156">
        <f>Poor!AD44</f>
        <v>0.25</v>
      </c>
      <c r="AE44" s="147">
        <f t="shared" si="42"/>
        <v>45.296949703696825</v>
      </c>
      <c r="AF44" s="122">
        <f t="shared" si="29"/>
        <v>0.25</v>
      </c>
      <c r="AG44" s="147">
        <f t="shared" si="36"/>
        <v>45.296949703696825</v>
      </c>
      <c r="AH44" s="123">
        <f t="shared" si="37"/>
        <v>1</v>
      </c>
      <c r="AI44" s="112">
        <f t="shared" si="37"/>
        <v>181.1877988147873</v>
      </c>
      <c r="AJ44" s="148">
        <f t="shared" si="38"/>
        <v>90.59389940739365</v>
      </c>
      <c r="AK44" s="147">
        <f t="shared" si="39"/>
        <v>90.59389940739365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422.77153056783698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3.0442156049442096E-3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105.69288264195924</v>
      </c>
      <c r="AB45" s="156">
        <f>Poor!AB45</f>
        <v>0.25</v>
      </c>
      <c r="AC45" s="147">
        <f t="shared" si="41"/>
        <v>105.69288264195924</v>
      </c>
      <c r="AD45" s="156">
        <f>Poor!AD45</f>
        <v>0.25</v>
      </c>
      <c r="AE45" s="147">
        <f t="shared" si="42"/>
        <v>105.69288264195924</v>
      </c>
      <c r="AF45" s="122">
        <f t="shared" si="29"/>
        <v>0.25</v>
      </c>
      <c r="AG45" s="147">
        <f t="shared" si="36"/>
        <v>105.69288264195924</v>
      </c>
      <c r="AH45" s="123">
        <f t="shared" si="37"/>
        <v>1</v>
      </c>
      <c r="AI45" s="112">
        <f t="shared" si="37"/>
        <v>422.77153056783698</v>
      </c>
      <c r="AJ45" s="148">
        <f t="shared" si="38"/>
        <v>211.38576528391849</v>
      </c>
      <c r="AK45" s="147">
        <f t="shared" si="39"/>
        <v>211.38576528391849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60.395932938262419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4.3488794356345844E-4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15.098983234565605</v>
      </c>
      <c r="AB46" s="156">
        <f>Poor!AB46</f>
        <v>0.25</v>
      </c>
      <c r="AC46" s="147">
        <f t="shared" si="41"/>
        <v>15.098983234565605</v>
      </c>
      <c r="AD46" s="156">
        <f>Poor!AD46</f>
        <v>0.25</v>
      </c>
      <c r="AE46" s="147">
        <f t="shared" si="42"/>
        <v>15.098983234565605</v>
      </c>
      <c r="AF46" s="122">
        <f t="shared" si="29"/>
        <v>0.25</v>
      </c>
      <c r="AG46" s="147">
        <f t="shared" si="36"/>
        <v>15.098983234565605</v>
      </c>
      <c r="AH46" s="123">
        <f t="shared" si="37"/>
        <v>1</v>
      </c>
      <c r="AI46" s="112">
        <f t="shared" si="37"/>
        <v>60.395932938262419</v>
      </c>
      <c r="AJ46" s="148">
        <f t="shared" si="38"/>
        <v>30.19796646913121</v>
      </c>
      <c r="AK46" s="147">
        <f t="shared" si="39"/>
        <v>30.19796646913121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67.643444890853914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4.8707449679107349E-4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16.910861222713478</v>
      </c>
      <c r="AB47" s="156">
        <f>Poor!AB47</f>
        <v>0.25</v>
      </c>
      <c r="AC47" s="147">
        <f t="shared" si="41"/>
        <v>16.910861222713478</v>
      </c>
      <c r="AD47" s="156">
        <f>Poor!AD47</f>
        <v>0.25</v>
      </c>
      <c r="AE47" s="147">
        <f t="shared" si="42"/>
        <v>16.910861222713478</v>
      </c>
      <c r="AF47" s="122">
        <f t="shared" si="29"/>
        <v>0.25</v>
      </c>
      <c r="AG47" s="147">
        <f t="shared" si="36"/>
        <v>16.910861222713478</v>
      </c>
      <c r="AH47" s="123">
        <f t="shared" si="37"/>
        <v>1</v>
      </c>
      <c r="AI47" s="112">
        <f t="shared" si="37"/>
        <v>67.643444890853914</v>
      </c>
      <c r="AJ47" s="148">
        <f t="shared" si="38"/>
        <v>33.821722445426957</v>
      </c>
      <c r="AK47" s="147">
        <f t="shared" si="39"/>
        <v>33.821722445426957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48144</v>
      </c>
      <c r="J57" s="38">
        <f t="shared" si="32"/>
        <v>48144.000000000007</v>
      </c>
      <c r="K57" s="40">
        <f t="shared" si="33"/>
        <v>0.73446287002167387</v>
      </c>
      <c r="L57" s="22">
        <f t="shared" si="34"/>
        <v>0.34666647465023004</v>
      </c>
      <c r="M57" s="24">
        <f t="shared" si="35"/>
        <v>0.34666647465023009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63205.5</v>
      </c>
      <c r="J65" s="39">
        <f>SUM(J37:J64)</f>
        <v>71336.897803152548</v>
      </c>
      <c r="K65" s="40">
        <f>SUM(K37:K64)</f>
        <v>1</v>
      </c>
      <c r="L65" s="22">
        <f>SUM(L37:L64)</f>
        <v>0.52298033511668596</v>
      </c>
      <c r="M65" s="24">
        <f>SUM(M37:M64)</f>
        <v>0.51366963430339474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5109.6409567116234</v>
      </c>
      <c r="AB65" s="137"/>
      <c r="AC65" s="153">
        <f>SUM(AC37:AC64)</f>
        <v>7142.8219886576007</v>
      </c>
      <c r="AD65" s="137"/>
      <c r="AE65" s="153">
        <f>SUM(AE37:AE64)</f>
        <v>7068.5131249480028</v>
      </c>
      <c r="AF65" s="137"/>
      <c r="AG65" s="153">
        <f>SUM(AG37:AG64)</f>
        <v>3871.9217328353188</v>
      </c>
      <c r="AH65" s="137"/>
      <c r="AI65" s="153">
        <f>SUM(AI37:AI64)</f>
        <v>23192.897803152548</v>
      </c>
      <c r="AJ65" s="153">
        <f>SUM(AJ37:AJ64)</f>
        <v>12252.462945369225</v>
      </c>
      <c r="AK65" s="153">
        <f>SUM(AK37:AK64)</f>
        <v>10940.434857783323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7276.5094380977289</v>
      </c>
      <c r="K73" s="40">
        <f>B73/B$76</f>
        <v>7.668656436991006E-2</v>
      </c>
      <c r="L73" s="22">
        <f t="shared" si="45"/>
        <v>9.0490145956493864E-2</v>
      </c>
      <c r="M73" s="24">
        <f>J73/B$76</f>
        <v>5.239535299652015E-2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49045.366338009619</v>
      </c>
      <c r="J74" s="51">
        <f t="shared" si="44"/>
        <v>6821.6013697311009</v>
      </c>
      <c r="K74" s="40">
        <f>B74/B$76</f>
        <v>3.3389479046744219E-2</v>
      </c>
      <c r="L74" s="22">
        <f t="shared" si="45"/>
        <v>1.5161825626018741E-2</v>
      </c>
      <c r="M74" s="24">
        <f>J74/B$76</f>
        <v>4.9119734511338095E-2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1569.6075412140246</v>
      </c>
      <c r="AB74" s="156"/>
      <c r="AC74" s="147">
        <f>AC30*$I$84/4</f>
        <v>3602.7885731600022</v>
      </c>
      <c r="AD74" s="156"/>
      <c r="AE74" s="147">
        <f>AE30*$I$84/4</f>
        <v>3528.4797094504047</v>
      </c>
      <c r="AF74" s="156"/>
      <c r="AG74" s="147">
        <f>AG30*$I$84/4</f>
        <v>331.88831733771985</v>
      </c>
      <c r="AH74" s="155"/>
      <c r="AI74" s="147">
        <f>SUM(AA74,AC74,AE74,AG74)</f>
        <v>9032.7641411621516</v>
      </c>
      <c r="AJ74" s="148">
        <f>(AA74+AC74)</f>
        <v>5172.3961143740271</v>
      </c>
      <c r="AK74" s="147">
        <f>(AE74+AG74)</f>
        <v>3860.3680267881246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0.55421887568104133</v>
      </c>
      <c r="L75" s="22">
        <f t="shared" si="45"/>
        <v>5.1738167386369176E-3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63205.500000000015</v>
      </c>
      <c r="J76" s="51">
        <f t="shared" si="44"/>
        <v>71336.897803152562</v>
      </c>
      <c r="K76" s="40">
        <f>SUM(K70:K75)</f>
        <v>1</v>
      </c>
      <c r="L76" s="22">
        <f>SUM(L70:L75)</f>
        <v>0.52298033511668607</v>
      </c>
      <c r="M76" s="24">
        <f>SUM(M70:M75)</f>
        <v>0.51366963430339474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5109.6409567116234</v>
      </c>
      <c r="AB76" s="137"/>
      <c r="AC76" s="153">
        <f>AC65</f>
        <v>7142.8219886576007</v>
      </c>
      <c r="AD76" s="137"/>
      <c r="AE76" s="153">
        <f>AE65</f>
        <v>7068.5131249480028</v>
      </c>
      <c r="AF76" s="137"/>
      <c r="AG76" s="153">
        <f>AG65</f>
        <v>3871.9217328353188</v>
      </c>
      <c r="AH76" s="137"/>
      <c r="AI76" s="153">
        <f>SUM(AA76,AC76,AE76,AG76)</f>
        <v>23192.897803152548</v>
      </c>
      <c r="AJ76" s="154">
        <f>SUM(AA76,AC76)</f>
        <v>12252.462945369225</v>
      </c>
      <c r="AK76" s="154">
        <f>SUM(AE76,AG76)</f>
        <v>10940.434857783323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2715.963736189879</v>
      </c>
      <c r="AH77" s="110"/>
      <c r="AI77" s="154">
        <f>SUM(AA77,AC77,AE77,AG77)</f>
        <v>2715.963736189879</v>
      </c>
      <c r="AJ77" s="153">
        <f>SUM(AA77,AC77)</f>
        <v>0</v>
      </c>
      <c r="AK77" s="160">
        <f>SUM(AE77,AG77)</f>
        <v>2715.963736189879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1569.6075412140249</v>
      </c>
      <c r="AB79" s="112"/>
      <c r="AC79" s="112">
        <f>AA79-AA74+AC65-AC70</f>
        <v>3602.7885731600022</v>
      </c>
      <c r="AD79" s="112"/>
      <c r="AE79" s="112">
        <f>AC79-AC74+AE65-AE70</f>
        <v>3528.4797094504042</v>
      </c>
      <c r="AF79" s="112"/>
      <c r="AG79" s="112">
        <f>AE79-AE74+AG65-AG70</f>
        <v>331.88831733771985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0.75276199881334493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0.75276199881334493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8.6102622373445431E-2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8.6102622373445431E-2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1.9919415102195474E-2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1.9919415102195474E-2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9.6931460351316143E-3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9.6931460351316143E-3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9.0469362994561719E-3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9.0469362994561719E-3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1.2116432543914517E-2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1.2116432543914517E-2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2.8271675935800537E-2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2.8271675935800537E-2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4.038810847971505E-3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4.038810847971505E-3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4.5234681497280859E-3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4.5234681497280859E-3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0.28606060606060607</v>
      </c>
      <c r="I111" s="22">
        <f t="shared" si="58"/>
        <v>3.2194967443172722</v>
      </c>
      <c r="J111" s="24">
        <f t="shared" si="59"/>
        <v>3.2194967443172722</v>
      </c>
      <c r="K111" s="22">
        <f t="shared" si="60"/>
        <v>11.254596669753175</v>
      </c>
      <c r="L111" s="22">
        <f t="shared" si="61"/>
        <v>3.2194967443172722</v>
      </c>
      <c r="M111" s="226">
        <f t="shared" si="62"/>
        <v>3.2194967443172722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4.2266928687467882</v>
      </c>
      <c r="J119" s="24">
        <f>SUM(J91:J118)</f>
        <v>4.7704575902904534</v>
      </c>
      <c r="K119" s="22">
        <f>SUM(K91:K118)</f>
        <v>15.323574722601096</v>
      </c>
      <c r="L119" s="22">
        <f>SUM(L91:L118)</f>
        <v>4.8569262082493943</v>
      </c>
      <c r="M119" s="57">
        <f t="shared" si="49"/>
        <v>4.7704575902904534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0.48659642833893191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0.48659642833893191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3.2797731233189991</v>
      </c>
      <c r="J128" s="227">
        <f>(J30)</f>
        <v>0.45617571038716187</v>
      </c>
      <c r="K128" s="22">
        <f>(B128)</f>
        <v>0.51164617712150862</v>
      </c>
      <c r="L128" s="22">
        <f>IF(L124=L119,0,(L119-L124)/(B119-B124)*K128)</f>
        <v>0.14080810176445233</v>
      </c>
      <c r="M128" s="57">
        <f t="shared" si="63"/>
        <v>0.45617571038716187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8.4926143541744032</v>
      </c>
      <c r="L129" s="60">
        <f>IF(SUM(L124:L128)&gt;L130,0,L130-SUM(L124:L128))</f>
        <v>4.8049313573058861E-2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4.2266928687467882</v>
      </c>
      <c r="J130" s="227">
        <f>(J119)</f>
        <v>4.7704575902904534</v>
      </c>
      <c r="K130" s="22">
        <f>(B130)</f>
        <v>15.323574722601096</v>
      </c>
      <c r="L130" s="22">
        <f>(L119)</f>
        <v>4.8569262082493943</v>
      </c>
      <c r="M130" s="57">
        <f t="shared" si="63"/>
        <v>4.7704575902904534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2670.2720593760691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9474.30982948364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8.0822675671155544E-2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8.0822675671155544E-2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0.32329070268462218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0.32329070268462218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8.0822675671155544E-2</v>
      </c>
      <c r="AJ9" s="120">
        <f t="shared" si="14"/>
        <v>0.16164535134231109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16033.029210992572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1.4432794201285824E-2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1.4432794201285824E-2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5.7731176805143294E-2</v>
      </c>
      <c r="Z13" s="156">
        <f>Poor!Z13</f>
        <v>1</v>
      </c>
      <c r="AA13" s="121">
        <f>$M13*Z13*4</f>
        <v>5.7731176805143294E-2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1.4432794201285824E-2</v>
      </c>
      <c r="AJ13" s="120">
        <f t="shared" si="14"/>
        <v>2.8865588402571647E-2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2.5570506156048459E-2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2.5570506156048459E-2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55381.333333333336</v>
      </c>
      <c r="T14" s="221">
        <f>IF($B$81=0,0,(SUMIF($N$6:$N$28,$U14,M$6:M$28)+SUMIF($N$91:$N$118,$U14,M$91:M$118))*$I$83*Poor!$B$81/$B$81)</f>
        <v>55381.333333333336</v>
      </c>
      <c r="U14" s="222">
        <v>8</v>
      </c>
      <c r="V14" s="56"/>
      <c r="W14" s="110"/>
      <c r="X14" s="118"/>
      <c r="Y14" s="183">
        <f>M14*4</f>
        <v>0.10228202462419383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0.10228202462419383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2.5570506156048459E-2</v>
      </c>
      <c r="AJ14" s="120">
        <f t="shared" si="14"/>
        <v>5.1141012312096917E-2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1.8717356765864204E-3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1.8717356765864204E-3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7.4869427063456815E-3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7.4869427063456815E-3</v>
      </c>
      <c r="AH16" s="123">
        <f t="shared" si="12"/>
        <v>1</v>
      </c>
      <c r="AI16" s="183">
        <f t="shared" si="13"/>
        <v>1.8717356765864204E-3</v>
      </c>
      <c r="AJ16" s="120">
        <f t="shared" si="14"/>
        <v>0</v>
      </c>
      <c r="AK16" s="119">
        <f t="shared" si="15"/>
        <v>3.7434713531728408E-3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2.6066863558015523E-3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2.6066863558015523E-3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1.0426745423206209E-2</v>
      </c>
      <c r="Z17" s="156">
        <f>Poor!Z17</f>
        <v>0.29409999999999997</v>
      </c>
      <c r="AA17" s="121">
        <f t="shared" si="16"/>
        <v>3.0665058289649459E-3</v>
      </c>
      <c r="AB17" s="156">
        <f>Poor!AB17</f>
        <v>0.17649999999999999</v>
      </c>
      <c r="AC17" s="121">
        <f t="shared" si="7"/>
        <v>1.8403205671958958E-3</v>
      </c>
      <c r="AD17" s="156">
        <f>Poor!AD17</f>
        <v>0.23530000000000001</v>
      </c>
      <c r="AE17" s="121">
        <f t="shared" si="8"/>
        <v>2.4534131980804212E-3</v>
      </c>
      <c r="AF17" s="122">
        <f t="shared" si="10"/>
        <v>0.29410000000000003</v>
      </c>
      <c r="AG17" s="121">
        <f t="shared" si="11"/>
        <v>3.0665058289649464E-3</v>
      </c>
      <c r="AH17" s="123">
        <f t="shared" si="12"/>
        <v>1</v>
      </c>
      <c r="AI17" s="183">
        <f t="shared" si="13"/>
        <v>2.6066863558015523E-3</v>
      </c>
      <c r="AJ17" s="120">
        <f t="shared" si="14"/>
        <v>2.4534131980804208E-3</v>
      </c>
      <c r="AK17" s="119">
        <f t="shared" si="15"/>
        <v>2.7599595135226838E-3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112982.12064003658</v>
      </c>
      <c r="T23" s="179">
        <f>SUM(T7:T22)</f>
        <v>113410.76537615088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4.1043974777805699E-2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4.1043974777805699E-2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0.1641758991112228</v>
      </c>
      <c r="Z27" s="156">
        <f>Poor!Z27</f>
        <v>0.25</v>
      </c>
      <c r="AA27" s="121">
        <f t="shared" si="16"/>
        <v>4.1043974777805699E-2</v>
      </c>
      <c r="AB27" s="156">
        <f>Poor!AB27</f>
        <v>0.25</v>
      </c>
      <c r="AC27" s="121">
        <f t="shared" si="7"/>
        <v>4.1043974777805699E-2</v>
      </c>
      <c r="AD27" s="156">
        <f>Poor!AD27</f>
        <v>0.25</v>
      </c>
      <c r="AE27" s="121">
        <f t="shared" si="8"/>
        <v>4.1043974777805699E-2</v>
      </c>
      <c r="AF27" s="122">
        <f t="shared" si="10"/>
        <v>0.25</v>
      </c>
      <c r="AG27" s="121">
        <f t="shared" si="11"/>
        <v>4.1043974777805699E-2</v>
      </c>
      <c r="AH27" s="123">
        <f t="shared" si="12"/>
        <v>1</v>
      </c>
      <c r="AI27" s="183">
        <f t="shared" si="13"/>
        <v>4.1043974777805699E-2</v>
      </c>
      <c r="AJ27" s="120">
        <f t="shared" si="14"/>
        <v>4.1043974777805699E-2</v>
      </c>
      <c r="AK27" s="119">
        <f t="shared" si="15"/>
        <v>4.1043974777805699E-2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3.8957491489228988E-3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3.8957491489228988E-3</v>
      </c>
      <c r="N28" s="228"/>
      <c r="O28" s="2"/>
      <c r="P28" s="22"/>
      <c r="V28" s="56"/>
      <c r="W28" s="110"/>
      <c r="X28" s="118"/>
      <c r="Y28" s="183">
        <f t="shared" si="9"/>
        <v>1.5582996595691595E-2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7.7914982978457975E-3</v>
      </c>
      <c r="AF28" s="122">
        <f t="shared" si="10"/>
        <v>0.5</v>
      </c>
      <c r="AG28" s="121">
        <f t="shared" si="11"/>
        <v>7.7914982978457975E-3</v>
      </c>
      <c r="AH28" s="123">
        <f t="shared" si="12"/>
        <v>1</v>
      </c>
      <c r="AI28" s="183">
        <f t="shared" si="13"/>
        <v>3.8957491489228988E-3</v>
      </c>
      <c r="AJ28" s="120">
        <f t="shared" si="14"/>
        <v>0</v>
      </c>
      <c r="AK28" s="119">
        <f t="shared" si="15"/>
        <v>7.7914982978457975E-3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0.22369913611814396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0.22369913611814396</v>
      </c>
      <c r="N29" s="228"/>
      <c r="P29" s="22"/>
      <c r="V29" s="56"/>
      <c r="W29" s="110"/>
      <c r="X29" s="118"/>
      <c r="Y29" s="183">
        <f t="shared" si="9"/>
        <v>0.89479654447257584</v>
      </c>
      <c r="Z29" s="156">
        <f>Poor!Z29</f>
        <v>0.25</v>
      </c>
      <c r="AA29" s="121">
        <f t="shared" si="16"/>
        <v>0.22369913611814396</v>
      </c>
      <c r="AB29" s="156">
        <f>Poor!AB29</f>
        <v>0.25</v>
      </c>
      <c r="AC29" s="121">
        <f t="shared" si="7"/>
        <v>0.22369913611814396</v>
      </c>
      <c r="AD29" s="156">
        <f>Poor!AD29</f>
        <v>0.25</v>
      </c>
      <c r="AE29" s="121">
        <f t="shared" si="8"/>
        <v>0.22369913611814396</v>
      </c>
      <c r="AF29" s="122">
        <f t="shared" si="10"/>
        <v>0.25</v>
      </c>
      <c r="AG29" s="121">
        <f t="shared" si="11"/>
        <v>0.22369913611814396</v>
      </c>
      <c r="AH29" s="123">
        <f t="shared" si="12"/>
        <v>1</v>
      </c>
      <c r="AI29" s="183">
        <f t="shared" si="13"/>
        <v>0.22369913611814396</v>
      </c>
      <c r="AJ29" s="120">
        <f t="shared" si="14"/>
        <v>0.22369913611814396</v>
      </c>
      <c r="AK29" s="119">
        <f t="shared" si="15"/>
        <v>0.22369913611814396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5.3147461189474772</v>
      </c>
      <c r="J30" s="230">
        <f>IF(I$32&lt;=1,I30,1-SUM(J6:J29))</f>
        <v>0.46338863305636002</v>
      </c>
      <c r="K30" s="22">
        <f t="shared" si="4"/>
        <v>0.57612499925280203</v>
      </c>
      <c r="L30" s="22">
        <f>IF(L124=L119,0,IF(K30="",0,(L119-L124)/(B119-B124)*K30))</f>
        <v>0.16734064563582218</v>
      </c>
      <c r="M30" s="175">
        <f t="shared" si="6"/>
        <v>0.46338863305636002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1.8535545322254401</v>
      </c>
      <c r="Z30" s="122">
        <f>IF($Y30=0,0,AA30/($Y$30))</f>
        <v>7.4626356321469051E-2</v>
      </c>
      <c r="AA30" s="187">
        <f>IF(AA79*4/$I$83+SUM(AA6:AA29)&lt;1,AA79*4/$I$83,1-SUM(AA6:AA29))</f>
        <v>0.13832402098312957</v>
      </c>
      <c r="AB30" s="122">
        <f>IF($Y30=0,0,AC30/($Y$30))</f>
        <v>0.29186688735863064</v>
      </c>
      <c r="AC30" s="187">
        <f>IF(AC79*4/$I$83+SUM(AC6:AC29)&lt;1,AC79*4/$I$83,1-SUM(AC6:AC29))</f>
        <v>0.54099119187012179</v>
      </c>
      <c r="AD30" s="122">
        <f>IF($Y30=0,0,AE30/($Y$30))</f>
        <v>0.33665595649344177</v>
      </c>
      <c r="AE30" s="187">
        <f>IF(AE79*4/$I$83+SUM(AE6:AE29)&lt;1,AE79*4/$I$83,1-SUM(AE6:AE29))</f>
        <v>0.62401017395910952</v>
      </c>
      <c r="AF30" s="122">
        <f>IF($Y30=0,0,AG30/($Y$30))</f>
        <v>0.29685079982645846</v>
      </c>
      <c r="AG30" s="187">
        <f>IF(AG79*4/$I$83+SUM(AG6:AG29)&lt;1,AG79*4/$I$83,1-SUM(AG6:AG29))</f>
        <v>0.55022914541307899</v>
      </c>
      <c r="AH30" s="123">
        <f t="shared" si="12"/>
        <v>1</v>
      </c>
      <c r="AI30" s="183">
        <f t="shared" si="13"/>
        <v>0.46338863305635997</v>
      </c>
      <c r="AJ30" s="120">
        <f t="shared" si="14"/>
        <v>0.33965760642662568</v>
      </c>
      <c r="AK30" s="119">
        <f t="shared" si="15"/>
        <v>0.58711965968609425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0.32758079824525865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6.1562862374683354</v>
      </c>
      <c r="J32" s="17"/>
      <c r="L32" s="22">
        <f>SUM(L6:L30)</f>
        <v>0.67241920175474135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9.3718909820229637E-2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14381.176627175739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6.2276125802966056E-2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14381.176627175739</v>
      </c>
      <c r="AH37" s="123">
        <f>SUM(Z37,AB37,AD37,AF37)</f>
        <v>1</v>
      </c>
      <c r="AI37" s="112">
        <f>SUM(AA37,AC37,AE37,AG37)</f>
        <v>14381.176627175739</v>
      </c>
      <c r="AJ37" s="148">
        <f>(AA37+AC37)</f>
        <v>0</v>
      </c>
      <c r="AK37" s="147">
        <f>(AE37+AG37)</f>
        <v>14381.176627175739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3622.9412351909027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1.5688754125524638E-2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3622.9412351909027</v>
      </c>
      <c r="AH38" s="123">
        <f t="shared" ref="AH38:AI58" si="35">SUM(Z38,AB38,AD38,AF38)</f>
        <v>1</v>
      </c>
      <c r="AI38" s="112">
        <f t="shared" si="35"/>
        <v>3622.9412351909027</v>
      </c>
      <c r="AJ38" s="148">
        <f t="shared" ref="AJ38:AJ64" si="36">(AA38+AC38)</f>
        <v>0</v>
      </c>
      <c r="AK38" s="147">
        <f t="shared" ref="AK38:AK64" si="37">(AE38+AG38)</f>
        <v>3622.9412351909027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1865.1264835899676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8.0767279716877603E-3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1865.1264835899676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1865.1264835899676</v>
      </c>
      <c r="AJ40" s="148">
        <f t="shared" si="36"/>
        <v>1865.1264835899676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913.5313389012083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3.9559483942960445E-3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228.38283472530208</v>
      </c>
      <c r="AB43" s="156">
        <f>Poor!AB43</f>
        <v>0.25</v>
      </c>
      <c r="AC43" s="147">
        <f t="shared" si="39"/>
        <v>228.38283472530208</v>
      </c>
      <c r="AD43" s="156">
        <f>Poor!AD43</f>
        <v>0.25</v>
      </c>
      <c r="AE43" s="147">
        <f t="shared" si="40"/>
        <v>228.38283472530208</v>
      </c>
      <c r="AF43" s="122">
        <f t="shared" si="31"/>
        <v>0.25</v>
      </c>
      <c r="AG43" s="147">
        <f t="shared" si="34"/>
        <v>228.38283472530208</v>
      </c>
      <c r="AH43" s="123">
        <f t="shared" si="35"/>
        <v>1</v>
      </c>
      <c r="AI43" s="112">
        <f t="shared" si="35"/>
        <v>913.5313389012083</v>
      </c>
      <c r="AJ43" s="148">
        <f t="shared" si="36"/>
        <v>456.76566945060415</v>
      </c>
      <c r="AK43" s="147">
        <f t="shared" si="37"/>
        <v>456.76566945060415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989.65895047630909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4.2856107604873819E-3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247.41473761907727</v>
      </c>
      <c r="AB44" s="156">
        <f>Poor!AB44</f>
        <v>0.25</v>
      </c>
      <c r="AC44" s="147">
        <f t="shared" si="39"/>
        <v>247.41473761907727</v>
      </c>
      <c r="AD44" s="156">
        <f>Poor!AD44</f>
        <v>0.25</v>
      </c>
      <c r="AE44" s="147">
        <f t="shared" si="40"/>
        <v>247.41473761907727</v>
      </c>
      <c r="AF44" s="122">
        <f t="shared" si="31"/>
        <v>0.25</v>
      </c>
      <c r="AG44" s="147">
        <f t="shared" si="34"/>
        <v>247.41473761907727</v>
      </c>
      <c r="AH44" s="123">
        <f t="shared" si="35"/>
        <v>1</v>
      </c>
      <c r="AI44" s="112">
        <f t="shared" si="35"/>
        <v>989.65895047630909</v>
      </c>
      <c r="AJ44" s="148">
        <f t="shared" si="36"/>
        <v>494.82947523815454</v>
      </c>
      <c r="AK44" s="147">
        <f t="shared" si="37"/>
        <v>494.82947523815454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1065.7865620514096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4.6152731266787183E-3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266.44664051285241</v>
      </c>
      <c r="AB46" s="156">
        <f>Poor!AB46</f>
        <v>0.25</v>
      </c>
      <c r="AC46" s="147">
        <f t="shared" si="39"/>
        <v>266.44664051285241</v>
      </c>
      <c r="AD46" s="156">
        <f>Poor!AD46</f>
        <v>0.25</v>
      </c>
      <c r="AE46" s="147">
        <f t="shared" si="40"/>
        <v>266.44664051285241</v>
      </c>
      <c r="AF46" s="122">
        <f t="shared" si="31"/>
        <v>0.25</v>
      </c>
      <c r="AG46" s="147">
        <f t="shared" si="34"/>
        <v>266.44664051285241</v>
      </c>
      <c r="AH46" s="123">
        <f t="shared" si="35"/>
        <v>1</v>
      </c>
      <c r="AI46" s="112">
        <f t="shared" si="35"/>
        <v>1065.7865620514096</v>
      </c>
      <c r="AJ46" s="148">
        <f t="shared" si="36"/>
        <v>532.89328102570482</v>
      </c>
      <c r="AK46" s="147">
        <f t="shared" si="37"/>
        <v>532.89328102570482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152.25522315020137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6.5932473238267402E-4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38.063805787550343</v>
      </c>
      <c r="AB47" s="156">
        <f>Poor!AB47</f>
        <v>0.25</v>
      </c>
      <c r="AC47" s="147">
        <f t="shared" si="39"/>
        <v>38.063805787550343</v>
      </c>
      <c r="AD47" s="156">
        <f>Poor!AD47</f>
        <v>0.25</v>
      </c>
      <c r="AE47" s="147">
        <f t="shared" si="40"/>
        <v>38.063805787550343</v>
      </c>
      <c r="AF47" s="122">
        <f t="shared" si="31"/>
        <v>0.25</v>
      </c>
      <c r="AG47" s="147">
        <f t="shared" si="34"/>
        <v>38.063805787550343</v>
      </c>
      <c r="AH47" s="123">
        <f t="shared" si="35"/>
        <v>1</v>
      </c>
      <c r="AI47" s="112">
        <f t="shared" si="35"/>
        <v>152.25522315020137</v>
      </c>
      <c r="AJ47" s="148">
        <f t="shared" si="36"/>
        <v>76.127611575100687</v>
      </c>
      <c r="AK47" s="147">
        <f t="shared" si="37"/>
        <v>76.127611575100687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62304</v>
      </c>
      <c r="J57" s="38">
        <f t="shared" si="33"/>
        <v>62304</v>
      </c>
      <c r="K57" s="40">
        <f t="shared" si="43"/>
        <v>0.5716116851285693</v>
      </c>
      <c r="L57" s="22">
        <f t="shared" si="44"/>
        <v>0.26980071538068467</v>
      </c>
      <c r="M57" s="24">
        <f t="shared" si="45"/>
        <v>0.26980071538068473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120389.48</v>
      </c>
      <c r="J65" s="39">
        <f>SUM(J37:J64)</f>
        <v>122434.95642053573</v>
      </c>
      <c r="K65" s="40">
        <f>SUM(K37:K64)</f>
        <v>1</v>
      </c>
      <c r="L65" s="22">
        <f>SUM(L37:L64)</f>
        <v>0.53110728112035877</v>
      </c>
      <c r="M65" s="24">
        <f>SUM(M37:M64)</f>
        <v>0.5301913011983741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11955.334502234746</v>
      </c>
      <c r="AB65" s="137"/>
      <c r="AC65" s="153">
        <f>SUM(AC37:AC64)</f>
        <v>9861.1680186447811</v>
      </c>
      <c r="AD65" s="137"/>
      <c r="AE65" s="153">
        <f>SUM(AE37:AE64)</f>
        <v>10253.168018644781</v>
      </c>
      <c r="AF65" s="137"/>
      <c r="AG65" s="153">
        <f>SUM(AG37:AG64)</f>
        <v>28061.285881011423</v>
      </c>
      <c r="AH65" s="137"/>
      <c r="AI65" s="153">
        <f>SUM(AI37:AI64)</f>
        <v>60130.956420535731</v>
      </c>
      <c r="AJ65" s="153">
        <f>SUM(AJ37:AJ64)</f>
        <v>21816.502520879527</v>
      </c>
      <c r="AK65" s="153">
        <f>SUM(AK37:AK64)</f>
        <v>38314.453899656211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102183.5938631552</v>
      </c>
      <c r="J74" s="51">
        <f>J128*I$83</f>
        <v>8909.3090848168304</v>
      </c>
      <c r="K74" s="40">
        <f>B74/B$76</f>
        <v>2.9070907747959899E-2</v>
      </c>
      <c r="L74" s="22">
        <f>(L128*G$37*F$9/F$7)/B$130</f>
        <v>1.3932442419300153E-2</v>
      </c>
      <c r="M74" s="24">
        <f>J74/B$76</f>
        <v>3.8580796812904695E-2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664.86927434164204</v>
      </c>
      <c r="AB74" s="156"/>
      <c r="AC74" s="147">
        <f>AC30*$I$83/4</f>
        <v>2600.3323111014583</v>
      </c>
      <c r="AD74" s="156"/>
      <c r="AE74" s="147">
        <f>AE30*$I$83/4</f>
        <v>2999.3719716447199</v>
      </c>
      <c r="AF74" s="156"/>
      <c r="AG74" s="147">
        <f>AG30*$I$83/4</f>
        <v>2644.7355277290089</v>
      </c>
      <c r="AH74" s="155"/>
      <c r="AI74" s="147">
        <f>SUM(AA74,AC74,AE74,AG74)</f>
        <v>8909.3090848168285</v>
      </c>
      <c r="AJ74" s="148">
        <f>(AA74+AC74)</f>
        <v>3265.2015854431002</v>
      </c>
      <c r="AK74" s="147">
        <f>(AE74+AG74)</f>
        <v>5644.1074993737293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1700.9211988741095</v>
      </c>
      <c r="K75" s="40">
        <f>B75/B$76</f>
        <v>0.57105119031176255</v>
      </c>
      <c r="L75" s="22">
        <f>(L129*G$37*F$9/F$7)/B$130</f>
        <v>3.2929989109220674E-2</v>
      </c>
      <c r="M75" s="24">
        <f>J75/B$76</f>
        <v>7.3656547936313344E-3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25903.151313879018</v>
      </c>
      <c r="AB75" s="158"/>
      <c r="AC75" s="149">
        <f>AA75+AC65-SUM(AC70,AC74)</f>
        <v>28612.515487211138</v>
      </c>
      <c r="AD75" s="158"/>
      <c r="AE75" s="149">
        <f>AC75+AE65-SUM(AE70,AE74)</f>
        <v>31314.840000000004</v>
      </c>
      <c r="AF75" s="158"/>
      <c r="AG75" s="149">
        <f>IF(SUM(AG6:AG29)+((AG65-AG70-$J$75)*4/I$83)&lt;1,0,AG65-AG70-$J$75-(1-SUM(AG6:AG29))*I$83/4)</f>
        <v>19164.157620197111</v>
      </c>
      <c r="AH75" s="134"/>
      <c r="AI75" s="149">
        <f>AI76-SUM(AI70,AI74)</f>
        <v>33015.761198874112</v>
      </c>
      <c r="AJ75" s="151">
        <f>AJ76-SUM(AJ70,AJ74)</f>
        <v>9448.3578670140341</v>
      </c>
      <c r="AK75" s="149">
        <f>AJ75+AK76-SUM(AK70,AK74)</f>
        <v>33015.761198874112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120389.47999999998</v>
      </c>
      <c r="J76" s="51">
        <f>J130*I$83</f>
        <v>122434.95642053573</v>
      </c>
      <c r="K76" s="40">
        <f>SUM(K70:K75)</f>
        <v>0.79674008123814566</v>
      </c>
      <c r="L76" s="22">
        <f>SUM(L70:L75)</f>
        <v>0.29126057698137064</v>
      </c>
      <c r="M76" s="24">
        <f>SUM(M70:M75)</f>
        <v>0.29034459705938581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11955.334502234746</v>
      </c>
      <c r="AB76" s="137"/>
      <c r="AC76" s="153">
        <f>AC65</f>
        <v>9861.1680186447811</v>
      </c>
      <c r="AD76" s="137"/>
      <c r="AE76" s="153">
        <f>AE65</f>
        <v>10253.168018644781</v>
      </c>
      <c r="AF76" s="137"/>
      <c r="AG76" s="153">
        <f>AG65</f>
        <v>28061.285881011423</v>
      </c>
      <c r="AH76" s="137"/>
      <c r="AI76" s="153">
        <f>SUM(AA76,AC76,AE76,AG76)</f>
        <v>60130.956420535731</v>
      </c>
      <c r="AJ76" s="154">
        <f>SUM(AA76,AC76)</f>
        <v>21816.502520879527</v>
      </c>
      <c r="AK76" s="154">
        <f>SUM(AE76,AG76)</f>
        <v>38314.453899656204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19164.157620197111</v>
      </c>
      <c r="AB78" s="112"/>
      <c r="AC78" s="112">
        <f>IF(AA75&lt;0,0,AA75)</f>
        <v>25903.151313879018</v>
      </c>
      <c r="AD78" s="112"/>
      <c r="AE78" s="112">
        <f>AC75</f>
        <v>28612.515487211138</v>
      </c>
      <c r="AF78" s="112"/>
      <c r="AG78" s="112">
        <f>AE75</f>
        <v>31314.840000000004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26568.020588220661</v>
      </c>
      <c r="AB79" s="112"/>
      <c r="AC79" s="112">
        <f>AA79-AA74+AC65-AC70</f>
        <v>31212.847798312599</v>
      </c>
      <c r="AD79" s="112"/>
      <c r="AE79" s="112">
        <f>AC79-AC74+AE65-AE70</f>
        <v>34314.211971644727</v>
      </c>
      <c r="AF79" s="112"/>
      <c r="AG79" s="112">
        <f>AE79-AE74+AG65-AG70</f>
        <v>54824.654346800235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0.74798996370727544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0.74798996370727544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0.18843546347265924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0.18843546347265924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9.7008466479276897E-2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9.7008466479276897E-2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4.7514350928625403E-2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4.7514350928625403E-2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5.1473880172677525E-2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5.1473880172677525E-2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5.5433409416729633E-2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5.5433409416729633E-2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7.9190584881042338E-3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7.9190584881042338E-3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0.28606060606060607</v>
      </c>
      <c r="I111" s="22">
        <f t="shared" si="59"/>
        <v>3.2405392066984309</v>
      </c>
      <c r="J111" s="24">
        <f t="shared" si="60"/>
        <v>3.2405392066984309</v>
      </c>
      <c r="K111" s="22">
        <f t="shared" si="61"/>
        <v>11.32815612511104</v>
      </c>
      <c r="L111" s="22">
        <f t="shared" si="62"/>
        <v>3.2405392066984309</v>
      </c>
      <c r="M111" s="226">
        <f t="shared" si="63"/>
        <v>3.2405392066984309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6.2616658643752663</v>
      </c>
      <c r="J119" s="24">
        <f>SUM(J91:J118)</f>
        <v>6.3680546441827142</v>
      </c>
      <c r="K119" s="22">
        <f>SUM(K91:K118)</f>
        <v>19.817922585965089</v>
      </c>
      <c r="L119" s="22">
        <f>SUM(L91:L118)</f>
        <v>6.3790563527791946</v>
      </c>
      <c r="M119" s="57">
        <f t="shared" si="50"/>
        <v>6.3680546441827142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5.3147461189474772</v>
      </c>
      <c r="J128" s="227">
        <f>(J30)</f>
        <v>0.46338863305636002</v>
      </c>
      <c r="K128" s="22">
        <f>(B128)</f>
        <v>0.57612499925280203</v>
      </c>
      <c r="L128" s="22">
        <f>IF(L124=L119,0,(L119-L124)/(B119-B124)*K128)</f>
        <v>0.16734064563582218</v>
      </c>
      <c r="M128" s="57">
        <f t="shared" si="90"/>
        <v>0.46338863305636002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8.8467864542502106E-2</v>
      </c>
      <c r="K129" s="29">
        <f>(B129)</f>
        <v>11.317048282221727</v>
      </c>
      <c r="L129" s="60">
        <f>IF(SUM(L124:L128)&gt;L130,0,L130-SUM(L124:L128))</f>
        <v>0.39551756055952048</v>
      </c>
      <c r="M129" s="57">
        <f t="shared" si="90"/>
        <v>8.8467864542502106E-2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6.2616658643752663</v>
      </c>
      <c r="J130" s="227">
        <f>(J119)</f>
        <v>6.3680546441827142</v>
      </c>
      <c r="K130" s="22">
        <f>(B130)</f>
        <v>19.817922585965089</v>
      </c>
      <c r="L130" s="22">
        <f>(L119)</f>
        <v>6.3790563527791946</v>
      </c>
      <c r="M130" s="57">
        <f t="shared" si="90"/>
        <v>6.3680546441827142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1689.5832615799497</v>
      </c>
      <c r="H72" s="109">
        <f>Middle!T7</f>
        <v>1664.4441670054046</v>
      </c>
      <c r="I72" s="109">
        <f>Rich!T7</f>
        <v>2670.2720593760691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278.28262789890334</v>
      </c>
      <c r="H73" s="109">
        <f>Middle!T8</f>
        <v>1938.2269454820439</v>
      </c>
      <c r="I73" s="109">
        <f>Rich!T8</f>
        <v>9474.30982948364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14534.570543835149</v>
      </c>
      <c r="I76" s="109">
        <f>Rich!T11</f>
        <v>16033.029210992572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1633.1376167165199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55021.714285714297</v>
      </c>
      <c r="I79" s="109">
        <f>Rich!T14</f>
        <v>55381.333333333336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5977.559975525176</v>
      </c>
      <c r="G81" s="109">
        <f>Poor!T16</f>
        <v>2209.6307784839396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37591.235453492947</v>
      </c>
      <c r="G88" s="109">
        <f>Poor!T23</f>
        <v>47189.956381273347</v>
      </c>
      <c r="H88" s="109">
        <f>Middle!T23</f>
        <v>85519.014610357131</v>
      </c>
      <c r="I88" s="109">
        <f>Rich!T23</f>
        <v>113410.76537615088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8337.6826572816135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41075.602657281604</v>
      </c>
      <c r="G100" s="238">
        <f t="shared" si="0"/>
        <v>31476.881729501205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2016-06-02T07:24:08Z</dcterms:modified>
  <cp:category/>
</cp:coreProperties>
</file>