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20" yWindow="0" windowWidth="17760" windowHeight="167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E49" i="12"/>
  <c r="H103" i="12"/>
  <c r="I103" i="12"/>
  <c r="B50" i="12"/>
  <c r="B104" i="12"/>
  <c r="C50" i="12"/>
  <c r="C104" i="12"/>
  <c r="D104" i="12"/>
  <c r="G50" i="1"/>
  <c r="G50" i="12"/>
  <c r="F50" i="12"/>
  <c r="E50" i="12"/>
  <c r="H104" i="12"/>
  <c r="I104" i="12"/>
  <c r="B51" i="12"/>
  <c r="B105" i="12"/>
  <c r="C51" i="12"/>
  <c r="C105" i="12"/>
  <c r="D105" i="12"/>
  <c r="G51" i="1"/>
  <c r="G51" i="12"/>
  <c r="F51" i="12"/>
  <c r="E51" i="12"/>
  <c r="H105" i="12"/>
  <c r="I105" i="12"/>
  <c r="B52" i="12"/>
  <c r="B106" i="12"/>
  <c r="C52" i="12"/>
  <c r="C106" i="12"/>
  <c r="D106" i="12"/>
  <c r="G52" i="1"/>
  <c r="G52" i="12"/>
  <c r="F52" i="12"/>
  <c r="E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E54" i="12"/>
  <c r="H108" i="12"/>
  <c r="I108" i="12"/>
  <c r="B55" i="12"/>
  <c r="B109" i="12"/>
  <c r="C55" i="12"/>
  <c r="C109" i="12"/>
  <c r="D109" i="12"/>
  <c r="G55" i="1"/>
  <c r="G55" i="12"/>
  <c r="F55" i="12"/>
  <c r="E55" i="12"/>
  <c r="H109" i="12"/>
  <c r="I109" i="12"/>
  <c r="B56" i="12"/>
  <c r="B110" i="12"/>
  <c r="C56" i="12"/>
  <c r="C110" i="12"/>
  <c r="D110" i="12"/>
  <c r="G56" i="1"/>
  <c r="G56" i="12"/>
  <c r="F56" i="12"/>
  <c r="E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E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E18" i="7"/>
  <c r="H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E49" i="7"/>
  <c r="H103" i="7"/>
  <c r="I103" i="7"/>
  <c r="B50" i="7"/>
  <c r="B104" i="7"/>
  <c r="C50" i="7"/>
  <c r="C104" i="7"/>
  <c r="D104" i="7"/>
  <c r="G50" i="7"/>
  <c r="F50" i="7"/>
  <c r="E50" i="7"/>
  <c r="H104" i="7"/>
  <c r="I104" i="7"/>
  <c r="B51" i="7"/>
  <c r="B105" i="7"/>
  <c r="C51" i="7"/>
  <c r="C105" i="7"/>
  <c r="D105" i="7"/>
  <c r="G51" i="7"/>
  <c r="F51" i="7"/>
  <c r="E51" i="7"/>
  <c r="H105" i="7"/>
  <c r="I105" i="7"/>
  <c r="B52" i="7"/>
  <c r="B106" i="7"/>
  <c r="C52" i="7"/>
  <c r="C106" i="7"/>
  <c r="D106" i="7"/>
  <c r="G52" i="7"/>
  <c r="F52" i="7"/>
  <c r="E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E54" i="7"/>
  <c r="H108" i="7"/>
  <c r="I108" i="7"/>
  <c r="B55" i="7"/>
  <c r="B109" i="7"/>
  <c r="C55" i="7"/>
  <c r="C109" i="7"/>
  <c r="D109" i="7"/>
  <c r="G55" i="7"/>
  <c r="F55" i="7"/>
  <c r="E55" i="7"/>
  <c r="H109" i="7"/>
  <c r="I109" i="7"/>
  <c r="B56" i="7"/>
  <c r="B110" i="7"/>
  <c r="C56" i="7"/>
  <c r="C110" i="7"/>
  <c r="D110" i="7"/>
  <c r="G56" i="7"/>
  <c r="F56" i="7"/>
  <c r="E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E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F52" i="8"/>
  <c r="E52" i="8"/>
  <c r="H106" i="8"/>
  <c r="L106" i="8"/>
  <c r="G53" i="8"/>
  <c r="F53" i="8"/>
  <c r="H107" i="8"/>
  <c r="L107" i="8"/>
  <c r="G54" i="8"/>
  <c r="F54" i="8"/>
  <c r="E54" i="8"/>
  <c r="H108" i="8"/>
  <c r="L108" i="8"/>
  <c r="G55" i="8"/>
  <c r="F55" i="8"/>
  <c r="E55" i="8"/>
  <c r="H109" i="8"/>
  <c r="L109" i="8"/>
  <c r="G56" i="8"/>
  <c r="F56" i="8"/>
  <c r="E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E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E18" i="8"/>
  <c r="H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53" i="12"/>
  <c r="F58" i="12"/>
  <c r="E61" i="12"/>
  <c r="E62" i="12"/>
  <c r="F62" i="12"/>
  <c r="E63" i="12"/>
  <c r="F63" i="12"/>
  <c r="E64" i="12"/>
  <c r="F64" i="12"/>
  <c r="E30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53" i="7"/>
  <c r="F58" i="7"/>
  <c r="E61" i="7"/>
  <c r="E62" i="7"/>
  <c r="F62" i="7"/>
  <c r="E63" i="7"/>
  <c r="F63" i="7"/>
  <c r="E64" i="7"/>
  <c r="F64" i="7"/>
  <c r="E30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53" i="8"/>
  <c r="F58" i="8"/>
  <c r="E61" i="8"/>
  <c r="E62" i="8"/>
  <c r="F62" i="8"/>
  <c r="E63" i="8"/>
  <c r="F63" i="8"/>
  <c r="E64" i="8"/>
  <c r="F64" i="8"/>
  <c r="E30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<sst xmlns="http://schemas.openxmlformats.org/spreadsheetml/2006/main" count="790" uniqueCount="145">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</sst>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0.00523432051681195</c:v>
                </c:pt>
                <c:pt idx="2" formatCode="0.0%">
                  <c:v>0.00523432051681195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0.061215819349315</c:v>
                </c:pt>
                <c:pt idx="2" formatCode="0.0%">
                  <c:v>0.061215819349315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0.00817481824408468</c:v>
                </c:pt>
                <c:pt idx="2" formatCode="0.0%">
                  <c:v>0.00817481824408468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%">
                  <c:v>0.00014990099626401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0.00276176292029888</c:v>
                </c:pt>
                <c:pt idx="2" formatCode="0.0%">
                  <c:v>0.00276176292029888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0.00308149128268991</c:v>
                </c:pt>
                <c:pt idx="2" formatCode="0.0%">
                  <c:v>0.00308149128268991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0.00943398661270237</c:v>
                </c:pt>
                <c:pt idx="2" formatCode="0.0%">
                  <c:v>0.0471699330635118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0.000227661892901619</c:v>
                </c:pt>
                <c:pt idx="2" formatCode="0.0%">
                  <c:v>0.000227661892901619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-0.000550723225404732</c:v>
                </c:pt>
                <c:pt idx="2" formatCode="0.0%">
                  <c:v>-0.000550723225404732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986968"/>
        <c:axId val="-2030013288"/>
      </c:barChart>
      <c:catAx>
        <c:axId val="-2029986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001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001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986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0.0892156368585151</c:v>
                </c:pt>
                <c:pt idx="2">
                  <c:v>0.0841485042015564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0.00892156368585151</c:v>
                </c:pt>
                <c:pt idx="2">
                  <c:v>0.00913872651400688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0.00248594079653218</c:v>
                </c:pt>
                <c:pt idx="2">
                  <c:v>0.00227415182819218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0.00120970355062393</c:v>
                </c:pt>
                <c:pt idx="2">
                  <c:v>0.00110664322539765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0.00211698121359188</c:v>
                </c:pt>
                <c:pt idx="2">
                  <c:v>0.00211698121359188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0.001129056647249</c:v>
                </c:pt>
                <c:pt idx="2">
                  <c:v>0.00103286701037114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0.00151212943827992</c:v>
                </c:pt>
                <c:pt idx="2">
                  <c:v>0.00138330403174707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0.00352830202265314</c:v>
                </c:pt>
                <c:pt idx="2">
                  <c:v>0.00322770940740983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0.000504043146093305</c:v>
                </c:pt>
                <c:pt idx="2">
                  <c:v>0.000461101343915689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0.000564528323624502</c:v>
                </c:pt>
                <c:pt idx="2">
                  <c:v>0.000516433505185572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0.000201617258437322</c:v>
                </c:pt>
                <c:pt idx="2">
                  <c:v>0.000201617258437322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0.000177423187424843</c:v>
                </c:pt>
                <c:pt idx="2">
                  <c:v>0.000177423187424843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0.000282264161812251</c:v>
                </c:pt>
                <c:pt idx="2">
                  <c:v>0.000282264161812251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0.519999711975345</c:v>
                </c:pt>
                <c:pt idx="2">
                  <c:v>0.519999711975345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0794984"/>
        <c:axId val="-2028574376"/>
      </c:barChart>
      <c:catAx>
        <c:axId val="-203079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8574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8574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07949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0.0613183444047011</c:v>
                </c:pt>
                <c:pt idx="2">
                  <c:v>0.0619632370982919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0.0153295861011753</c:v>
                </c:pt>
                <c:pt idx="2">
                  <c:v>0.0155714208612718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0.00891194581814087</c:v>
                </c:pt>
                <c:pt idx="2">
                  <c:v>0.00834957752856041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0.00339502697833938</c:v>
                </c:pt>
                <c:pt idx="2">
                  <c:v>0.00339502697833938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0.00436503468643635</c:v>
                </c:pt>
                <c:pt idx="2">
                  <c:v>0.00408958899358061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0.00472878757697271</c:v>
                </c:pt>
                <c:pt idx="2">
                  <c:v>0.00443038807637899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0.00509254046750907</c:v>
                </c:pt>
                <c:pt idx="2">
                  <c:v>0.00477118715917737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0.000727505781072724</c:v>
                </c:pt>
                <c:pt idx="2">
                  <c:v>0.000681598165596767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0.00366662913660653</c:v>
                </c:pt>
                <c:pt idx="2">
                  <c:v>0.00366662913660653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0.00224799286351472</c:v>
                </c:pt>
                <c:pt idx="2">
                  <c:v>0.00224799286351472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0.000582004624858179</c:v>
                </c:pt>
                <c:pt idx="2">
                  <c:v>0.000582004624858179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0.0146713665849666</c:v>
                </c:pt>
                <c:pt idx="2">
                  <c:v>0.0146713665849666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0.404701073071027</c:v>
                </c:pt>
                <c:pt idx="2">
                  <c:v>0.404701073071027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777736"/>
        <c:axId val="-2027780872"/>
      </c:barChart>
      <c:catAx>
        <c:axId val="-2027777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8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780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777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0.00195861264937336</c:v>
                </c:pt>
                <c:pt idx="2">
                  <c:v>0.00195861264937336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0.0576071116292626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0.101909064412708</c:v>
                </c:pt>
                <c:pt idx="2">
                  <c:v>0.101909064412708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0.108703002040222</c:v>
                </c:pt>
                <c:pt idx="2">
                  <c:v>0.108703002040222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0.0323520839405421</c:v>
                </c:pt>
                <c:pt idx="2">
                  <c:v>0.0323520839405421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0.167881084232002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923080"/>
        <c:axId val="-2027926216"/>
      </c:barChart>
      <c:catAx>
        <c:axId val="-202792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92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923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1333.187918423946</c:v>
                </c:pt>
                <c:pt idx="5">
                  <c:v>2185.435557925791</c:v>
                </c:pt>
                <c:pt idx="6">
                  <c:v>1554.407792999348</c:v>
                </c:pt>
                <c:pt idx="7">
                  <c:v>2468.819273725056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76.79999999999998</c:v>
                </c:pt>
                <c:pt idx="5">
                  <c:v>62.99999999999998</c:v>
                </c:pt>
                <c:pt idx="6">
                  <c:v>2028.476533811586</c:v>
                </c:pt>
                <c:pt idx="7">
                  <c:v>9624.043261445887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23.07240001145388</c:v>
                </c:pt>
                <c:pt idx="5">
                  <c:v>185.6911508557255</c:v>
                </c:pt>
                <c:pt idx="6">
                  <c:v>582.793368351226</c:v>
                </c:pt>
                <c:pt idx="7">
                  <c:v>553.0590429893741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2564.14</c:v>
                </c:pt>
                <c:pt idx="6">
                  <c:v>15004.46941724033</c:v>
                </c:pt>
                <c:pt idx="7">
                  <c:v>15944.71859908463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2397.9630963673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9526.97142857143</c:v>
                </c:pt>
                <c:pt idx="5">
                  <c:v>1748.25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82532.57142857143</c:v>
                </c:pt>
                <c:pt idx="7">
                  <c:v>83072.0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6582.857142857143</c:v>
                </c:pt>
                <c:pt idx="5">
                  <c:v>2534.4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135848"/>
        <c:axId val="-20361325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35848"/>
        <c:axId val="-2036132520"/>
      </c:lineChart>
      <c:catAx>
        <c:axId val="-203613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613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13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96648"/>
        <c:axId val="-20242934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96648"/>
        <c:axId val="-2024293416"/>
      </c:lineChart>
      <c:catAx>
        <c:axId val="-202429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29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29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4200040"/>
        <c:axId val="-2024196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200040"/>
        <c:axId val="-2024196760"/>
      </c:lineChart>
      <c:catAx>
        <c:axId val="-2024200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196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96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4200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0.319107134369504</c:v>
                </c:pt>
                <c:pt idx="2">
                  <c:v>0.322491325633348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-0.454110142261616</c:v>
                </c:pt>
                <c:pt idx="2">
                  <c:v>-0.454110142261616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125512"/>
        <c:axId val="-2024122136"/>
      </c:barChart>
      <c:catAx>
        <c:axId val="-202412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2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122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125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0.0191274068628228</c:v>
                </c:pt>
                <c:pt idx="2">
                  <c:v>0.0492570987430103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0.1113258215672</c:v>
                </c:pt>
                <c:pt idx="2">
                  <c:v>0.0754146662853724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0.0191274068628228</c:v>
                </c:pt>
                <c:pt idx="2">
                  <c:v>0.0492570987430103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63560"/>
        <c:axId val="-2024060152"/>
      </c:barChart>
      <c:catAx>
        <c:axId val="-202406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0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60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63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0.0169169883341476</c:v>
                </c:pt>
                <c:pt idx="2">
                  <c:v>0.0394384505596871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0.126828427353801</c:v>
                </c:pt>
                <c:pt idx="2">
                  <c:v>0.103690218175111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0.0169169883341476</c:v>
                </c:pt>
                <c:pt idx="2">
                  <c:v>0.0394384505596871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4008280"/>
        <c:axId val="-2024004776"/>
      </c:barChart>
      <c:catAx>
        <c:axId val="-202400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400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400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0.00203341119235238</c:v>
                </c:pt>
                <c:pt idx="2">
                  <c:v>0.0645778588752437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0.000460417392936292</c:v>
                </c:pt>
                <c:pt idx="2">
                  <c:v>0.0645778588752437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-0.42066375206451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3947160"/>
        <c:axId val="-2023943784"/>
      </c:barChart>
      <c:catAx>
        <c:axId val="-2023947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394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3947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0.016922984522327</c:v>
                </c:pt>
                <c:pt idx="2" formatCode="0.0%">
                  <c:v>0.016922984522327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0.0171781222202455</c:v>
                </c:pt>
                <c:pt idx="2" formatCode="0.0%">
                  <c:v>0.0171781222202455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0.0456266976516634</c:v>
                </c:pt>
                <c:pt idx="2" formatCode="0.0%">
                  <c:v>0.0490819444049737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0.00991581124355097</c:v>
                </c:pt>
                <c:pt idx="2" formatCode="0.0%">
                  <c:v>0.011605360275817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0.00808012922967443</c:v>
                </c:pt>
                <c:pt idx="2" formatCode="0.0%">
                  <c:v>0.00808012922967443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0.000145618110656467</c:v>
                </c:pt>
                <c:pt idx="2" formatCode="0.0%">
                  <c:v>0.000145618110656467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0.00287698185376268</c:v>
                </c:pt>
                <c:pt idx="2" formatCode="0.0%">
                  <c:v>0.00306735357570815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0.000721312933641701</c:v>
                </c:pt>
                <c:pt idx="2" formatCode="0.0%">
                  <c:v>0.0012635367762422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0.00539084949297278</c:v>
                </c:pt>
                <c:pt idx="2" formatCode="0.0%">
                  <c:v>0.00998356728490732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0.00140499911047856</c:v>
                </c:pt>
                <c:pt idx="2" formatCode="0.0%">
                  <c:v>0.00144933187748363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0.000910206297811777</c:v>
                </c:pt>
                <c:pt idx="2" formatCode="0.0%">
                  <c:v>0.000943204062948992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0.033632848768355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0.00343081088620088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0.278389624279712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0.17763651412852</c:v>
                </c:pt>
                <c:pt idx="2" formatCode="0.0%">
                  <c:v>0.457451414064884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853272"/>
        <c:axId val="-2029849976"/>
      </c:barChart>
      <c:catAx>
        <c:axId val="-202985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49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84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85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273832"/>
        <c:axId val="-20232704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73832"/>
        <c:axId val="-20232704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273832"/>
        <c:axId val="-2023270408"/>
      </c:scatterChart>
      <c:catAx>
        <c:axId val="-202327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0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2704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27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3166808"/>
        <c:axId val="-202316343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66808"/>
        <c:axId val="-2023163432"/>
      </c:lineChart>
      <c:catAx>
        <c:axId val="-20231668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343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316343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31668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83784"/>
        <c:axId val="-20229804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976824"/>
        <c:axId val="-2022973928"/>
      </c:scatterChart>
      <c:valAx>
        <c:axId val="-202298378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0440"/>
        <c:crosses val="autoZero"/>
        <c:crossBetween val="midCat"/>
      </c:valAx>
      <c:valAx>
        <c:axId val="-2022980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83784"/>
        <c:crosses val="autoZero"/>
        <c:crossBetween val="midCat"/>
      </c:valAx>
      <c:valAx>
        <c:axId val="-202297682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22973928"/>
        <c:crosses val="autoZero"/>
        <c:crossBetween val="midCat"/>
      </c:valAx>
      <c:valAx>
        <c:axId val="-202297392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97682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2893384"/>
        <c:axId val="-20228876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2893384"/>
        <c:axId val="-2022887640"/>
      </c:lineChart>
      <c:catAx>
        <c:axId val="-202289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87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22887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2289338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0.015850400996264</c:v>
                </c:pt>
                <c:pt idx="2" formatCode="0.0%">
                  <c:v>0.015850400996264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0.0165108551266086</c:v>
                </c:pt>
                <c:pt idx="2" formatCode="0.0%">
                  <c:v>0.0165108551266086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0.013</c:v>
                </c:pt>
                <c:pt idx="2" formatCode="0.0%">
                  <c:v>0.013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0.0512596232876712</c:v>
                </c:pt>
                <c:pt idx="2" formatCode="0.0%">
                  <c:v>0.071164996807023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0.0176752826899128</c:v>
                </c:pt>
                <c:pt idx="2" formatCode="0.0%">
                  <c:v>0.0176752826899128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0.000266490660024907</c:v>
                </c:pt>
                <c:pt idx="2" formatCode="0.0%">
                  <c:v>0.000266490660024907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0.0126003735990037</c:v>
                </c:pt>
                <c:pt idx="2" formatCode="0.0%">
                  <c:v>0.0138341777427652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0.0215498132004981</c:v>
                </c:pt>
                <c:pt idx="2" formatCode="0.0%">
                  <c:v>0.0242570233372825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0.00141656288916563</c:v>
                </c:pt>
                <c:pt idx="2" formatCode="0.0%">
                  <c:v>0.00172303950842423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0.0023949399750934</c:v>
                </c:pt>
                <c:pt idx="2" formatCode="0.0%">
                  <c:v>0.0025375128983725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0.0424305301217114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0.00402735608587765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0.223667460659265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0.203187615268976</c:v>
                </c:pt>
                <c:pt idx="2" formatCode="0.0%">
                  <c:v>0.473689794001389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9721304"/>
        <c:axId val="-2029718008"/>
      </c:barChart>
      <c:catAx>
        <c:axId val="-202972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18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9718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9721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0.00135004002846469</c:v>
                </c:pt>
                <c:pt idx="2" formatCode="0.0%">
                  <c:v>0.00135004002846469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0.0490740481409002</c:v>
                </c:pt>
                <c:pt idx="2" formatCode="0.0%">
                  <c:v>0.0490740481409002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0.00023127582280733</c:v>
                </c:pt>
                <c:pt idx="2" formatCode="0.0%">
                  <c:v>0.00023127582280733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0.00231834460060487</c:v>
                </c:pt>
                <c:pt idx="2" formatCode="0.0%">
                  <c:v>0.00231834460060487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0.00339441380537271</c:v>
                </c:pt>
                <c:pt idx="2" formatCode="0.0%">
                  <c:v>0.00339441380537271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0.000239370218822274</c:v>
                </c:pt>
                <c:pt idx="2" formatCode="0.0%">
                  <c:v>0.000239370218822274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0.000145245685821028</c:v>
                </c:pt>
                <c:pt idx="2" formatCode="0.0%">
                  <c:v>0.000145245685821028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0.000178763921010496</c:v>
                </c:pt>
                <c:pt idx="2" formatCode="0.0%">
                  <c:v>0.000178763921010496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0.00813953491371642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0.00105637535165662</c:v>
                </c:pt>
                <c:pt idx="2" formatCode="0.0%">
                  <c:v>0.148166553707945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567496"/>
        <c:axId val="-2026570840"/>
      </c:barChart>
      <c:catAx>
        <c:axId val="-202656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70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57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56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0.00743300383561644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0.24486327739726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0.0326992729763387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0.000401734669987547</c:v>
                </c:pt>
                <c:pt idx="3">
                  <c:v>0.000197869315068493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0.0123259651307597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0.0471699330635118</c:v>
                </c:pt>
                <c:pt idx="1">
                  <c:v>0.0471699330635118</c:v>
                </c:pt>
                <c:pt idx="2">
                  <c:v>0.0471699330635118</c:v>
                </c:pt>
                <c:pt idx="3">
                  <c:v>0.0471699330635118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0.000910647571606475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-0.000647870802366127</c:v>
                </c:pt>
                <c:pt idx="1">
                  <c:v>-0.000388810597135741</c:v>
                </c:pt>
                <c:pt idx="2">
                  <c:v>-0.000518340699750934</c:v>
                </c:pt>
                <c:pt idx="3">
                  <c:v>-0.000647870802366127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0.264640212679903</c:v>
                </c:pt>
                <c:pt idx="1">
                  <c:v>-0.176532201677477</c:v>
                </c:pt>
                <c:pt idx="2">
                  <c:v>-0.256018083823603</c:v>
                </c:pt>
                <c:pt idx="3">
                  <c:v>-0.256018083823603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661208"/>
        <c:axId val="-2026664600"/>
      </c:barChart>
      <c:catAx>
        <c:axId val="-2026661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46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66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661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0.00540016011385874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0.196296192563601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0.0252504038427326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0.000619819205123643</c:v>
                </c:pt>
                <c:pt idx="3">
                  <c:v>0.000305284086105675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0.00927337840241949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0.0135776552214908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0.0107816989859456</c:v>
                </c:pt>
                <c:pt idx="1">
                  <c:v>0.0107816989859456</c:v>
                </c:pt>
                <c:pt idx="2">
                  <c:v>0.0107816989859456</c:v>
                </c:pt>
                <c:pt idx="3">
                  <c:v>0.0107816989859456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-0.494114487137636</c:v>
                </c:pt>
                <c:pt idx="1">
                  <c:v>-0.557241874281112</c:v>
                </c:pt>
                <c:pt idx="2">
                  <c:v>-0.557241874281112</c:v>
                </c:pt>
                <c:pt idx="3">
                  <c:v>-0.557241874281112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768088"/>
        <c:axId val="-2026771480"/>
      </c:barChart>
      <c:catAx>
        <c:axId val="-20267680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714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771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0.0115076294751823</c:v>
                </c:pt>
                <c:pt idx="1">
                  <c:v>0.0115076294751823</c:v>
                </c:pt>
                <c:pt idx="2">
                  <c:v>0.0223383395694716</c:v>
                </c:pt>
                <c:pt idx="3">
                  <c:v>0.0223383395694716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0.068712488880982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0.196327777619895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0.0464214411032682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0.0323205169186977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0.000390256536559331</c:v>
                </c:pt>
                <c:pt idx="3">
                  <c:v>0.000192215906066536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0.0122694143028326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0.0050541471049688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0.00998356728490732</c:v>
                </c:pt>
                <c:pt idx="1">
                  <c:v>0.00998356728490732</c:v>
                </c:pt>
                <c:pt idx="2">
                  <c:v>0.00998356728490732</c:v>
                </c:pt>
                <c:pt idx="3">
                  <c:v>0.00998356728490732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0.00579732750993454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0.00110958525965319</c:v>
                </c:pt>
                <c:pt idx="1">
                  <c:v>0.000665902068441988</c:v>
                </c:pt>
                <c:pt idx="2">
                  <c:v>0.000887743664047591</c:v>
                </c:pt>
                <c:pt idx="3">
                  <c:v>0.00110958525965319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0.00686162177240177</c:v>
                </c:pt>
                <c:pt idx="3">
                  <c:v>0.00686162177240177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0.278389624279712</c:v>
                </c:pt>
                <c:pt idx="1">
                  <c:v>0.278389624279712</c:v>
                </c:pt>
                <c:pt idx="2">
                  <c:v>0.278389624279712</c:v>
                </c:pt>
                <c:pt idx="3">
                  <c:v>0.278389624279712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0.254663445327633</c:v>
                </c:pt>
                <c:pt idx="1">
                  <c:v>0.558725464691902</c:v>
                </c:pt>
                <c:pt idx="2">
                  <c:v>-0.198766039593781</c:v>
                </c:pt>
                <c:pt idx="3">
                  <c:v>-0.499119247254881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878552"/>
        <c:axId val="-2026881944"/>
      </c:barChart>
      <c:catAx>
        <c:axId val="-2026878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81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881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878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0.0107782726774595</c:v>
                </c:pt>
                <c:pt idx="1">
                  <c:v>0.0107782726774595</c:v>
                </c:pt>
                <c:pt idx="2">
                  <c:v>0.0209225293150685</c:v>
                </c:pt>
                <c:pt idx="3">
                  <c:v>0.0209225293150685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0.0660434205064342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0.284659987228092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0.00071419496886675</c:v>
                </c:pt>
                <c:pt idx="3">
                  <c:v>0.000351767671232877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0.0553367109710608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0.0970280933491299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0.00689215803369694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0.00298513017364541</c:v>
                </c:pt>
                <c:pt idx="1">
                  <c:v>0.00179148410625099</c:v>
                </c:pt>
                <c:pt idx="2">
                  <c:v>0.0023883071399482</c:v>
                </c:pt>
                <c:pt idx="3">
                  <c:v>0.00298513017364541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0.0080547121717553</c:v>
                </c:pt>
                <c:pt idx="3">
                  <c:v>0.0080547121717553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0.223667460659265</c:v>
                </c:pt>
                <c:pt idx="1">
                  <c:v>0.223667460659265</c:v>
                </c:pt>
                <c:pt idx="2">
                  <c:v>0.223667460659265</c:v>
                </c:pt>
                <c:pt idx="3">
                  <c:v>0.223667460659265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0.178075698044035</c:v>
                </c:pt>
                <c:pt idx="1">
                  <c:v>0.544939079721104</c:v>
                </c:pt>
                <c:pt idx="2">
                  <c:v>0.622457186258306</c:v>
                </c:pt>
                <c:pt idx="3">
                  <c:v>0.549287211982111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404152"/>
        <c:axId val="-2027400840"/>
      </c:barChart>
      <c:catAx>
        <c:axId val="-2027404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08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7400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40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0.0490755264033462</c:v>
                </c:pt>
                <c:pt idx="2">
                  <c:v>0.0490755264033461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0.00841294738343077</c:v>
                </c:pt>
                <c:pt idx="2">
                  <c:v>0.00841294738343077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0.00665430866486049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0.00149721944959361</c:v>
                </c:pt>
                <c:pt idx="2">
                  <c:v>0.00149721944959361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0.0415478397262227</c:v>
                </c:pt>
                <c:pt idx="2">
                  <c:v>0.0415478397262227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0.060230999572223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171976"/>
        <c:axId val="-2027168984"/>
      </c:barChart>
      <c:catAx>
        <c:axId val="-2027171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6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16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171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lr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1.350040028464686E-3</v>
      </c>
      <c r="J7" s="24">
        <f t="shared" si="3"/>
        <v>1.350040028464686E-3</v>
      </c>
      <c r="K7" s="22">
        <f t="shared" si="4"/>
        <v>6.7502001423234296E-3</v>
      </c>
      <c r="L7" s="22">
        <f t="shared" si="5"/>
        <v>1.350040028464686E-3</v>
      </c>
      <c r="M7" s="177">
        <f t="shared" si="6"/>
        <v>1.350040028464686E-3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1333.1879184239465</v>
      </c>
      <c r="T7" s="221">
        <f>IF($B$81=0,0,(SUMIF($N$6:$N$28,$U7,M$6:M$28)+SUMIF($N$91:$N$118,$U7,M$91:M$118))*$I$83*Poor!$B$81/$B$81)</f>
        <v>1333.1879184239465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5.4001601138587438E-3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5.4001601138587438E-3</v>
      </c>
      <c r="AH7" s="123">
        <f t="shared" ref="AH7:AH30" si="12">SUM(Z7,AB7,AD7,AF7)</f>
        <v>1</v>
      </c>
      <c r="AI7" s="183">
        <f t="shared" ref="AI7:AI30" si="13">SUM(AA7,AC7,AE7,AG7)/4</f>
        <v>1.350040028464686E-3</v>
      </c>
      <c r="AJ7" s="120">
        <f t="shared" ref="AJ7:AJ31" si="14">(AA7+AC7)/2</f>
        <v>0</v>
      </c>
      <c r="AK7" s="119">
        <f t="shared" ref="AK7:AK31" si="15">(AE7+AG7)/2</f>
        <v>2.7000800569293719E-3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76.799999999999983</v>
      </c>
      <c r="T8" s="221">
        <f>IF($B$81=0,0,(SUMIF($N$6:$N$28,$U8,M$6:M$28)+SUMIF($N$91:$N$118,$U8,M$91:M$118))*$I$83*Poor!$B$81/$B$81)</f>
        <v>76.799999999999983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4.9074048140900189E-2</v>
      </c>
      <c r="J9" s="24">
        <f t="shared" si="3"/>
        <v>4.9074048140900189E-2</v>
      </c>
      <c r="K9" s="22">
        <f t="shared" si="4"/>
        <v>0.16358016046966731</v>
      </c>
      <c r="L9" s="22">
        <f t="shared" si="5"/>
        <v>4.9074048140900189E-2</v>
      </c>
      <c r="M9" s="223">
        <f t="shared" si="6"/>
        <v>4.9074048140900189E-2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23.072400011453876</v>
      </c>
      <c r="T9" s="221">
        <f>IF($B$81=0,0,(SUMIF($N$6:$N$28,$U9,M$6:M$28)+SUMIF($N$91:$N$118,$U9,M$91:M$118))*$I$83*Poor!$B$81/$B$81)</f>
        <v>23.072400011453876</v>
      </c>
      <c r="U9" s="222">
        <v>3</v>
      </c>
      <c r="V9" s="56"/>
      <c r="W9" s="115"/>
      <c r="X9" s="118">
        <f>Poor!X9</f>
        <v>1</v>
      </c>
      <c r="Y9" s="183">
        <f t="shared" si="9"/>
        <v>0.19629619256360076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0.19629619256360076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4.9074048140900189E-2</v>
      </c>
      <c r="AJ9" s="120">
        <f t="shared" si="14"/>
        <v>9.8148096281800379E-2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0.2</v>
      </c>
      <c r="H11" s="24">
        <f t="shared" si="1"/>
        <v>0.2</v>
      </c>
      <c r="I11" s="22">
        <f t="shared" si="2"/>
        <v>6.3126009606831526E-3</v>
      </c>
      <c r="J11" s="24">
        <f t="shared" si="3"/>
        <v>6.3126009606831526E-3</v>
      </c>
      <c r="K11" s="22">
        <f t="shared" si="4"/>
        <v>3.1563004803415763E-2</v>
      </c>
      <c r="L11" s="22">
        <f t="shared" si="5"/>
        <v>6.3126009606831526E-3</v>
      </c>
      <c r="M11" s="223">
        <f t="shared" si="6"/>
        <v>6.3126009606831526E-3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2.5250403842732611E-2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2.5250403842732611E-2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6.3126009606831526E-3</v>
      </c>
      <c r="AJ11" s="120">
        <f t="shared" si="14"/>
        <v>1.2625201921366305E-2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0.2</v>
      </c>
      <c r="H12" s="24">
        <f t="shared" si="1"/>
        <v>0.2</v>
      </c>
      <c r="I12" s="22">
        <f t="shared" si="2"/>
        <v>2.3127582280732967E-4</v>
      </c>
      <c r="J12" s="24">
        <f t="shared" si="3"/>
        <v>2.3127582280732967E-4</v>
      </c>
      <c r="K12" s="22">
        <f t="shared" si="4"/>
        <v>1.1563791140366483E-3</v>
      </c>
      <c r="L12" s="22">
        <f t="shared" si="5"/>
        <v>2.3127582280732967E-4</v>
      </c>
      <c r="M12" s="223">
        <f t="shared" si="6"/>
        <v>2.3127582280732967E-4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2397.9630963673003</v>
      </c>
      <c r="U12" s="222">
        <v>6</v>
      </c>
      <c r="V12" s="56"/>
      <c r="W12" s="117"/>
      <c r="X12" s="118">
        <v>1</v>
      </c>
      <c r="Y12" s="183">
        <f t="shared" si="9"/>
        <v>9.2510329122931869E-4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6.1981920512364352E-4</v>
      </c>
      <c r="AF12" s="122">
        <f>1-SUM(Z12,AB12,AD12)</f>
        <v>0.32999999999999996</v>
      </c>
      <c r="AG12" s="121">
        <f>$M12*AF12*4</f>
        <v>3.0528408610567512E-4</v>
      </c>
      <c r="AH12" s="123">
        <f t="shared" si="12"/>
        <v>1</v>
      </c>
      <c r="AI12" s="183">
        <f t="shared" si="13"/>
        <v>2.3127582280732967E-4</v>
      </c>
      <c r="AJ12" s="120">
        <f t="shared" si="14"/>
        <v>0</v>
      </c>
      <c r="AK12" s="119">
        <f t="shared" si="15"/>
        <v>4.6255164561465935E-4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0.2</v>
      </c>
      <c r="H13" s="24">
        <f t="shared" si="1"/>
        <v>0.2</v>
      </c>
      <c r="I13" s="22">
        <f t="shared" si="2"/>
        <v>2.3183446006048744E-3</v>
      </c>
      <c r="J13" s="24">
        <f t="shared" si="3"/>
        <v>2.3183446006048744E-3</v>
      </c>
      <c r="K13" s="22">
        <f t="shared" si="4"/>
        <v>1.1591723003024372E-2</v>
      </c>
      <c r="L13" s="22">
        <f t="shared" si="5"/>
        <v>2.3183446006048744E-3</v>
      </c>
      <c r="M13" s="224">
        <f t="shared" si="6"/>
        <v>2.3183446006048744E-3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9526.9714285714308</v>
      </c>
      <c r="T13" s="221">
        <f>IF($B$81=0,0,(SUMIF($N$6:$N$28,$U13,M$6:M$28)+SUMIF($N$91:$N$118,$U13,M$91:M$118))*$I$83*Poor!$B$81/$B$81)</f>
        <v>9526.9714285714308</v>
      </c>
      <c r="U13" s="222">
        <v>7</v>
      </c>
      <c r="V13" s="56"/>
      <c r="W13" s="110"/>
      <c r="X13" s="118"/>
      <c r="Y13" s="183">
        <f t="shared" si="9"/>
        <v>9.2733784024194976E-3</v>
      </c>
      <c r="Z13" s="156">
        <f>Poor!Z13</f>
        <v>1</v>
      </c>
      <c r="AA13" s="121">
        <f>$M13*Z13*4</f>
        <v>9.2733784024194976E-3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2.3183446006048744E-3</v>
      </c>
      <c r="AJ13" s="120">
        <f t="shared" si="14"/>
        <v>4.6366892012097488E-3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3.3944138053727101E-3</v>
      </c>
      <c r="J14" s="24">
        <f>IF(I$32&lt;=1+I131,I14,B14*H14+J$33*(I14-B14*H14))</f>
        <v>3.3944138053727101E-3</v>
      </c>
      <c r="K14" s="22">
        <f t="shared" si="4"/>
        <v>1.6972069026863549E-2</v>
      </c>
      <c r="L14" s="22">
        <f t="shared" si="5"/>
        <v>3.3944138053727101E-3</v>
      </c>
      <c r="M14" s="224">
        <f t="shared" si="6"/>
        <v>3.3944138053727101E-3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1.3577655221490841E-2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1.3577655221490841E-2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3.3944138053727101E-3</v>
      </c>
      <c r="AJ14" s="120">
        <f t="shared" si="14"/>
        <v>6.7888276107454203E-3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1.0781698985945562E-2</v>
      </c>
      <c r="J15" s="24">
        <f t="shared" ref="J15:J25" si="17">IF(I$32&lt;=1+I131,I15,B15*H15+J$33*(I15-B15*H15))</f>
        <v>1.0781698985945562E-2</v>
      </c>
      <c r="K15" s="22">
        <f t="shared" si="4"/>
        <v>5.390849492972781E-2</v>
      </c>
      <c r="L15" s="22">
        <f t="shared" si="5"/>
        <v>1.0781698985945562E-2</v>
      </c>
      <c r="M15" s="225">
        <f t="shared" si="6"/>
        <v>1.0781698985945562E-2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4.3126795943782249E-2</v>
      </c>
      <c r="Z15" s="156">
        <f>Poor!Z15</f>
        <v>0.25</v>
      </c>
      <c r="AA15" s="121">
        <f t="shared" si="16"/>
        <v>1.0781698985945562E-2</v>
      </c>
      <c r="AB15" s="156">
        <f>Poor!AB15</f>
        <v>0.25</v>
      </c>
      <c r="AC15" s="121">
        <f t="shared" si="7"/>
        <v>1.0781698985945562E-2</v>
      </c>
      <c r="AD15" s="156">
        <f>Poor!AD15</f>
        <v>0.25</v>
      </c>
      <c r="AE15" s="121">
        <f t="shared" si="8"/>
        <v>1.0781698985945562E-2</v>
      </c>
      <c r="AF15" s="122">
        <f t="shared" si="10"/>
        <v>0.25</v>
      </c>
      <c r="AG15" s="121">
        <f t="shared" si="11"/>
        <v>1.0781698985945562E-2</v>
      </c>
      <c r="AH15" s="123">
        <f t="shared" si="12"/>
        <v>1</v>
      </c>
      <c r="AI15" s="183">
        <f t="shared" si="13"/>
        <v>1.0781698985945562E-2</v>
      </c>
      <c r="AJ15" s="120">
        <f t="shared" si="14"/>
        <v>1.0781698985945562E-2</v>
      </c>
      <c r="AK15" s="119">
        <f t="shared" si="15"/>
        <v>1.0781698985945562E-2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2.3937021882227362E-4</v>
      </c>
      <c r="J16" s="24">
        <f t="shared" si="17"/>
        <v>2.3937021882227362E-4</v>
      </c>
      <c r="K16" s="22">
        <f t="shared" ref="K16:K25" si="21">B16</f>
        <v>1.1968510941113681E-3</v>
      </c>
      <c r="L16" s="22">
        <f t="shared" ref="L16:L25" si="22">IF(K16="","",K16*H16)</f>
        <v>2.3937021882227362E-4</v>
      </c>
      <c r="M16" s="225">
        <f t="shared" ref="M16:M25" si="23">J16</f>
        <v>2.3937021882227362E-4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6582.8571428571431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0.2</v>
      </c>
      <c r="F17" s="22"/>
      <c r="H17" s="24">
        <f t="shared" si="19"/>
        <v>0.2</v>
      </c>
      <c r="I17" s="22">
        <f t="shared" si="20"/>
        <v>1.4524568582102831E-4</v>
      </c>
      <c r="J17" s="24">
        <f t="shared" si="17"/>
        <v>1.4524568582102831E-4</v>
      </c>
      <c r="K17" s="22">
        <f t="shared" si="21"/>
        <v>7.2622842910514149E-4</v>
      </c>
      <c r="L17" s="22">
        <f t="shared" si="22"/>
        <v>1.4524568582102831E-4</v>
      </c>
      <c r="M17" s="225">
        <f t="shared" si="23"/>
        <v>1.4524568582102831E-4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0.2</v>
      </c>
      <c r="F18" s="22"/>
      <c r="H18" s="24">
        <f t="shared" si="19"/>
        <v>0.2</v>
      </c>
      <c r="I18" s="22">
        <f t="shared" si="20"/>
        <v>1.7876392101049635E-4</v>
      </c>
      <c r="J18" s="24">
        <f t="shared" si="17"/>
        <v>1.7876392101049635E-4</v>
      </c>
      <c r="K18" s="22">
        <f t="shared" si="21"/>
        <v>8.9381960505248177E-4</v>
      </c>
      <c r="L18" s="22">
        <f t="shared" si="22"/>
        <v>1.7876392101049635E-4</v>
      </c>
      <c r="M18" s="225">
        <f t="shared" si="23"/>
        <v>1.7876392101049635E-4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8.1395349137164206E-3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8.1395349137164206E-3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20052.316319023634</v>
      </c>
      <c r="T23" s="179">
        <f>SUM(T7:T22)</f>
        <v>22535.75810047569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0.14816655370794529</v>
      </c>
      <c r="J30" s="230">
        <f>IF(I$32&lt;=1,I30,1-SUM(J6:J29))</f>
        <v>0.14816655370794529</v>
      </c>
      <c r="K30" s="22">
        <f t="shared" si="4"/>
        <v>0.60449541284468955</v>
      </c>
      <c r="L30" s="22">
        <f>IF(L124=L119,0,IF(K30="",0,(L119-L124)/(B119-B124)*K30))</f>
        <v>1.0563753516566207E-3</v>
      </c>
      <c r="M30" s="175">
        <f t="shared" si="6"/>
        <v>0.14816655370794529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9381.775125084263</v>
      </c>
      <c r="T30" s="233">
        <f t="shared" si="24"/>
        <v>6898.3333436322064</v>
      </c>
      <c r="V30" s="56"/>
      <c r="W30" s="110"/>
      <c r="X30" s="118"/>
      <c r="Y30" s="183">
        <f>M30*4</f>
        <v>0.59266621483178117</v>
      </c>
      <c r="Z30" s="122">
        <f>IF($Y30=0,0,AA30/($Y$30))</f>
        <v>-0.83371461840098771</v>
      </c>
      <c r="AA30" s="187">
        <f>IF(AA79*4/$I$83+SUM(AA6:AA29)&lt;1,AA79*4/$I$83,1-SUM(AA6:AA29))</f>
        <v>-0.49411448713763623</v>
      </c>
      <c r="AB30" s="122">
        <f>IF($Y30=0,0,AC30/($Y$30))</f>
        <v>-0.94022885114056398</v>
      </c>
      <c r="AC30" s="187">
        <f>IF(AC79*4/$I$83+SUM(AC6:AC29)&lt;1,AC79*4/$I$83,1-SUM(AC6:AC29))</f>
        <v>-0.55724187428111227</v>
      </c>
      <c r="AD30" s="122">
        <f>IF($Y30=0,0,AE30/($Y$30))</f>
        <v>-0.94022885114056398</v>
      </c>
      <c r="AE30" s="187">
        <f>IF(AE79*4/$I$83+SUM(AE6:AE29)&lt;1,AE79*4/$I$83,1-SUM(AE6:AE29))</f>
        <v>-0.55724187428111227</v>
      </c>
      <c r="AF30" s="122">
        <f>IF($Y30=0,0,AG30/($Y$30))</f>
        <v>-0.94022885114056398</v>
      </c>
      <c r="AG30" s="187">
        <f>IF(AG79*4/$I$83+SUM(AG6:AG29)&lt;1,AG79*4/$I$83,1-SUM(AG6:AG29))</f>
        <v>-0.55724187428111227</v>
      </c>
      <c r="AH30" s="123">
        <f t="shared" si="12"/>
        <v>-3.6544011718226797</v>
      </c>
      <c r="AI30" s="183">
        <f t="shared" si="13"/>
        <v>-0.54146002749524325</v>
      </c>
      <c r="AJ30" s="120">
        <f t="shared" si="14"/>
        <v>-0.52567818070937422</v>
      </c>
      <c r="AK30" s="119">
        <f t="shared" si="15"/>
        <v>-0.55724187428111227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0.40364358016386803</v>
      </c>
      <c r="K31" s="22" t="str">
        <f t="shared" si="4"/>
        <v/>
      </c>
      <c r="L31" s="22">
        <f>(1-SUM(L6:L30))</f>
        <v>0.55189135899657837</v>
      </c>
      <c r="M31" s="240">
        <f t="shared" si="6"/>
        <v>0.40364358016386803</v>
      </c>
      <c r="N31" s="167">
        <f>M31*I83</f>
        <v>6036.0416756781779</v>
      </c>
      <c r="P31" s="22"/>
      <c r="Q31" s="237" t="s">
        <v>142</v>
      </c>
      <c r="R31" s="233">
        <f t="shared" si="24"/>
        <v>0</v>
      </c>
      <c r="S31" s="233">
        <f t="shared" si="24"/>
        <v>25876.601791750927</v>
      </c>
      <c r="T31" s="233">
        <f>IF(T25&gt;T$23,T25-T$23,0)</f>
        <v>23393.16001029887</v>
      </c>
      <c r="V31" s="56"/>
      <c r="W31" s="129" t="s">
        <v>84</v>
      </c>
      <c r="X31" s="130"/>
      <c r="Y31" s="121">
        <f>M31*4</f>
        <v>1.6145743206554721</v>
      </c>
      <c r="Z31" s="131"/>
      <c r="AA31" s="132">
        <f>1-AA32+IF($Y32&lt;0,$Y32/4,0)</f>
        <v>0.87048828429889991</v>
      </c>
      <c r="AB31" s="131"/>
      <c r="AC31" s="133">
        <f>1-AC32+IF($Y32&lt;0,$Y32/4,0)</f>
        <v>1.1721913243629714</v>
      </c>
      <c r="AD31" s="134"/>
      <c r="AE31" s="133">
        <f>1-AE32+IF($Y32&lt;0,$Y32/4,0)</f>
        <v>1.1851491603793385</v>
      </c>
      <c r="AF31" s="134"/>
      <c r="AG31" s="133">
        <f>1-AG32+IF($Y32&lt;0,$Y32/4,0)</f>
        <v>1.1800635353844977</v>
      </c>
      <c r="AH31" s="123"/>
      <c r="AI31" s="182">
        <f>SUM(AA31,AC31,AE31,AG31)/4</f>
        <v>1.101973076106427</v>
      </c>
      <c r="AJ31" s="135">
        <f t="shared" si="14"/>
        <v>1.0213398043309356</v>
      </c>
      <c r="AK31" s="136">
        <f t="shared" si="15"/>
        <v>1.1826063478819182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0.59635641983613197</v>
      </c>
      <c r="J32" s="17"/>
      <c r="L32" s="22">
        <f>SUM(L6:L30)</f>
        <v>0.44810864100342168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58614.521791750914</v>
      </c>
      <c r="T32" s="233">
        <f t="shared" si="24"/>
        <v>56131.080010298858</v>
      </c>
      <c r="V32" s="56"/>
      <c r="W32" s="110"/>
      <c r="X32" s="118"/>
      <c r="Y32" s="115">
        <f>SUM(Y6:Y31)</f>
        <v>3.965188341042519</v>
      </c>
      <c r="Z32" s="137"/>
      <c r="AA32" s="138">
        <f>SUM(AA6:AA30)</f>
        <v>0.12951171570110004</v>
      </c>
      <c r="AB32" s="137"/>
      <c r="AC32" s="139">
        <f>SUM(AC6:AC30)</f>
        <v>-0.17219132436297135</v>
      </c>
      <c r="AD32" s="137"/>
      <c r="AE32" s="139">
        <f>SUM(AE6:AE30)</f>
        <v>-0.18514916037933848</v>
      </c>
      <c r="AF32" s="137"/>
      <c r="AG32" s="139">
        <f>SUM(AG6:AG30)</f>
        <v>-0.18006353538449771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4.1645549634482002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14432.973333333333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236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67.199999999999989</v>
      </c>
      <c r="J50" s="38">
        <f t="shared" si="32"/>
        <v>67.199999999999989</v>
      </c>
      <c r="K50" s="40">
        <f t="shared" si="33"/>
        <v>6.9950451763334306E-3</v>
      </c>
      <c r="L50" s="22">
        <f t="shared" si="34"/>
        <v>1.9586126493733604E-3</v>
      </c>
      <c r="M50" s="24">
        <f t="shared" si="35"/>
        <v>1.9586126493733604E-3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16.799999999999997</v>
      </c>
      <c r="AB50" s="156">
        <f>Poor!AB55</f>
        <v>0.25</v>
      </c>
      <c r="AC50" s="147">
        <f t="shared" si="41"/>
        <v>16.799999999999997</v>
      </c>
      <c r="AD50" s="156">
        <f>Poor!AD55</f>
        <v>0.25</v>
      </c>
      <c r="AE50" s="147">
        <f t="shared" si="42"/>
        <v>16.799999999999997</v>
      </c>
      <c r="AF50" s="122">
        <f t="shared" si="29"/>
        <v>0.25</v>
      </c>
      <c r="AG50" s="147">
        <f t="shared" si="36"/>
        <v>16.799999999999997</v>
      </c>
      <c r="AH50" s="123">
        <f t="shared" si="37"/>
        <v>1</v>
      </c>
      <c r="AI50" s="112">
        <f t="shared" si="37"/>
        <v>67.199999999999989</v>
      </c>
      <c r="AJ50" s="148">
        <f t="shared" si="38"/>
        <v>33.599999999999994</v>
      </c>
      <c r="AK50" s="147">
        <f t="shared" si="39"/>
        <v>33.599999999999994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1976.5000000000002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5.760711162926261E-2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3496.5000000000005</v>
      </c>
      <c r="J54" s="38">
        <f t="shared" si="32"/>
        <v>3496.5000000000005</v>
      </c>
      <c r="K54" s="40">
        <f t="shared" si="33"/>
        <v>0.18361993587875255</v>
      </c>
      <c r="L54" s="22">
        <f t="shared" si="34"/>
        <v>0.10190906441270768</v>
      </c>
      <c r="M54" s="24">
        <f t="shared" si="35"/>
        <v>0.10190906441270768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3729.6000000000004</v>
      </c>
      <c r="J55" s="38">
        <f t="shared" si="32"/>
        <v>3729.6000000000008</v>
      </c>
      <c r="K55" s="40">
        <f t="shared" si="33"/>
        <v>0.19586126493733605</v>
      </c>
      <c r="L55" s="22">
        <f t="shared" si="34"/>
        <v>0.10870300204022151</v>
      </c>
      <c r="M55" s="24">
        <f t="shared" si="35"/>
        <v>0.10870300204022153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1110</v>
      </c>
      <c r="J56" s="38">
        <f t="shared" si="32"/>
        <v>1110.0000000000002</v>
      </c>
      <c r="K56" s="40">
        <f t="shared" si="33"/>
        <v>5.8292043136111922E-2</v>
      </c>
      <c r="L56" s="22">
        <f t="shared" si="34"/>
        <v>3.235208394054212E-2</v>
      </c>
      <c r="M56" s="24">
        <f t="shared" si="35"/>
        <v>3.235208394054212E-2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5760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0.16788108423200232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1440</v>
      </c>
      <c r="AB58" s="156">
        <f>Poor!AB58</f>
        <v>0.25</v>
      </c>
      <c r="AC58" s="147">
        <f t="shared" si="41"/>
        <v>1440</v>
      </c>
      <c r="AD58" s="156">
        <f>Poor!AD58</f>
        <v>0.25</v>
      </c>
      <c r="AE58" s="147">
        <f t="shared" si="42"/>
        <v>1440</v>
      </c>
      <c r="AF58" s="122">
        <f t="shared" si="29"/>
        <v>0.25</v>
      </c>
      <c r="AG58" s="147">
        <f t="shared" si="36"/>
        <v>1440</v>
      </c>
      <c r="AH58" s="123">
        <f t="shared" si="37"/>
        <v>1</v>
      </c>
      <c r="AI58" s="112">
        <f t="shared" si="37"/>
        <v>5760</v>
      </c>
      <c r="AJ58" s="148">
        <f t="shared" si="38"/>
        <v>2880</v>
      </c>
      <c r="AK58" s="147">
        <f t="shared" si="39"/>
        <v>2880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0.35499854269892162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16375.800000000001</v>
      </c>
      <c r="J65" s="39">
        <f>SUM(J37:J64)</f>
        <v>16375.800000000001</v>
      </c>
      <c r="K65" s="40">
        <f>SUM(K37:K64)</f>
        <v>1</v>
      </c>
      <c r="L65" s="22">
        <f>SUM(L37:L64)</f>
        <v>0.41474497231127955</v>
      </c>
      <c r="M65" s="24">
        <f>SUM(M37:M64)</f>
        <v>0.47728941999417085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1692.8</v>
      </c>
      <c r="AB65" s="137"/>
      <c r="AC65" s="153">
        <f>SUM(AC37:AC64)</f>
        <v>1456.8</v>
      </c>
      <c r="AD65" s="137"/>
      <c r="AE65" s="153">
        <f>SUM(AE37:AE64)</f>
        <v>1456.8</v>
      </c>
      <c r="AF65" s="137"/>
      <c r="AG65" s="153">
        <f>SUM(AG37:AG64)</f>
        <v>1456.8</v>
      </c>
      <c r="AH65" s="137"/>
      <c r="AI65" s="153">
        <f>SUM(AI37:AI64)</f>
        <v>6063.2</v>
      </c>
      <c r="AJ65" s="153">
        <f>SUM(AJ37:AJ64)</f>
        <v>3149.6</v>
      </c>
      <c r="AK65" s="153">
        <f>SUM(AK37:AK64)</f>
        <v>2913.6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2215.666338009612</v>
      </c>
      <c r="J71" s="51">
        <f t="shared" si="44"/>
        <v>2215.666338009612</v>
      </c>
      <c r="K71" s="40">
        <f t="shared" ref="K71:K72" si="47">B71/B$76</f>
        <v>0.35649470513941517</v>
      </c>
      <c r="L71" s="22">
        <f t="shared" si="45"/>
        <v>2.0334111923523807E-3</v>
      </c>
      <c r="M71" s="24">
        <f t="shared" ref="M71:M72" si="48">J71/B$76</f>
        <v>6.4577858875243713E-2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2215.666338009612</v>
      </c>
      <c r="J74" s="51">
        <f t="shared" si="44"/>
        <v>2215.666338009612</v>
      </c>
      <c r="K74" s="40">
        <f>B74/B$76</f>
        <v>0.15967705991340145</v>
      </c>
      <c r="L74" s="22">
        <f t="shared" si="45"/>
        <v>4.6041739293629171E-4</v>
      </c>
      <c r="M74" s="24">
        <f>J74/B$76</f>
        <v>6.4577858875243713E-2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-1847.2334154975977</v>
      </c>
      <c r="AB74" s="156"/>
      <c r="AC74" s="147">
        <f>AC30*$I$83/4</f>
        <v>-2083.2334154975979</v>
      </c>
      <c r="AD74" s="156"/>
      <c r="AE74" s="147">
        <f>AE30*$I$83/4</f>
        <v>-2083.2334154975979</v>
      </c>
      <c r="AF74" s="156"/>
      <c r="AG74" s="147">
        <f>AG30*$I$83/4</f>
        <v>-2083.2334154975979</v>
      </c>
      <c r="AH74" s="155"/>
      <c r="AI74" s="147">
        <f>SUM(AA74,AC74,AE74,AG74)</f>
        <v>-8096.9336619903916</v>
      </c>
      <c r="AJ74" s="148">
        <f>(AA74+AC74)</f>
        <v>-3930.4668309951958</v>
      </c>
      <c r="AK74" s="147">
        <f>(AE74+AG74)</f>
        <v>-4166.4668309951958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16375.800000000003</v>
      </c>
      <c r="J76" s="51">
        <f t="shared" si="44"/>
        <v>16375.800000000003</v>
      </c>
      <c r="K76" s="40">
        <f>SUM(K70:K75)</f>
        <v>1.5427057547682346</v>
      </c>
      <c r="L76" s="22">
        <f>SUM(L70:L75)</f>
        <v>0.41520538970421578</v>
      </c>
      <c r="M76" s="24">
        <f>SUM(M70:M75)</f>
        <v>0.54186727886941455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1692.8</v>
      </c>
      <c r="AB76" s="137"/>
      <c r="AC76" s="153">
        <f>AC65</f>
        <v>1456.8</v>
      </c>
      <c r="AD76" s="137"/>
      <c r="AE76" s="153">
        <f>AE65</f>
        <v>1456.8</v>
      </c>
      <c r="AF76" s="137"/>
      <c r="AG76" s="153">
        <f>AG65</f>
        <v>1456.8</v>
      </c>
      <c r="AH76" s="137"/>
      <c r="AI76" s="153">
        <f>SUM(AA76,AC76,AE76,AG76)</f>
        <v>6063.2</v>
      </c>
      <c r="AJ76" s="154">
        <f>SUM(AA76,AC76)</f>
        <v>3149.6</v>
      </c>
      <c r="AK76" s="154">
        <f>SUM(AE76,AG76)</f>
        <v>2913.6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14432.973333333333</v>
      </c>
      <c r="K77" s="40"/>
      <c r="L77" s="22">
        <f>-(L131*G$37*F$9/F$7)/B$130</f>
        <v>-0.4206637520645099</v>
      </c>
      <c r="M77" s="24">
        <f>-J77/B$76</f>
        <v>-0.42066375206450984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3254.2965009406648</v>
      </c>
      <c r="AB77" s="112"/>
      <c r="AC77" s="111">
        <f>AC31*$I$83/4</f>
        <v>4382.2050154067101</v>
      </c>
      <c r="AD77" s="112"/>
      <c r="AE77" s="111">
        <f>AE31*$I$83/4</f>
        <v>4430.6475288424763</v>
      </c>
      <c r="AF77" s="112"/>
      <c r="AG77" s="111">
        <f>AG31*$I$83/4</f>
        <v>4411.6350597210376</v>
      </c>
      <c r="AH77" s="110"/>
      <c r="AI77" s="154">
        <f>SUM(AA77,AC77,AE77,AG77)</f>
        <v>16478.784104910887</v>
      </c>
      <c r="AJ77" s="153">
        <f>SUM(AA77,AC77)</f>
        <v>7636.5015163473745</v>
      </c>
      <c r="AK77" s="160">
        <f>SUM(AE77,AG77)</f>
        <v>8842.2825885635139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-1847.2334154975977</v>
      </c>
      <c r="AB79" s="112"/>
      <c r="AC79" s="112">
        <f>AA79-AA74+AC65-AC70</f>
        <v>-2083.2334154975979</v>
      </c>
      <c r="AD79" s="112"/>
      <c r="AE79" s="112">
        <f>AC79-AC74+AE65-AE70</f>
        <v>-2083.2334154975979</v>
      </c>
      <c r="AF79" s="112"/>
      <c r="AG79" s="112">
        <f>AE79-AE74+AG65-AG70</f>
        <v>-2083.2334154975979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0.16969696969696968</v>
      </c>
      <c r="I104" s="22">
        <f t="shared" si="54"/>
        <v>4.4938140000440477E-3</v>
      </c>
      <c r="J104" s="24">
        <f>IF(I$32&lt;=1+I131,I104,L104+J$33*(I104-L104))</f>
        <v>4.4938140000440477E-3</v>
      </c>
      <c r="K104" s="22">
        <f t="shared" si="56"/>
        <v>2.6481403928830999E-2</v>
      </c>
      <c r="L104" s="22">
        <f t="shared" si="57"/>
        <v>4.4938140000440477E-3</v>
      </c>
      <c r="M104" s="227">
        <f t="shared" si="49"/>
        <v>4.4938140000440477E-3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0.13217296683165272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0.13217296683165272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0.33636363636363642</v>
      </c>
      <c r="I108" s="22">
        <f t="shared" si="61"/>
        <v>0.23381875968979193</v>
      </c>
      <c r="J108" s="24">
        <f t="shared" si="62"/>
        <v>0.23381875968979193</v>
      </c>
      <c r="K108" s="22">
        <f t="shared" si="63"/>
        <v>0.69513685313181373</v>
      </c>
      <c r="L108" s="22">
        <f t="shared" si="64"/>
        <v>0.23381875968979193</v>
      </c>
      <c r="M108" s="227">
        <f t="shared" si="65"/>
        <v>0.23381875968979193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0.33636363636363642</v>
      </c>
      <c r="I109" s="22">
        <f t="shared" si="61"/>
        <v>0.24940667700244473</v>
      </c>
      <c r="J109" s="24">
        <f t="shared" si="62"/>
        <v>0.24940667700244473</v>
      </c>
      <c r="K109" s="22">
        <f t="shared" si="63"/>
        <v>0.74147931000726797</v>
      </c>
      <c r="L109" s="22">
        <f t="shared" si="64"/>
        <v>0.24940667700244473</v>
      </c>
      <c r="M109" s="227">
        <f t="shared" si="65"/>
        <v>0.24940667700244473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0.33636363636363642</v>
      </c>
      <c r="I110" s="22">
        <f t="shared" si="61"/>
        <v>7.4228177679299026E-2</v>
      </c>
      <c r="J110" s="24">
        <f t="shared" si="62"/>
        <v>7.4228177679299026E-2</v>
      </c>
      <c r="K110" s="22">
        <f t="shared" si="63"/>
        <v>0.22067836607359165</v>
      </c>
      <c r="L110" s="22">
        <f t="shared" si="64"/>
        <v>7.4228177679299026E-2</v>
      </c>
      <c r="M110" s="227">
        <f t="shared" si="65"/>
        <v>7.4228177679299026E-2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0.42909090909090908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0.38518405714663273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0.38518405714663273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</v>
      </c>
      <c r="I114" s="22">
        <f t="shared" si="61"/>
        <v>0</v>
      </c>
      <c r="J114" s="24">
        <f t="shared" si="62"/>
        <v>0</v>
      </c>
      <c r="K114" s="22">
        <f t="shared" si="63"/>
        <v>1.3439312493881732</v>
      </c>
      <c r="L114" s="22">
        <f t="shared" si="64"/>
        <v>0</v>
      </c>
      <c r="M114" s="227">
        <f t="shared" si="65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1.0950862991357342</v>
      </c>
      <c r="J119" s="24">
        <f>SUM(J91:J118)</f>
        <v>1.0950862991357342</v>
      </c>
      <c r="K119" s="22">
        <f>SUM(K91:K118)</f>
        <v>3.7857373699924648</v>
      </c>
      <c r="L119" s="22">
        <f>SUM(L91:L118)</f>
        <v>0.95158517617897032</v>
      </c>
      <c r="M119" s="57">
        <f t="shared" si="49"/>
        <v>1.0950862991357342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0.14816655370794529</v>
      </c>
      <c r="J125" s="236">
        <f>IF(SUMPRODUCT($B$124:$B125,$H$124:$H125)&lt;J$119,($B125*$H125),IF(SUMPRODUCT($B$124:$B124,$H$124:$H124)&lt;J$119,J$119-SUMPRODUCT($B$124:$B124,$H$124:$H124),0))</f>
        <v>0.14816655370794529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4.6654307511814208E-3</v>
      </c>
      <c r="M125" s="239">
        <f t="shared" si="66"/>
        <v>0.14816655370794529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0.14816655370794529</v>
      </c>
      <c r="J128" s="227">
        <f>(J30)</f>
        <v>0.14816655370794529</v>
      </c>
      <c r="K128" s="29">
        <f>(B128)</f>
        <v>0.60449541284468955</v>
      </c>
      <c r="L128" s="29">
        <f>IF(L124=L119,0,(L119-L124)/(B119-B124)*K128)</f>
        <v>1.0563753516566207E-3</v>
      </c>
      <c r="M128" s="239">
        <f t="shared" si="66"/>
        <v>0.14816655370794529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1.0950862991357342</v>
      </c>
      <c r="J130" s="227">
        <f>(J119)</f>
        <v>1.0950862991357342</v>
      </c>
      <c r="K130" s="29">
        <f>(B130)</f>
        <v>3.7857373699924648</v>
      </c>
      <c r="L130" s="29">
        <f>(L119)</f>
        <v>0.95158517617897032</v>
      </c>
      <c r="M130" s="239">
        <f t="shared" si="66"/>
        <v>1.0950862991357342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0.9651651432677939</v>
      </c>
      <c r="K131" s="29"/>
      <c r="L131" s="29">
        <f>IF(I131&lt;SUM(L126:L127),0,I131-(SUM(L126:L127)))</f>
        <v>0.9651651432677939</v>
      </c>
      <c r="M131" s="236">
        <f>IF(I131&lt;SUM(M126:M127),0,I131-(SUM(M126:M127)))</f>
        <v>0.9651651432677939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5.6310635118306347E-3</v>
      </c>
      <c r="J6" s="24">
        <f t="shared" ref="J6:J13" si="3">IF(I$32&lt;=1+I$131,I6,B6*H6+J$33*(I6-B6*H6))</f>
        <v>5.6310635118306347E-3</v>
      </c>
      <c r="K6" s="22">
        <f t="shared" ref="K6:K31" si="4">B6</f>
        <v>2.8155317559153171E-2</v>
      </c>
      <c r="L6" s="22">
        <f t="shared" ref="L6:L29" si="5">IF(K6="","",K6*H6)</f>
        <v>5.6310635118306347E-3</v>
      </c>
      <c r="M6" s="223">
        <f t="shared" ref="M6:M31" si="6">J6</f>
        <v>5.6310635118306347E-3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2.2524254047322539E-2</v>
      </c>
      <c r="Z6" s="116">
        <v>0.17</v>
      </c>
      <c r="AA6" s="121">
        <f>$M6*Z6*4</f>
        <v>3.8291231880448317E-3</v>
      </c>
      <c r="AB6" s="116">
        <v>0.17</v>
      </c>
      <c r="AC6" s="121">
        <f t="shared" ref="AC6:AC29" si="7">$M6*AB6*4</f>
        <v>3.8291231880448317E-3</v>
      </c>
      <c r="AD6" s="116">
        <v>0.33</v>
      </c>
      <c r="AE6" s="121">
        <f t="shared" ref="AE6:AE29" si="8">$M6*AD6*4</f>
        <v>7.4330038356164385E-3</v>
      </c>
      <c r="AF6" s="122">
        <f>1-SUM(Z6,AB6,AD6)</f>
        <v>0.32999999999999996</v>
      </c>
      <c r="AG6" s="121">
        <f>$M6*AF6*4</f>
        <v>7.4330038356164368E-3</v>
      </c>
      <c r="AH6" s="123">
        <f>SUM(Z6,AB6,AD6,AF6)</f>
        <v>1</v>
      </c>
      <c r="AI6" s="183">
        <f>SUM(AA6,AC6,AE6,AG6)/4</f>
        <v>5.6310635118306347E-3</v>
      </c>
      <c r="AJ6" s="120">
        <f>(AA6+AC6)/2</f>
        <v>3.8291231880448317E-3</v>
      </c>
      <c r="AK6" s="119">
        <f>(AE6+AG6)/2</f>
        <v>7.4330038356164377E-3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5.234320516811955E-3</v>
      </c>
      <c r="J7" s="24">
        <f t="shared" si="3"/>
        <v>5.234320516811955E-3</v>
      </c>
      <c r="K7" s="22">
        <f t="shared" si="4"/>
        <v>2.6171602584059775E-2</v>
      </c>
      <c r="L7" s="22">
        <f t="shared" si="5"/>
        <v>5.234320516811955E-3</v>
      </c>
      <c r="M7" s="223">
        <f t="shared" si="6"/>
        <v>5.234320516811955E-3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1540.5221976056353</v>
      </c>
      <c r="T7" s="221">
        <f>IF($B$81=0,0,(SUMIF($N$6:$N$28,$U7,M$6:M$28)+SUMIF($N$91:$N$118,$U7,M$91:M$118))*$I$83*Poor!$B$81/$B$81)</f>
        <v>2185.4355579257908</v>
      </c>
      <c r="U7" s="222">
        <v>1</v>
      </c>
      <c r="V7" s="56"/>
      <c r="W7" s="115"/>
      <c r="X7" s="124">
        <v>4</v>
      </c>
      <c r="Y7" s="183">
        <f t="shared" ref="Y7:Y29" si="9">M7*4</f>
        <v>2.093728206724782E-2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2.093728206724782E-2</v>
      </c>
      <c r="AH7" s="123">
        <f t="shared" ref="AH7:AH30" si="12">SUM(Z7,AB7,AD7,AF7)</f>
        <v>1</v>
      </c>
      <c r="AI7" s="183">
        <f t="shared" ref="AI7:AI30" si="13">SUM(AA7,AC7,AE7,AG7)/4</f>
        <v>5.234320516811955E-3</v>
      </c>
      <c r="AJ7" s="120">
        <f t="shared" ref="AJ7:AJ31" si="14">(AA7+AC7)/2</f>
        <v>0</v>
      </c>
      <c r="AK7" s="119">
        <f t="shared" ref="AK7:AK31" si="15">(AE7+AG7)/2</f>
        <v>1.046864103362391E-2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342.99999999999994</v>
      </c>
      <c r="T8" s="221">
        <f>IF($B$81=0,0,(SUMIF($N$6:$N$28,$U8,M$6:M$28)+SUMIF($N$91:$N$118,$U8,M$91:M$118))*$I$83*Poor!$B$81/$B$81)</f>
        <v>62.999999999999986</v>
      </c>
      <c r="U8" s="222">
        <v>2</v>
      </c>
      <c r="V8" s="184"/>
      <c r="W8" s="115"/>
      <c r="X8" s="124"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0.3</v>
      </c>
      <c r="F9" s="28">
        <v>8800</v>
      </c>
      <c r="H9" s="24">
        <f t="shared" si="1"/>
        <v>0.3</v>
      </c>
      <c r="I9" s="22">
        <f t="shared" si="2"/>
        <v>6.1215819349315061E-2</v>
      </c>
      <c r="J9" s="24">
        <f t="shared" si="3"/>
        <v>6.1215819349315061E-2</v>
      </c>
      <c r="K9" s="22">
        <f t="shared" si="4"/>
        <v>0.20405273116438355</v>
      </c>
      <c r="L9" s="22">
        <f t="shared" si="5"/>
        <v>6.1215819349315061E-2</v>
      </c>
      <c r="M9" s="223">
        <f t="shared" si="6"/>
        <v>6.1215819349315061E-2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185.69115085572554</v>
      </c>
      <c r="T9" s="221">
        <f>IF($B$81=0,0,(SUMIF($N$6:$N$28,$U9,M$6:M$28)+SUMIF($N$91:$N$118,$U9,M$91:M$118))*$I$83*Poor!$B$81/$B$81)</f>
        <v>185.69115085572554</v>
      </c>
      <c r="U9" s="222">
        <v>3</v>
      </c>
      <c r="V9" s="56"/>
      <c r="W9" s="115"/>
      <c r="X9" s="124">
        <v>1</v>
      </c>
      <c r="Y9" s="183">
        <f t="shared" si="9"/>
        <v>0.24486327739726024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0.24486327739726024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6.1215819349315061E-2</v>
      </c>
      <c r="AJ9" s="120">
        <f t="shared" si="14"/>
        <v>0.12243163869863012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0.2</v>
      </c>
      <c r="H11" s="24">
        <f t="shared" si="1"/>
        <v>0.2</v>
      </c>
      <c r="I11" s="22">
        <f t="shared" si="2"/>
        <v>8.1748182440846816E-3</v>
      </c>
      <c r="J11" s="24">
        <f t="shared" si="3"/>
        <v>8.1748182440846816E-3</v>
      </c>
      <c r="K11" s="22">
        <f t="shared" si="4"/>
        <v>4.087409122042341E-2</v>
      </c>
      <c r="L11" s="22">
        <f t="shared" si="5"/>
        <v>8.1748182440846816E-3</v>
      </c>
      <c r="M11" s="223">
        <f t="shared" si="6"/>
        <v>8.1748182440846816E-3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2564.14</v>
      </c>
      <c r="T11" s="221">
        <f>IF($B$81=0,0,(SUMIF($N$6:$N$28,$U11,M$6:M$28)+SUMIF($N$91:$N$118,$U11,M$91:M$118))*$I$83*Poor!$B$81/$B$81)</f>
        <v>2564.14</v>
      </c>
      <c r="U11" s="222">
        <v>5</v>
      </c>
      <c r="V11" s="56"/>
      <c r="W11" s="115"/>
      <c r="X11" s="124">
        <v>1</v>
      </c>
      <c r="Y11" s="183">
        <f t="shared" si="9"/>
        <v>3.2699272976338727E-2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3.2699272976338727E-2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8.1748182440846816E-3</v>
      </c>
      <c r="AJ11" s="120">
        <f t="shared" si="14"/>
        <v>1.6349636488169363E-2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0.2</v>
      </c>
      <c r="H12" s="24">
        <f t="shared" si="1"/>
        <v>0.2</v>
      </c>
      <c r="I12" s="22">
        <f t="shared" si="2"/>
        <v>1.4990099626400997E-4</v>
      </c>
      <c r="J12" s="24">
        <f t="shared" si="3"/>
        <v>1.4990099626400997E-4</v>
      </c>
      <c r="K12" s="22">
        <f t="shared" si="4"/>
        <v>7.4950498132004975E-4</v>
      </c>
      <c r="L12" s="22">
        <f t="shared" si="5"/>
        <v>1.4990099626400997E-4</v>
      </c>
      <c r="M12" s="223">
        <f t="shared" si="6"/>
        <v>1.4990099626400997E-4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5.9960398505603987E-4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4.0173466998754672E-4</v>
      </c>
      <c r="AF12" s="122">
        <f>1-SUM(Z12,AB12,AD12)</f>
        <v>0.32999999999999996</v>
      </c>
      <c r="AG12" s="121">
        <f>$M12*AF12*4</f>
        <v>1.9786931506849314E-4</v>
      </c>
      <c r="AH12" s="123">
        <f t="shared" si="12"/>
        <v>1</v>
      </c>
      <c r="AI12" s="183">
        <f t="shared" si="13"/>
        <v>1.4990099626400997E-4</v>
      </c>
      <c r="AJ12" s="120">
        <f t="shared" si="14"/>
        <v>0</v>
      </c>
      <c r="AK12" s="119">
        <f t="shared" si="15"/>
        <v>2.9980199252801993E-4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0.2</v>
      </c>
      <c r="H13" s="24">
        <f t="shared" si="1"/>
        <v>0.2</v>
      </c>
      <c r="I13" s="22">
        <f t="shared" si="2"/>
        <v>2.7617629202988793E-3</v>
      </c>
      <c r="J13" s="24">
        <f t="shared" si="3"/>
        <v>2.7617629202988793E-3</v>
      </c>
      <c r="K13" s="22">
        <f t="shared" si="4"/>
        <v>1.3808814601494395E-2</v>
      </c>
      <c r="L13" s="22">
        <f t="shared" si="5"/>
        <v>2.7617629202988793E-3</v>
      </c>
      <c r="M13" s="224">
        <f t="shared" si="6"/>
        <v>2.7617629202988793E-3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1748.2500000000002</v>
      </c>
      <c r="T13" s="221">
        <f>IF($B$81=0,0,(SUMIF($N$6:$N$28,$U13,M$6:M$28)+SUMIF($N$91:$N$118,$U13,M$91:M$118))*$I$83*Poor!$B$81/$B$81)</f>
        <v>1748.2500000000002</v>
      </c>
      <c r="U13" s="222">
        <v>7</v>
      </c>
      <c r="V13" s="56"/>
      <c r="W13" s="110"/>
      <c r="X13" s="118"/>
      <c r="Y13" s="183">
        <f t="shared" si="9"/>
        <v>1.1047051681195517E-2</v>
      </c>
      <c r="Z13" s="116">
        <v>1</v>
      </c>
      <c r="AA13" s="121">
        <f>$M13*Z13*4</f>
        <v>1.1047051681195517E-2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2.7617629202988793E-3</v>
      </c>
      <c r="AJ13" s="120">
        <f t="shared" si="14"/>
        <v>5.5235258405977586E-3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0.2</v>
      </c>
      <c r="F14" s="22"/>
      <c r="H14" s="24">
        <f t="shared" si="1"/>
        <v>0.2</v>
      </c>
      <c r="I14" s="22">
        <f t="shared" si="2"/>
        <v>3.0814912826899131E-3</v>
      </c>
      <c r="J14" s="24">
        <f>IF(I$32&lt;=1+I131,I14,B14*H14+J$33*(I14-B14*H14))</f>
        <v>3.0814912826899131E-3</v>
      </c>
      <c r="K14" s="22">
        <f t="shared" si="4"/>
        <v>1.5407456413449564E-2</v>
      </c>
      <c r="L14" s="22">
        <f t="shared" si="5"/>
        <v>3.0814912826899131E-3</v>
      </c>
      <c r="M14" s="224">
        <f t="shared" si="6"/>
        <v>3.0814912826899131E-3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1.2325965130759653E-2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1.2325965130759653E-2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3.0814912826899131E-3</v>
      </c>
      <c r="AJ14" s="120">
        <f t="shared" si="14"/>
        <v>6.1629825653798263E-3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0.2</v>
      </c>
      <c r="F15" s="22"/>
      <c r="H15" s="24">
        <f t="shared" si="1"/>
        <v>0.2</v>
      </c>
      <c r="I15" s="22">
        <f t="shared" si="2"/>
        <v>4.7169933063511832E-2</v>
      </c>
      <c r="J15" s="24">
        <f>IF(I$32&lt;=1+I131,I15,B15*H15+J$33*(I15-B15*H15))</f>
        <v>4.7169933063511832E-2</v>
      </c>
      <c r="K15" s="22">
        <f t="shared" si="4"/>
        <v>4.7169933063511839E-2</v>
      </c>
      <c r="L15" s="22">
        <f t="shared" si="5"/>
        <v>9.4339866127023681E-3</v>
      </c>
      <c r="M15" s="225">
        <f t="shared" si="6"/>
        <v>4.7169933063511832E-2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0.18867973225404733</v>
      </c>
      <c r="Z15" s="116">
        <v>0.25</v>
      </c>
      <c r="AA15" s="121">
        <f t="shared" si="16"/>
        <v>4.7169933063511832E-2</v>
      </c>
      <c r="AB15" s="116">
        <v>0.25</v>
      </c>
      <c r="AC15" s="121">
        <f t="shared" si="7"/>
        <v>4.7169933063511832E-2</v>
      </c>
      <c r="AD15" s="116">
        <v>0.25</v>
      </c>
      <c r="AE15" s="121">
        <f t="shared" si="8"/>
        <v>4.7169933063511832E-2</v>
      </c>
      <c r="AF15" s="122">
        <f t="shared" si="10"/>
        <v>0.25</v>
      </c>
      <c r="AG15" s="121">
        <f t="shared" si="11"/>
        <v>4.7169933063511832E-2</v>
      </c>
      <c r="AH15" s="123">
        <f t="shared" si="12"/>
        <v>1</v>
      </c>
      <c r="AI15" s="183">
        <f t="shared" si="13"/>
        <v>4.7169933063511832E-2</v>
      </c>
      <c r="AJ15" s="120">
        <f t="shared" si="14"/>
        <v>4.7169933063511832E-2</v>
      </c>
      <c r="AK15" s="119">
        <f t="shared" si="15"/>
        <v>4.7169933063511832E-2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0.2</v>
      </c>
      <c r="F16" s="22"/>
      <c r="H16" s="24">
        <f t="shared" si="1"/>
        <v>0.2</v>
      </c>
      <c r="I16" s="22">
        <f t="shared" si="2"/>
        <v>2.2766189290161895E-4</v>
      </c>
      <c r="J16" s="24">
        <f>IF(I$32&lt;=1+I131,I16,B16*H16+J$33*(I16-B16*H16))</f>
        <v>2.2766189290161895E-4</v>
      </c>
      <c r="K16" s="22">
        <f t="shared" si="4"/>
        <v>1.1383094645080946E-3</v>
      </c>
      <c r="L16" s="22">
        <f t="shared" si="5"/>
        <v>2.2766189290161895E-4</v>
      </c>
      <c r="M16" s="223">
        <f t="shared" si="6"/>
        <v>2.2766189290161895E-4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2534.3999999999996</v>
      </c>
      <c r="U16" s="222">
        <v>10</v>
      </c>
      <c r="V16" s="56"/>
      <c r="W16" s="110"/>
      <c r="X16" s="118"/>
      <c r="Y16" s="183">
        <f t="shared" si="9"/>
        <v>9.106475716064758E-4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9.106475716064758E-4</v>
      </c>
      <c r="AH16" s="123">
        <f t="shared" si="12"/>
        <v>1</v>
      </c>
      <c r="AI16" s="183">
        <f t="shared" si="13"/>
        <v>2.2766189290161895E-4</v>
      </c>
      <c r="AJ16" s="120">
        <f t="shared" si="14"/>
        <v>0</v>
      </c>
      <c r="AK16" s="119">
        <f t="shared" si="15"/>
        <v>4.553237858032379E-4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0.2</v>
      </c>
      <c r="F17" s="22"/>
      <c r="H17" s="24">
        <f t="shared" si="1"/>
        <v>0.2</v>
      </c>
      <c r="I17" s="22">
        <f t="shared" si="2"/>
        <v>-5.5072322540473224E-4</v>
      </c>
      <c r="J17" s="24">
        <f t="shared" ref="J17:J25" si="17">IF(I$32&lt;=1+I131,I17,B17*H17+J$33*(I17-B17*H17))</f>
        <v>-5.5072322540473224E-4</v>
      </c>
      <c r="K17" s="22">
        <f t="shared" si="4"/>
        <v>-2.7536161270236611E-3</v>
      </c>
      <c r="L17" s="22">
        <f t="shared" si="5"/>
        <v>-5.5072322540473224E-4</v>
      </c>
      <c r="M17" s="224">
        <f t="shared" si="6"/>
        <v>-5.5072322540473224E-4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-2.202892901618929E-3</v>
      </c>
      <c r="Z17" s="116">
        <v>0.29409999999999997</v>
      </c>
      <c r="AA17" s="121">
        <f t="shared" si="16"/>
        <v>-6.4787080236612692E-4</v>
      </c>
      <c r="AB17" s="116">
        <v>0.17649999999999999</v>
      </c>
      <c r="AC17" s="121">
        <f t="shared" si="7"/>
        <v>-3.8881059713574093E-4</v>
      </c>
      <c r="AD17" s="116">
        <v>0.23530000000000001</v>
      </c>
      <c r="AE17" s="121">
        <f t="shared" si="8"/>
        <v>-5.1834069975093401E-4</v>
      </c>
      <c r="AF17" s="122">
        <f t="shared" si="10"/>
        <v>0.29410000000000003</v>
      </c>
      <c r="AG17" s="121">
        <f t="shared" si="11"/>
        <v>-6.4787080236612703E-4</v>
      </c>
      <c r="AH17" s="123">
        <f t="shared" si="12"/>
        <v>1</v>
      </c>
      <c r="AI17" s="183">
        <f t="shared" si="13"/>
        <v>-5.5072322540473224E-4</v>
      </c>
      <c r="AJ17" s="120">
        <f t="shared" si="14"/>
        <v>-5.183406997509339E-4</v>
      </c>
      <c r="AK17" s="119">
        <f t="shared" si="15"/>
        <v>-5.8310575105853047E-4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3.1283686176836862E-4</v>
      </c>
      <c r="J18" s="24">
        <f t="shared" si="17"/>
        <v>3.1283686176836862E-4</v>
      </c>
      <c r="K18" s="22">
        <f t="shared" ref="K18:K20" si="21">B18</f>
        <v>1.5641843088418431E-3</v>
      </c>
      <c r="L18" s="22">
        <f t="shared" ref="L18:L20" si="22">IF(K18="","",K18*H18)</f>
        <v>3.1283686176836862E-4</v>
      </c>
      <c r="M18" s="224">
        <f t="shared" ref="M18:M20" si="23">J18</f>
        <v>3.1283686176836862E-4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1.2513474470734745E-3</v>
      </c>
      <c r="Z18" s="116">
        <v>1.2941</v>
      </c>
      <c r="AA18" s="121">
        <f t="shared" ref="AA18:AA20" si="25">$M18*Z18*4</f>
        <v>1.6193687312577834E-3</v>
      </c>
      <c r="AB18" s="116">
        <v>1.1765000000000001</v>
      </c>
      <c r="AC18" s="121">
        <f t="shared" ref="AC18:AC20" si="26">$M18*AB18*4</f>
        <v>1.4722102714819429E-3</v>
      </c>
      <c r="AD18" s="116">
        <v>1.2353000000000001</v>
      </c>
      <c r="AE18" s="121">
        <f t="shared" ref="AE18:AE20" si="27">$M18*AD18*4</f>
        <v>1.545789501369863E-3</v>
      </c>
      <c r="AF18" s="122">
        <f t="shared" ref="AF18:AF20" si="28">1-SUM(Z18,AB18,AD18)</f>
        <v>-2.7059000000000002</v>
      </c>
      <c r="AG18" s="121">
        <f t="shared" ref="AG18:AG20" si="29">$M18*AF18*4</f>
        <v>-3.3860210570361149E-3</v>
      </c>
      <c r="AH18" s="123">
        <f t="shared" ref="AH18:AH20" si="30">SUM(Z18,AB18,AD18,AF18)</f>
        <v>1</v>
      </c>
      <c r="AI18" s="183">
        <f t="shared" ref="AI18:AI20" si="31">SUM(AA18,AC18,AE18,AG18)/4</f>
        <v>3.1283686176836862E-4</v>
      </c>
      <c r="AJ18" s="120">
        <f t="shared" ref="AJ18:AJ20" si="32">(AA18+AC18)/2</f>
        <v>1.5457895013698633E-3</v>
      </c>
      <c r="AK18" s="119">
        <f t="shared" ref="AK18:AK20" si="33">(AE18+AG18)/2</f>
        <v>-9.2011577783312592E-4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17696.781910916194</v>
      </c>
      <c r="T23" s="179">
        <f>SUM(T7:T22)</f>
        <v>18484.095271236347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0.56576416102117066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11737.309533191699</v>
      </c>
      <c r="T30" s="233">
        <f t="shared" si="50"/>
        <v>10949.996172871546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0.26464021267990301</v>
      </c>
      <c r="AB30" s="122">
        <f>IF($Y30=0,0,AC30/($Y$30))</f>
        <v>0</v>
      </c>
      <c r="AC30" s="187">
        <f>IF(AC79*4/$I$83+SUM(AC6:AC29)&lt;1,AC79*4/$I$83,1-SUM(AC6:AC29))</f>
        <v>-0.17653220167747719</v>
      </c>
      <c r="AD30" s="122">
        <f>IF($Y30=0,0,AE30/($Y$30))</f>
        <v>0</v>
      </c>
      <c r="AE30" s="187">
        <f>IF(AE79*4/$I$83+SUM(AE6:AE29)&lt;1,AE79*4/$I$83,1-SUM(AE6:AE29))</f>
        <v>-0.25601808382360336</v>
      </c>
      <c r="AF30" s="122">
        <f>IF($Y30=0,0,AG30/($Y$30))</f>
        <v>0</v>
      </c>
      <c r="AG30" s="187">
        <f>IF(AG79*4/$I$83+SUM(AG6:AG29)&lt;1,AG79*4/$I$83,1-SUM(AG6:AG29))</f>
        <v>-0.25601808382360336</v>
      </c>
      <c r="AH30" s="123">
        <f t="shared" si="12"/>
        <v>0</v>
      </c>
      <c r="AI30" s="183">
        <f t="shared" si="13"/>
        <v>-0.10598203916119522</v>
      </c>
      <c r="AJ30" s="120">
        <f t="shared" si="14"/>
        <v>4.4054005501212912E-2</v>
      </c>
      <c r="AK30" s="119">
        <f t="shared" si="15"/>
        <v>-0.25601808382360336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0.48781148350107351</v>
      </c>
      <c r="K31" s="22" t="str">
        <f t="shared" si="4"/>
        <v/>
      </c>
      <c r="L31" s="22">
        <f>(1-SUM(L6:L30))</f>
        <v>0.49381537328989511</v>
      </c>
      <c r="M31" s="178">
        <f t="shared" si="6"/>
        <v>0.48781148350107351</v>
      </c>
      <c r="N31" s="167">
        <f>M31*I83</f>
        <v>8336.7762734539556</v>
      </c>
      <c r="P31" s="22"/>
      <c r="Q31" s="237" t="s">
        <v>142</v>
      </c>
      <c r="R31" s="233">
        <f t="shared" si="50"/>
        <v>0</v>
      </c>
      <c r="S31" s="233">
        <f t="shared" si="50"/>
        <v>28232.136199858367</v>
      </c>
      <c r="T31" s="233">
        <f>IF(T25&gt;T$23,T25-T$23,0)</f>
        <v>27444.822839538214</v>
      </c>
      <c r="V31" s="56"/>
      <c r="W31" s="129" t="s">
        <v>84</v>
      </c>
      <c r="X31" s="130"/>
      <c r="Y31" s="121">
        <f>M31*4</f>
        <v>1.951245934004294</v>
      </c>
      <c r="Z31" s="131"/>
      <c r="AA31" s="132">
        <f>1-AA32+IF($Y32&lt;0,$Y32/4,0)</f>
        <v>0</v>
      </c>
      <c r="AB31" s="131"/>
      <c r="AC31" s="133">
        <f>1-AC32+IF($Y32&lt;0,$Y32/4,0)</f>
        <v>0.7386774828692938</v>
      </c>
      <c r="AD31" s="134"/>
      <c r="AE31" s="133">
        <f>1-AE32+IF($Y32&lt;0,$Y32/4,0)</f>
        <v>0.82653966570134774</v>
      </c>
      <c r="AF31" s="134"/>
      <c r="AG31" s="133">
        <f>1-AG32+IF($Y32&lt;0,$Y32/4,0)</f>
        <v>0.80995694207843361</v>
      </c>
      <c r="AH31" s="123"/>
      <c r="AI31" s="182">
        <f>SUM(AA31,AC31,AE31,AG31)/4</f>
        <v>0.59379352266226881</v>
      </c>
      <c r="AJ31" s="135">
        <f t="shared" si="14"/>
        <v>0.3693387414346469</v>
      </c>
      <c r="AK31" s="136">
        <f t="shared" si="15"/>
        <v>0.81824830388989067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0.51218851649892649</v>
      </c>
      <c r="J32" s="17"/>
      <c r="L32" s="22">
        <f>SUM(L6:L30)</f>
        <v>0.50618462671010489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60970.056199858358</v>
      </c>
      <c r="T32" s="233">
        <f t="shared" si="50"/>
        <v>60182.742839538201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0.2613225171307062</v>
      </c>
      <c r="AD32" s="137"/>
      <c r="AE32" s="139">
        <f>SUM(AE6:AE30)</f>
        <v>0.17346033429865226</v>
      </c>
      <c r="AF32" s="137"/>
      <c r="AG32" s="139">
        <f>SUM(AG6:AG30)</f>
        <v>0.19004305792156634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98.579440540208822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19108.04656608426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2065</v>
      </c>
      <c r="J37" s="38">
        <f t="shared" ref="J37:J49" si="53">J91*I$83</f>
        <v>2064.9999999999995</v>
      </c>
      <c r="K37" s="40">
        <f t="shared" ref="K37:K49" si="54">(B37/B$65)</f>
        <v>8.3178858310756221E-2</v>
      </c>
      <c r="L37" s="22">
        <f t="shared" ref="L37:L49" si="55">(K37*H37)</f>
        <v>4.907552640334617E-2</v>
      </c>
      <c r="M37" s="24">
        <f t="shared" ref="M37:M49" si="56">J37/B$65</f>
        <v>4.9075526403346156E-2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0.8596086772607312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1775.0919185434095</v>
      </c>
      <c r="AB37" s="122">
        <f>IF($J37=0,0,AC37/($J37))</f>
        <v>0.1403913227392688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289.90808145659003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2064.9999999999995</v>
      </c>
      <c r="AJ37" s="148">
        <f>(AA37+AC37)</f>
        <v>2064.9999999999995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1.4259232853272494E-2</v>
      </c>
      <c r="L38" s="22">
        <f t="shared" si="55"/>
        <v>8.412947383430772E-3</v>
      </c>
      <c r="M38" s="24">
        <f t="shared" si="56"/>
        <v>8.412947383430772E-3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0.85960867726073109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304.30147175029879</v>
      </c>
      <c r="AB38" s="122">
        <f>IF($J38=0,0,AC38/($J38))</f>
        <v>0.14039132273926896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49.698528249701212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145.13999999999999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145.13999999999999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E13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2.376538808878749E-2</v>
      </c>
      <c r="L45" s="22">
        <f t="shared" si="55"/>
        <v>6.6543086648604968E-3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>E17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>E18</f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7"/>
        <v>225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8">(E50*F50)</f>
        <v>0.27999999999999997</v>
      </c>
      <c r="I50" s="39">
        <f t="shared" ref="I50:I64" si="69">D50*H50</f>
        <v>62.999999999999993</v>
      </c>
      <c r="J50" s="38">
        <f t="shared" ref="J50:J64" si="70">J104*I$83</f>
        <v>62.999999999999986</v>
      </c>
      <c r="K50" s="40">
        <f t="shared" ref="K50:K64" si="71">(B50/B$65)</f>
        <v>5.347212319977185E-3</v>
      </c>
      <c r="L50" s="22">
        <f t="shared" ref="L50:L64" si="72">(K50*H50)</f>
        <v>1.4972194495936116E-3</v>
      </c>
      <c r="M50" s="24">
        <f t="shared" ref="M50:M64" si="73">J50/B$65</f>
        <v>1.4972194495936116E-3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0.2</v>
      </c>
      <c r="F51" s="26">
        <v>1.4</v>
      </c>
      <c r="G51" s="22">
        <f t="shared" si="59"/>
        <v>1.65</v>
      </c>
      <c r="H51" s="24">
        <f t="shared" si="68"/>
        <v>0.27999999999999997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0.2</v>
      </c>
      <c r="F52" s="26">
        <v>1.4</v>
      </c>
      <c r="G52" s="22">
        <f t="shared" si="59"/>
        <v>1.65</v>
      </c>
      <c r="H52" s="24">
        <f t="shared" si="68"/>
        <v>0.27999999999999997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7"/>
        <v>3150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8"/>
        <v>0.55500000000000005</v>
      </c>
      <c r="I54" s="39">
        <f t="shared" si="69"/>
        <v>1748.2500000000002</v>
      </c>
      <c r="J54" s="38">
        <f t="shared" si="70"/>
        <v>1748.2500000000002</v>
      </c>
      <c r="K54" s="40">
        <f t="shared" si="71"/>
        <v>7.4860972479680599E-2</v>
      </c>
      <c r="L54" s="22">
        <f t="shared" si="72"/>
        <v>4.1547839726222738E-2</v>
      </c>
      <c r="M54" s="24">
        <f t="shared" si="73"/>
        <v>4.1547839726222738E-2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8"/>
        <v>0.55500000000000005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8"/>
        <v>0.55500000000000005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0.6</v>
      </c>
      <c r="F57" s="26">
        <v>1.18</v>
      </c>
      <c r="G57" s="22">
        <f t="shared" si="59"/>
        <v>1.65</v>
      </c>
      <c r="H57" s="24">
        <f t="shared" si="68"/>
        <v>0.70799999999999996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7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8"/>
        <v>0.8</v>
      </c>
      <c r="I58" s="39">
        <f t="shared" si="69"/>
        <v>2534.4</v>
      </c>
      <c r="J58" s="38">
        <f t="shared" si="70"/>
        <v>2534.3999999999996</v>
      </c>
      <c r="K58" s="40">
        <f t="shared" si="71"/>
        <v>6.274062455439898E-2</v>
      </c>
      <c r="L58" s="22">
        <f t="shared" si="72"/>
        <v>5.0192499643519184E-2</v>
      </c>
      <c r="M58" s="24">
        <f t="shared" si="73"/>
        <v>6.0230999572223005E-2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633.59999999999991</v>
      </c>
      <c r="AB58" s="116">
        <v>0.25</v>
      </c>
      <c r="AC58" s="147">
        <f t="shared" si="65"/>
        <v>633.59999999999991</v>
      </c>
      <c r="AD58" s="116">
        <v>0.25</v>
      </c>
      <c r="AE58" s="147">
        <f t="shared" si="66"/>
        <v>633.59999999999991</v>
      </c>
      <c r="AF58" s="122">
        <f t="shared" si="57"/>
        <v>0.25</v>
      </c>
      <c r="AG58" s="147">
        <f t="shared" si="60"/>
        <v>633.59999999999991</v>
      </c>
      <c r="AH58" s="123">
        <f t="shared" si="61"/>
        <v>1</v>
      </c>
      <c r="AI58" s="112">
        <f t="shared" si="61"/>
        <v>2534.3999999999996</v>
      </c>
      <c r="AJ58" s="148">
        <f t="shared" si="62"/>
        <v>1267.1999999999998</v>
      </c>
      <c r="AK58" s="147">
        <f t="shared" si="63"/>
        <v>1267.1999999999998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8"/>
        <v>0.94399999999999995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7"/>
        <v>24840</v>
      </c>
      <c r="E60" s="26">
        <v>0</v>
      </c>
      <c r="F60" s="26">
        <v>1.18</v>
      </c>
      <c r="G60" s="22">
        <f t="shared" si="59"/>
        <v>1.65</v>
      </c>
      <c r="H60" s="24">
        <f t="shared" si="68"/>
        <v>0</v>
      </c>
      <c r="I60" s="39">
        <f t="shared" si="69"/>
        <v>0</v>
      </c>
      <c r="J60" s="38">
        <f t="shared" si="70"/>
        <v>0</v>
      </c>
      <c r="K60" s="40">
        <f t="shared" si="71"/>
        <v>0.59033224012548124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7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8"/>
        <v>1.1100000000000001</v>
      </c>
      <c r="I61" s="39">
        <f t="shared" si="69"/>
        <v>6660.0000000000009</v>
      </c>
      <c r="J61" s="38">
        <f t="shared" si="70"/>
        <v>6659.9999999999991</v>
      </c>
      <c r="K61" s="40">
        <f t="shared" si="71"/>
        <v>0.14259232853272494</v>
      </c>
      <c r="L61" s="22">
        <f t="shared" si="72"/>
        <v>0.15827748467132469</v>
      </c>
      <c r="M61" s="24">
        <f t="shared" si="73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4"/>
        <v>1</v>
      </c>
      <c r="AI61" s="112">
        <f t="shared" si="74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13569.79</v>
      </c>
      <c r="J65" s="39">
        <f>SUM(J37:J64)</f>
        <v>13569.789999999997</v>
      </c>
      <c r="K65" s="40">
        <f>SUM(K37:K64)</f>
        <v>1</v>
      </c>
      <c r="L65" s="22">
        <f>SUM(L37:L64)</f>
        <v>0.31910713436950428</v>
      </c>
      <c r="M65" s="24">
        <f>SUM(M37:M64)</f>
        <v>0.32249132563334759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4523.1333902937076</v>
      </c>
      <c r="AB65" s="137"/>
      <c r="AC65" s="153">
        <f>SUM(AC37:AC64)</f>
        <v>2638.2066097062907</v>
      </c>
      <c r="AD65" s="137"/>
      <c r="AE65" s="153">
        <f>SUM(AE37:AE64)</f>
        <v>2298.5999999999995</v>
      </c>
      <c r="AF65" s="137"/>
      <c r="AG65" s="153">
        <f>SUM(AG37:AG64)</f>
        <v>2298.5999999999995</v>
      </c>
      <c r="AH65" s="137"/>
      <c r="AI65" s="153">
        <f>SUM(AI37:AI64)</f>
        <v>11758.539999999997</v>
      </c>
      <c r="AJ65" s="153">
        <f>SUM(AJ37:AJ64)</f>
        <v>7161.3399999999983</v>
      </c>
      <c r="AK65" s="153">
        <f>SUM(AK37:AK64)</f>
        <v>4597.1999999999989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13569.789999999999</v>
      </c>
      <c r="J70" s="51">
        <f t="shared" ref="J70:J77" si="75">J124*I$83</f>
        <v>13569.789999999999</v>
      </c>
      <c r="K70" s="40">
        <f>B70/B$76</f>
        <v>0.2747110790745349</v>
      </c>
      <c r="L70" s="22">
        <f t="shared" ref="L70:L75" si="76">(L124*G$37*F$9/F$7)/B$130</f>
        <v>0.31910713436950433</v>
      </c>
      <c r="M70" s="24">
        <f>J70/B$76</f>
        <v>0.32249132563334759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3392.4474999999998</v>
      </c>
      <c r="AB70" s="116">
        <v>0.25</v>
      </c>
      <c r="AC70" s="147">
        <f>$J70*AB70</f>
        <v>3392.4474999999998</v>
      </c>
      <c r="AD70" s="116">
        <v>0.25</v>
      </c>
      <c r="AE70" s="147">
        <f>$J70*AD70</f>
        <v>3392.4474999999998</v>
      </c>
      <c r="AF70" s="122">
        <f>1-SUM(Z70,AB70,AD70)</f>
        <v>0.25</v>
      </c>
      <c r="AG70" s="147">
        <f>$J70*AF70</f>
        <v>3392.4474999999998</v>
      </c>
      <c r="AH70" s="155">
        <f>SUM(Z70,AB70,AD70,AF70)</f>
        <v>1</v>
      </c>
      <c r="AI70" s="147">
        <f>SUM(AA70,AC70,AE70,AG70)</f>
        <v>13569.789999999999</v>
      </c>
      <c r="AJ70" s="148">
        <f>(AA70+AC70)</f>
        <v>6784.8949999999995</v>
      </c>
      <c r="AK70" s="147">
        <f>(AE70+AG70)</f>
        <v>6784.8949999999995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0.33220843829713076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0.65934692713532017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3.3746851086078236E-2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0.13926517420029469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1130.6858902937086</v>
      </c>
      <c r="AB74" s="156"/>
      <c r="AC74" s="147">
        <f>AC30*$I$83/4</f>
        <v>-754.24089029370998</v>
      </c>
      <c r="AD74" s="156"/>
      <c r="AE74" s="147">
        <f>AE30*$I$83/4</f>
        <v>-1093.8475000000003</v>
      </c>
      <c r="AF74" s="156"/>
      <c r="AG74" s="147">
        <f>AG30*$I$83/4</f>
        <v>-1093.8475000000003</v>
      </c>
      <c r="AH74" s="155"/>
      <c r="AI74" s="147">
        <f>SUM(AA74,AC74,AE74,AG74)</f>
        <v>-1811.250000000002</v>
      </c>
      <c r="AJ74" s="148">
        <f>(AA74+AC74)</f>
        <v>376.44499999999857</v>
      </c>
      <c r="AK74" s="147">
        <f>(AE74+AG74)</f>
        <v>-2187.6950000000006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13569.789999999999</v>
      </c>
      <c r="J76" s="51">
        <f t="shared" si="75"/>
        <v>13569.789999999999</v>
      </c>
      <c r="K76" s="40">
        <f>SUM(K70:K75)</f>
        <v>1.4392784697933587</v>
      </c>
      <c r="L76" s="22">
        <f>SUM(L70:L75)</f>
        <v>0.31910713436950433</v>
      </c>
      <c r="M76" s="24">
        <f>SUM(M70:M75)</f>
        <v>0.32249132563334759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4523.1333902937076</v>
      </c>
      <c r="AB76" s="137"/>
      <c r="AC76" s="153">
        <f>AC65</f>
        <v>2638.2066097062907</v>
      </c>
      <c r="AD76" s="137"/>
      <c r="AE76" s="153">
        <f>AE65</f>
        <v>2298.5999999999995</v>
      </c>
      <c r="AF76" s="137"/>
      <c r="AG76" s="153">
        <f>AG65</f>
        <v>2298.5999999999995</v>
      </c>
      <c r="AH76" s="137"/>
      <c r="AI76" s="153">
        <f>SUM(AA76,AC76,AE76,AG76)</f>
        <v>11758.539999999997</v>
      </c>
      <c r="AJ76" s="154">
        <f>SUM(AA76,AC76)</f>
        <v>7161.3399999999983</v>
      </c>
      <c r="AK76" s="154">
        <f>SUM(AE76,AG76)</f>
        <v>4597.1999999999989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19108.04656608426</v>
      </c>
      <c r="J77" s="100">
        <f t="shared" si="75"/>
        <v>19108.04656608426</v>
      </c>
      <c r="K77" s="40"/>
      <c r="L77" s="22">
        <f>-(L131*G$37*F$9/F$7)/B$130</f>
        <v>-0.45411014226161567</v>
      </c>
      <c r="M77" s="24">
        <f>-J77/B$76</f>
        <v>-0.45411014226161556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3156.0290815221588</v>
      </c>
      <c r="AD77" s="112"/>
      <c r="AE77" s="111">
        <f>AE31*$I$83/4</f>
        <v>3531.4237708348228</v>
      </c>
      <c r="AF77" s="112"/>
      <c r="AG77" s="111">
        <f>AG31*$I$83/4</f>
        <v>3460.5734210969767</v>
      </c>
      <c r="AH77" s="110"/>
      <c r="AI77" s="154">
        <f>SUM(AA77,AC77,AE77,AG77)</f>
        <v>10148.026273453957</v>
      </c>
      <c r="AJ77" s="153">
        <f>SUM(AA77,AC77)</f>
        <v>3156.0290815221588</v>
      </c>
      <c r="AK77" s="160">
        <f>SUM(AE77,AG77)</f>
        <v>6991.9971919317995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1130.6858902937079</v>
      </c>
      <c r="AB79" s="112"/>
      <c r="AC79" s="112">
        <f>AA79-AA74+AC65-AC70</f>
        <v>-754.24089029370998</v>
      </c>
      <c r="AD79" s="112"/>
      <c r="AE79" s="112">
        <f>AC79-AC74+AE65-AE70</f>
        <v>-1093.8475000000003</v>
      </c>
      <c r="AF79" s="112"/>
      <c r="AG79" s="112">
        <f>AE79-AE74+AG65-AG70</f>
        <v>-1093.8475000000003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0.33791374805018726</v>
      </c>
      <c r="C91" s="60">
        <f t="shared" si="81"/>
        <v>0</v>
      </c>
      <c r="D91" s="24">
        <f>SUM(B91,C91)</f>
        <v>0.33791374805018726</v>
      </c>
      <c r="H91" s="24">
        <f>(E37*F37/G37*F$7/F$9)</f>
        <v>0.3575757575757576</v>
      </c>
      <c r="I91" s="22">
        <f t="shared" ref="I91" si="82">(D91*H91)</f>
        <v>0.12082976445430939</v>
      </c>
      <c r="J91" s="24">
        <f>IF(I$32&lt;=1+I$131,I91,L91+J$33*(I91-L91))</f>
        <v>0.12082976445430939</v>
      </c>
      <c r="K91" s="22">
        <f t="shared" ref="K91" si="83">IF(B91="",0,B91)</f>
        <v>0.33791374805018726</v>
      </c>
      <c r="L91" s="22">
        <f t="shared" ref="L91" si="84">(K91*H91)</f>
        <v>0.12082976445430939</v>
      </c>
      <c r="M91" s="226">
        <f t="shared" si="80"/>
        <v>0.12082976445430939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5.7928071094317815E-2</v>
      </c>
      <c r="C92" s="60">
        <f t="shared" si="81"/>
        <v>0</v>
      </c>
      <c r="D92" s="24">
        <f t="shared" ref="D92:D118" si="86">SUM(B92,C92)</f>
        <v>5.7928071094317815E-2</v>
      </c>
      <c r="H92" s="24">
        <f t="shared" ref="H92:H118" si="87">(E38*F38/G38*F$7/F$9)</f>
        <v>0.3575757575757576</v>
      </c>
      <c r="I92" s="22">
        <f t="shared" ref="I92:I118" si="88">(D92*H92)</f>
        <v>2.071367390645304E-2</v>
      </c>
      <c r="J92" s="24">
        <f t="shared" ref="J92:J118" si="89">IF(I$32&lt;=1+I$131,I92,L92+J$33*(I92-L92))</f>
        <v>2.071367390645304E-2</v>
      </c>
      <c r="K92" s="22">
        <f t="shared" ref="K92:K118" si="90">IF(B92="",0,B92)</f>
        <v>5.7928071094317815E-2</v>
      </c>
      <c r="L92" s="22">
        <f t="shared" ref="L92:L118" si="91">(K92*H92)</f>
        <v>2.071367390645304E-2</v>
      </c>
      <c r="M92" s="226">
        <f t="shared" ref="M92:M118" si="92">(J92)</f>
        <v>2.071367390645304E-2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1.1875254574335152E-2</v>
      </c>
      <c r="C93" s="60">
        <f t="shared" si="81"/>
        <v>0</v>
      </c>
      <c r="D93" s="24">
        <f t="shared" si="86"/>
        <v>1.1875254574335152E-2</v>
      </c>
      <c r="H93" s="24">
        <f t="shared" si="87"/>
        <v>0.7151515151515152</v>
      </c>
      <c r="I93" s="22">
        <f t="shared" si="88"/>
        <v>8.4926063016457463E-3</v>
      </c>
      <c r="J93" s="24">
        <f t="shared" si="89"/>
        <v>8.4926063016457463E-3</v>
      </c>
      <c r="K93" s="22">
        <f t="shared" si="90"/>
        <v>1.1875254574335152E-2</v>
      </c>
      <c r="L93" s="22">
        <f t="shared" si="91"/>
        <v>8.4926063016457463E-3</v>
      </c>
      <c r="M93" s="226">
        <f t="shared" si="92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Sorghum: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6">
        <f t="shared" si="92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no. local meas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Groundnuts (dry): no. local meas</v>
      </c>
      <c r="B99" s="60">
        <f t="shared" si="81"/>
        <v>9.6546785157196363E-2</v>
      </c>
      <c r="C99" s="60">
        <f t="shared" si="81"/>
        <v>-9.6546785157196363E-2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9.6546785157196363E-2</v>
      </c>
      <c r="L99" s="22">
        <f t="shared" si="91"/>
        <v>1.6383696875160593E-2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type (green vegetables)Cabbage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0.16969696969696968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crop: pumpkin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Spinach: no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0.16969696969696968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cashcrop: kg produced (Tomato)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0.16969696969696968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cashcrop: kg produced (Onions)</v>
      </c>
      <c r="B104" s="60">
        <f t="shared" si="81"/>
        <v>2.1723026660369182E-2</v>
      </c>
      <c r="C104" s="60">
        <f t="shared" si="81"/>
        <v>0</v>
      </c>
      <c r="D104" s="24">
        <f t="shared" si="86"/>
        <v>2.1723026660369182E-2</v>
      </c>
      <c r="H104" s="24">
        <f t="shared" si="87"/>
        <v>0.16969696969696968</v>
      </c>
      <c r="I104" s="22">
        <f t="shared" si="88"/>
        <v>3.6863317969111336E-3</v>
      </c>
      <c r="J104" s="24">
        <f t="shared" si="89"/>
        <v>3.6863317969111336E-3</v>
      </c>
      <c r="K104" s="22">
        <f t="shared" si="90"/>
        <v>2.1723026660369182E-2</v>
      </c>
      <c r="L104" s="22">
        <f t="shared" si="91"/>
        <v>3.6863317969111336E-3</v>
      </c>
      <c r="M104" s="226">
        <f t="shared" si="92"/>
        <v>3.6863317969111336E-3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cashcrop: kg produced (Amadumbe)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0.16969696969696968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Sugercane: MT sold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0.16969696969696968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cash income -- see Data2</v>
      </c>
      <c r="B108" s="60">
        <f t="shared" si="81"/>
        <v>0.30412237324516855</v>
      </c>
      <c r="C108" s="60">
        <f t="shared" si="81"/>
        <v>0</v>
      </c>
      <c r="D108" s="24">
        <f t="shared" si="86"/>
        <v>0.30412237324516855</v>
      </c>
      <c r="H108" s="24">
        <f t="shared" si="87"/>
        <v>0.33636363636363642</v>
      </c>
      <c r="I108" s="22">
        <f t="shared" si="88"/>
        <v>0.10229570736428399</v>
      </c>
      <c r="J108" s="24">
        <f t="shared" si="89"/>
        <v>0.10229570736428399</v>
      </c>
      <c r="K108" s="22">
        <f t="shared" si="90"/>
        <v>0.30412237324516855</v>
      </c>
      <c r="L108" s="22">
        <f t="shared" si="91"/>
        <v>0.10229570736428399</v>
      </c>
      <c r="M108" s="226">
        <f t="shared" si="92"/>
        <v>0.10229570736428399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cash income -- see Data2</v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0.33636363636363642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work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0.33636363636363642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Formal Employment (conservancies, etc.)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0.42909090909090908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Self-employment -- see Data2</v>
      </c>
      <c r="B112" s="60">
        <f t="shared" si="81"/>
        <v>0.25488351281499838</v>
      </c>
      <c r="C112" s="60">
        <f t="shared" si="81"/>
        <v>5.097670256299968E-2</v>
      </c>
      <c r="D112" s="24">
        <f t="shared" si="86"/>
        <v>0.30586021537799807</v>
      </c>
      <c r="H112" s="24">
        <f t="shared" si="87"/>
        <v>0.48484848484848486</v>
      </c>
      <c r="I112" s="22">
        <f t="shared" si="88"/>
        <v>0.14829586200145362</v>
      </c>
      <c r="J112" s="24">
        <f t="shared" si="89"/>
        <v>0.14829586200145362</v>
      </c>
      <c r="K112" s="22">
        <f t="shared" si="90"/>
        <v>0.25488351281499838</v>
      </c>
      <c r="L112" s="22">
        <f t="shared" si="91"/>
        <v>0.12357988500121134</v>
      </c>
      <c r="M112" s="226">
        <f t="shared" si="92"/>
        <v>0.14829586200145362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Small business -- see Data2</v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0.57212121212121214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Social development -- see Data2</v>
      </c>
      <c r="B114" s="60">
        <f t="shared" si="81"/>
        <v>2.3982221433047575</v>
      </c>
      <c r="C114" s="60">
        <f t="shared" si="81"/>
        <v>0</v>
      </c>
      <c r="D114" s="24">
        <f t="shared" si="86"/>
        <v>2.3982221433047575</v>
      </c>
      <c r="H114" s="24">
        <f t="shared" si="87"/>
        <v>0</v>
      </c>
      <c r="I114" s="22">
        <f t="shared" si="88"/>
        <v>0</v>
      </c>
      <c r="J114" s="24">
        <f t="shared" si="89"/>
        <v>0</v>
      </c>
      <c r="K114" s="22">
        <f t="shared" si="90"/>
        <v>2.3982221433047575</v>
      </c>
      <c r="L114" s="22">
        <f t="shared" si="91"/>
        <v>0</v>
      </c>
      <c r="M114" s="226">
        <f t="shared" si="92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Remittances: no. times per year</v>
      </c>
      <c r="B115" s="60">
        <f t="shared" si="81"/>
        <v>0.57928071094317812</v>
      </c>
      <c r="C115" s="60">
        <f t="shared" si="81"/>
        <v>0</v>
      </c>
      <c r="D115" s="24">
        <f t="shared" si="86"/>
        <v>0.57928071094317812</v>
      </c>
      <c r="H115" s="24">
        <f t="shared" si="87"/>
        <v>0.67272727272727284</v>
      </c>
      <c r="I115" s="22">
        <f t="shared" si="88"/>
        <v>0.38969793281631987</v>
      </c>
      <c r="J115" s="24">
        <f t="shared" si="89"/>
        <v>0.38969793281631987</v>
      </c>
      <c r="K115" s="22">
        <f t="shared" si="90"/>
        <v>0.57928071094317812</v>
      </c>
      <c r="L115" s="22">
        <f t="shared" si="91"/>
        <v>0.38969793281631987</v>
      </c>
      <c r="M115" s="226">
        <f t="shared" si="92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0.79401187864137679</v>
      </c>
      <c r="J119" s="24">
        <f>SUM(J91:J118)</f>
        <v>0.79401187864137679</v>
      </c>
      <c r="K119" s="22">
        <f>SUM(K91:K118)</f>
        <v>4.062495625844508</v>
      </c>
      <c r="L119" s="22">
        <f>SUM(L91:L118)</f>
        <v>0.78567959851629521</v>
      </c>
      <c r="M119" s="57">
        <f t="shared" si="80"/>
        <v>0.79401187864137679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0.79401187864137679</v>
      </c>
      <c r="J124" s="236">
        <f>IF(SUMPRODUCT($B$124:$B124,$H$124:$H124)&lt;J$119,($B124*$H124),J$119)</f>
        <v>0.79401187864137679</v>
      </c>
      <c r="K124" s="29">
        <f>(B124)</f>
        <v>1.1160125571113229</v>
      </c>
      <c r="L124" s="29">
        <f>IF(SUMPRODUCT($B$124:$B124,$H$124:$H124)&lt;L$119,($B124*$H124),L$119)</f>
        <v>0.78567959851629521</v>
      </c>
      <c r="M124" s="239">
        <f t="shared" si="93"/>
        <v>0.79401187864137679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0.56576416102117066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0.79401187864137679</v>
      </c>
      <c r="J130" s="227">
        <f>(J119)</f>
        <v>0.79401187864137679</v>
      </c>
      <c r="K130" s="29">
        <f>(B130)</f>
        <v>4.062495625844508</v>
      </c>
      <c r="L130" s="29">
        <f>(L119)</f>
        <v>0.78567959851629521</v>
      </c>
      <c r="M130" s="239">
        <f t="shared" si="93"/>
        <v>0.79401187864137679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1.1180730100542067</v>
      </c>
      <c r="J131" s="236">
        <f>IF(SUMPRODUCT($B124:$B125,$H124:$H125)&gt;(J119-J128),SUMPRODUCT($B124:$B125,$H124:$H125)+J128-J119,0)</f>
        <v>1.1180730100542067</v>
      </c>
      <c r="K131" s="29"/>
      <c r="L131" s="29">
        <f>IF(I131&lt;SUM(L126:L127),0,I131-(SUM(L126:L127)))</f>
        <v>1.1180730100542067</v>
      </c>
      <c r="M131" s="236">
        <f>IF(I131&lt;SUM(M126:M127),0,I131-(SUM(M126:M127)))</f>
        <v>1.1180730100542067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1.6922984522326986E-2</v>
      </c>
      <c r="J6" s="24">
        <f t="shared" ref="J6:J13" si="3">IF(I$32&lt;=1+I$131,I6,B6*H6+J$33*(I6-B6*H6))</f>
        <v>1.6922984522326986E-2</v>
      </c>
      <c r="K6" s="22">
        <f t="shared" ref="K6:K31" si="4">B6</f>
        <v>8.4614922611634932E-2</v>
      </c>
      <c r="L6" s="22">
        <f t="shared" ref="L6:L29" si="5">IF(K6="","",K6*H6)</f>
        <v>1.6922984522326986E-2</v>
      </c>
      <c r="M6" s="223">
        <f t="shared" ref="M6:M31" si="6">J6</f>
        <v>1.6922984522326986E-2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6.7691938089307943E-2</v>
      </c>
      <c r="Z6" s="156">
        <f>Poor!Z6</f>
        <v>0.17</v>
      </c>
      <c r="AA6" s="121">
        <f>$M6*Z6*4</f>
        <v>1.1507629475182352E-2</v>
      </c>
      <c r="AB6" s="156">
        <f>Poor!AB6</f>
        <v>0.17</v>
      </c>
      <c r="AC6" s="121">
        <f t="shared" ref="AC6:AC29" si="7">$M6*AB6*4</f>
        <v>1.1507629475182352E-2</v>
      </c>
      <c r="AD6" s="156">
        <f>Poor!AD6</f>
        <v>0.33</v>
      </c>
      <c r="AE6" s="121">
        <f t="shared" ref="AE6:AE29" si="8">$M6*AD6*4</f>
        <v>2.2338339569471621E-2</v>
      </c>
      <c r="AF6" s="122">
        <f>1-SUM(Z6,AB6,AD6)</f>
        <v>0.32999999999999996</v>
      </c>
      <c r="AG6" s="121">
        <f>$M6*AF6*4</f>
        <v>2.2338339569471618E-2</v>
      </c>
      <c r="AH6" s="123">
        <f>SUM(Z6,AB6,AD6,AF6)</f>
        <v>1</v>
      </c>
      <c r="AI6" s="183">
        <f>SUM(AA6,AC6,AE6,AG6)/4</f>
        <v>1.6922984522326986E-2</v>
      </c>
      <c r="AJ6" s="120">
        <f>(AA6+AC6)/2</f>
        <v>1.1507629475182352E-2</v>
      </c>
      <c r="AK6" s="119">
        <f>(AE6+AG6)/2</f>
        <v>2.2338339569471621E-2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1.7178122220245513E-2</v>
      </c>
      <c r="J7" s="24">
        <f t="shared" si="3"/>
        <v>1.7178122220245513E-2</v>
      </c>
      <c r="K7" s="22">
        <f t="shared" si="4"/>
        <v>8.589061110122756E-2</v>
      </c>
      <c r="L7" s="22">
        <f t="shared" si="5"/>
        <v>1.7178122220245513E-2</v>
      </c>
      <c r="M7" s="223">
        <f t="shared" si="6"/>
        <v>1.7178122220245513E-2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1374.1503620129831</v>
      </c>
      <c r="T7" s="221">
        <f>IF($B$81=0,0,(SUMIF($N$6:$N$28,$U7,M$6:M$28)+SUMIF($N$91:$N$118,$U7,M$91:M$118))*$I$83*Poor!$B$81/$B$81)</f>
        <v>1554.4077929993477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6.8712488880982053E-2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6.8712488880982053E-2</v>
      </c>
      <c r="AH7" s="123">
        <f t="shared" ref="AH7:AH30" si="12">SUM(Z7,AB7,AD7,AF7)</f>
        <v>1</v>
      </c>
      <c r="AI7" s="183">
        <f t="shared" ref="AI7:AI30" si="13">SUM(AA7,AC7,AE7,AG7)/4</f>
        <v>1.7178122220245513E-2</v>
      </c>
      <c r="AJ7" s="120">
        <f t="shared" ref="AJ7:AJ31" si="14">(AA7+AC7)/2</f>
        <v>0</v>
      </c>
      <c r="AK7" s="119">
        <f t="shared" ref="AK7:AK31" si="15">(AE7+AG7)/2</f>
        <v>3.4356244440491027E-2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2176.3200000000002</v>
      </c>
      <c r="T8" s="221">
        <f>IF($B$81=0,0,(SUMIF($N$6:$N$28,$U8,M$6:M$28)+SUMIF($N$91:$N$118,$U8,M$91:M$118))*$I$83*Poor!$B$81/$B$81)</f>
        <v>2028.4765338115856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8.6183762230919753E-2</v>
      </c>
      <c r="J9" s="24">
        <f t="shared" si="3"/>
        <v>4.9081944404973737E-2</v>
      </c>
      <c r="K9" s="22">
        <f t="shared" si="4"/>
        <v>0.15208899217221136</v>
      </c>
      <c r="L9" s="22">
        <f t="shared" si="5"/>
        <v>4.5626697651663405E-2</v>
      </c>
      <c r="M9" s="223">
        <f t="shared" si="6"/>
        <v>4.9081944404973737E-2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582.79336835122604</v>
      </c>
      <c r="T9" s="221">
        <f>IF($B$81=0,0,(SUMIF($N$6:$N$28,$U9,M$6:M$28)+SUMIF($N$91:$N$118,$U9,M$91:M$118))*$I$83*Poor!$B$81/$B$81)</f>
        <v>582.79336835122604</v>
      </c>
      <c r="U9" s="222">
        <v>3</v>
      </c>
      <c r="V9" s="56"/>
      <c r="W9" s="115"/>
      <c r="X9" s="118">
        <f>Poor!X9</f>
        <v>1</v>
      </c>
      <c r="Y9" s="183">
        <f t="shared" si="9"/>
        <v>0.19632777761989495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0.19632777761989495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4.9081944404973737E-2</v>
      </c>
      <c r="AJ9" s="120">
        <f t="shared" si="14"/>
        <v>9.8163888809947475E-2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0.3</v>
      </c>
      <c r="H10" s="24">
        <f t="shared" si="1"/>
        <v>0.3</v>
      </c>
      <c r="I10" s="22">
        <f t="shared" si="2"/>
        <v>2.974743373065291E-2</v>
      </c>
      <c r="J10" s="24">
        <f t="shared" si="3"/>
        <v>1.1605360275817043E-2</v>
      </c>
      <c r="K10" s="22">
        <f t="shared" si="4"/>
        <v>3.3052704145169899E-2</v>
      </c>
      <c r="L10" s="22">
        <f t="shared" si="5"/>
        <v>9.9158112435509694E-3</v>
      </c>
      <c r="M10" s="223">
        <f t="shared" si="6"/>
        <v>1.1605360275817043E-2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4.6421441103268173E-2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4.6421441103268173E-2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1.1605360275817043E-2</v>
      </c>
      <c r="AJ10" s="120">
        <f t="shared" si="14"/>
        <v>2.3210720551634086E-2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0.2</v>
      </c>
      <c r="H11" s="24">
        <f t="shared" si="1"/>
        <v>0.2</v>
      </c>
      <c r="I11" s="22">
        <f t="shared" si="2"/>
        <v>8.0801292296744359E-3</v>
      </c>
      <c r="J11" s="24">
        <f t="shared" si="3"/>
        <v>8.0801292296744359E-3</v>
      </c>
      <c r="K11" s="22">
        <f t="shared" si="4"/>
        <v>4.0400646148372181E-2</v>
      </c>
      <c r="L11" s="22">
        <f t="shared" si="5"/>
        <v>8.0801292296744359E-3</v>
      </c>
      <c r="M11" s="223">
        <f t="shared" si="6"/>
        <v>8.0801292296744359E-3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15774.240000000002</v>
      </c>
      <c r="T11" s="221">
        <f>IF($B$81=0,0,(SUMIF($N$6:$N$28,$U11,M$6:M$28)+SUMIF($N$91:$N$118,$U11,M$91:M$118))*$I$83*Poor!$B$81/$B$81)</f>
        <v>15004.469417240325</v>
      </c>
      <c r="U11" s="222">
        <v>5</v>
      </c>
      <c r="V11" s="56"/>
      <c r="W11" s="115"/>
      <c r="X11" s="118">
        <f>Poor!X11</f>
        <v>1</v>
      </c>
      <c r="Y11" s="183">
        <f t="shared" si="9"/>
        <v>3.2320516918697743E-2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3.2320516918697743E-2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8.0801292296744359E-3</v>
      </c>
      <c r="AJ11" s="120">
        <f t="shared" si="14"/>
        <v>1.6160258459348872E-2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0.2</v>
      </c>
      <c r="H12" s="24">
        <f t="shared" si="1"/>
        <v>0.2</v>
      </c>
      <c r="I12" s="22">
        <f t="shared" si="2"/>
        <v>1.4561811065646682E-4</v>
      </c>
      <c r="J12" s="24">
        <f t="shared" si="3"/>
        <v>1.4561811065646682E-4</v>
      </c>
      <c r="K12" s="22">
        <f t="shared" si="4"/>
        <v>7.2809055328233404E-4</v>
      </c>
      <c r="L12" s="22">
        <f t="shared" si="5"/>
        <v>1.4561811065646682E-4</v>
      </c>
      <c r="M12" s="223">
        <f t="shared" si="6"/>
        <v>1.4561811065646682E-4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5.8247244262586728E-4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3.902565365593311E-4</v>
      </c>
      <c r="AF12" s="122">
        <f>1-SUM(Z12,AB12,AD12)</f>
        <v>0.32999999999999996</v>
      </c>
      <c r="AG12" s="121">
        <f>$M12*AF12*4</f>
        <v>1.9221590606653617E-4</v>
      </c>
      <c r="AH12" s="123">
        <f t="shared" si="12"/>
        <v>1</v>
      </c>
      <c r="AI12" s="183">
        <f t="shared" si="13"/>
        <v>1.4561811065646682E-4</v>
      </c>
      <c r="AJ12" s="120">
        <f t="shared" si="14"/>
        <v>0</v>
      </c>
      <c r="AK12" s="119">
        <f t="shared" si="15"/>
        <v>2.9123622131293364E-4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0.2</v>
      </c>
      <c r="H13" s="24">
        <f t="shared" si="1"/>
        <v>0.2</v>
      </c>
      <c r="I13" s="22">
        <f t="shared" si="2"/>
        <v>5.1115308663938798E-3</v>
      </c>
      <c r="J13" s="24">
        <f t="shared" si="3"/>
        <v>3.0673535757081488E-3</v>
      </c>
      <c r="K13" s="22">
        <f t="shared" si="4"/>
        <v>1.4384909268813377E-2</v>
      </c>
      <c r="L13" s="22">
        <f t="shared" si="5"/>
        <v>2.8769818537626758E-3</v>
      </c>
      <c r="M13" s="224">
        <f t="shared" si="6"/>
        <v>3.0673535757081488E-3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1.2269414302832595E-2</v>
      </c>
      <c r="Z13" s="156">
        <f>Poor!Z13</f>
        <v>1</v>
      </c>
      <c r="AA13" s="121">
        <f>$M13*Z13*4</f>
        <v>1.2269414302832595E-2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3.0673535757081488E-3</v>
      </c>
      <c r="AJ13" s="120">
        <f t="shared" si="14"/>
        <v>6.1347071514162976E-3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0.2</v>
      </c>
      <c r="F14" s="22"/>
      <c r="H14" s="24">
        <f t="shared" si="1"/>
        <v>0.2</v>
      </c>
      <c r="I14" s="22">
        <f t="shared" si="2"/>
        <v>7.0858388187155317E-3</v>
      </c>
      <c r="J14" s="24">
        <f>IF(I$32&lt;=1+I131,I14,B14*H14+J$33*(I14-B14*H14))</f>
        <v>1.2635367762421994E-3</v>
      </c>
      <c r="K14" s="22">
        <f t="shared" si="4"/>
        <v>3.6065646682085038E-3</v>
      </c>
      <c r="L14" s="22">
        <f t="shared" si="5"/>
        <v>7.2131293364170084E-4</v>
      </c>
      <c r="M14" s="224">
        <f t="shared" si="6"/>
        <v>1.2635367762421994E-3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82532.571428571435</v>
      </c>
      <c r="T14" s="221">
        <f>IF($B$81=0,0,(SUMIF($N$6:$N$28,$U14,M$6:M$28)+SUMIF($N$91:$N$118,$U14,M$91:M$118))*$I$83*Poor!$B$81/$B$81)</f>
        <v>82532.571428571435</v>
      </c>
      <c r="U14" s="222">
        <v>8</v>
      </c>
      <c r="V14" s="56"/>
      <c r="W14" s="110"/>
      <c r="X14" s="118"/>
      <c r="Y14" s="183">
        <f>M14*4</f>
        <v>5.0541471049687977E-3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5.0541471049687977E-3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1.2635367762421994E-3</v>
      </c>
      <c r="AJ14" s="120">
        <f t="shared" si="14"/>
        <v>2.5270735524843988E-3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0.2</v>
      </c>
      <c r="F15" s="22"/>
      <c r="H15" s="24">
        <f t="shared" si="1"/>
        <v>0.2</v>
      </c>
      <c r="I15" s="22">
        <f t="shared" si="2"/>
        <v>5.9299344422700587E-2</v>
      </c>
      <c r="J15" s="24">
        <f>IF(I$32&lt;=1+I131,I15,B15*H15+J$33*(I15-B15*H15))</f>
        <v>9.9835672849073187E-3</v>
      </c>
      <c r="K15" s="22">
        <f t="shared" si="4"/>
        <v>2.6954247464863905E-2</v>
      </c>
      <c r="L15" s="22">
        <f t="shared" si="5"/>
        <v>5.3908494929727812E-3</v>
      </c>
      <c r="M15" s="225">
        <f t="shared" si="6"/>
        <v>9.9835672849073187E-3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3.9934269139629275E-2</v>
      </c>
      <c r="Z15" s="156">
        <f>Poor!Z15</f>
        <v>0.25</v>
      </c>
      <c r="AA15" s="121">
        <f t="shared" si="16"/>
        <v>9.9835672849073187E-3</v>
      </c>
      <c r="AB15" s="156">
        <f>Poor!AB15</f>
        <v>0.25</v>
      </c>
      <c r="AC15" s="121">
        <f t="shared" si="7"/>
        <v>9.9835672849073187E-3</v>
      </c>
      <c r="AD15" s="156">
        <f>Poor!AD15</f>
        <v>0.25</v>
      </c>
      <c r="AE15" s="121">
        <f t="shared" si="8"/>
        <v>9.9835672849073187E-3</v>
      </c>
      <c r="AF15" s="122">
        <f t="shared" si="10"/>
        <v>0.25</v>
      </c>
      <c r="AG15" s="121">
        <f t="shared" si="11"/>
        <v>9.9835672849073187E-3</v>
      </c>
      <c r="AH15" s="123">
        <f t="shared" si="12"/>
        <v>1</v>
      </c>
      <c r="AI15" s="183">
        <f t="shared" si="13"/>
        <v>9.9835672849073187E-3</v>
      </c>
      <c r="AJ15" s="120">
        <f t="shared" si="14"/>
        <v>9.9835672849073187E-3</v>
      </c>
      <c r="AK15" s="119">
        <f t="shared" si="15"/>
        <v>9.9835672849073187E-3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0.2</v>
      </c>
      <c r="F16" s="22"/>
      <c r="H16" s="24">
        <f t="shared" si="1"/>
        <v>0.2</v>
      </c>
      <c r="I16" s="22">
        <f t="shared" si="2"/>
        <v>1.9253691513965489E-3</v>
      </c>
      <c r="J16" s="24">
        <f>IF(I$32&lt;=1+I131,I16,B16*H16+J$33*(I16-B16*H16))</f>
        <v>1.4493318774836349E-3</v>
      </c>
      <c r="K16" s="22">
        <f t="shared" si="4"/>
        <v>7.0249955523928121E-3</v>
      </c>
      <c r="L16" s="22">
        <f t="shared" si="5"/>
        <v>1.4049991104785626E-3</v>
      </c>
      <c r="M16" s="223">
        <f t="shared" si="6"/>
        <v>1.4493318774836349E-3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5.7973275099345396E-3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5.7973275099345396E-3</v>
      </c>
      <c r="AH16" s="123">
        <f t="shared" si="12"/>
        <v>1</v>
      </c>
      <c r="AI16" s="183">
        <f t="shared" si="13"/>
        <v>1.4493318774836349E-3</v>
      </c>
      <c r="AJ16" s="120">
        <f t="shared" si="14"/>
        <v>0</v>
      </c>
      <c r="AK16" s="119">
        <f t="shared" si="15"/>
        <v>2.8986637549672698E-3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0.2</v>
      </c>
      <c r="F17" s="22"/>
      <c r="H17" s="24">
        <f t="shared" si="1"/>
        <v>0.2</v>
      </c>
      <c r="I17" s="22">
        <f t="shared" si="2"/>
        <v>1.2975281266678527E-3</v>
      </c>
      <c r="J17" s="24">
        <f t="shared" ref="J17:J25" si="17">IF(I$32&lt;=1+I131,I17,B17*H17+J$33*(I17-B17*H17))</f>
        <v>9.4320406294899249E-4</v>
      </c>
      <c r="K17" s="22">
        <f t="shared" si="4"/>
        <v>4.5510314890588859E-3</v>
      </c>
      <c r="L17" s="22">
        <f t="shared" si="5"/>
        <v>9.1020629781177718E-4</v>
      </c>
      <c r="M17" s="224">
        <f t="shared" si="6"/>
        <v>9.4320406294899249E-4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3.7728162517959699E-3</v>
      </c>
      <c r="Z17" s="156">
        <f>Poor!Z17</f>
        <v>0.29409999999999997</v>
      </c>
      <c r="AA17" s="121">
        <f t="shared" si="16"/>
        <v>1.1095852596531947E-3</v>
      </c>
      <c r="AB17" s="156">
        <f>Poor!AB17</f>
        <v>0.17649999999999999</v>
      </c>
      <c r="AC17" s="121">
        <f t="shared" si="7"/>
        <v>6.6590206844198863E-4</v>
      </c>
      <c r="AD17" s="156">
        <f>Poor!AD17</f>
        <v>0.23530000000000001</v>
      </c>
      <c r="AE17" s="121">
        <f t="shared" si="8"/>
        <v>8.8774366404759174E-4</v>
      </c>
      <c r="AF17" s="122">
        <f t="shared" si="10"/>
        <v>0.29410000000000003</v>
      </c>
      <c r="AG17" s="121">
        <f t="shared" si="11"/>
        <v>1.109585259653195E-3</v>
      </c>
      <c r="AH17" s="123">
        <f t="shared" si="12"/>
        <v>1</v>
      </c>
      <c r="AI17" s="183">
        <f t="shared" si="13"/>
        <v>9.4320406294899249E-4</v>
      </c>
      <c r="AJ17" s="120">
        <f t="shared" si="14"/>
        <v>8.8774366404759174E-4</v>
      </c>
      <c r="AK17" s="119">
        <f t="shared" si="15"/>
        <v>9.9866446185039323E-4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104183.96903033325</v>
      </c>
      <c r="T23" s="179">
        <f>SUM(T7:T22)</f>
        <v>103446.61241237151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3.3632848768354991E-2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3.3632848768354991E-2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0.13453139507341996</v>
      </c>
      <c r="Z27" s="156">
        <f>Poor!Z27</f>
        <v>0.25</v>
      </c>
      <c r="AA27" s="121">
        <f t="shared" si="16"/>
        <v>3.3632848768354991E-2</v>
      </c>
      <c r="AB27" s="156">
        <f>Poor!AB27</f>
        <v>0.25</v>
      </c>
      <c r="AC27" s="121">
        <f t="shared" si="7"/>
        <v>3.3632848768354991E-2</v>
      </c>
      <c r="AD27" s="156">
        <f>Poor!AD27</f>
        <v>0.25</v>
      </c>
      <c r="AE27" s="121">
        <f t="shared" si="8"/>
        <v>3.3632848768354991E-2</v>
      </c>
      <c r="AF27" s="122">
        <f t="shared" si="10"/>
        <v>0.25</v>
      </c>
      <c r="AG27" s="121">
        <f t="shared" si="11"/>
        <v>3.3632848768354991E-2</v>
      </c>
      <c r="AH27" s="123">
        <f t="shared" si="12"/>
        <v>1</v>
      </c>
      <c r="AI27" s="183">
        <f t="shared" si="13"/>
        <v>3.3632848768354991E-2</v>
      </c>
      <c r="AJ27" s="120">
        <f t="shared" si="14"/>
        <v>3.3632848768354991E-2</v>
      </c>
      <c r="AK27" s="119">
        <f t="shared" si="15"/>
        <v>3.3632848768354991E-2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3.430810886200886E-3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3.430810886200886E-3</v>
      </c>
      <c r="N28" s="228"/>
      <c r="O28" s="2"/>
      <c r="P28" s="22"/>
      <c r="V28" s="56"/>
      <c r="W28" s="110"/>
      <c r="X28" s="118"/>
      <c r="Y28" s="183">
        <f t="shared" si="9"/>
        <v>1.3723243544803544E-2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6.8616217724017719E-3</v>
      </c>
      <c r="AF28" s="122">
        <f t="shared" si="10"/>
        <v>0.5</v>
      </c>
      <c r="AG28" s="121">
        <f t="shared" si="11"/>
        <v>6.8616217724017719E-3</v>
      </c>
      <c r="AH28" s="123">
        <f t="shared" si="12"/>
        <v>1</v>
      </c>
      <c r="AI28" s="183">
        <f t="shared" si="13"/>
        <v>3.430810886200886E-3</v>
      </c>
      <c r="AJ28" s="120">
        <f t="shared" si="14"/>
        <v>0</v>
      </c>
      <c r="AK28" s="119">
        <f t="shared" si="15"/>
        <v>6.8616217724017719E-3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0.27838962427971164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0.27838962427971164</v>
      </c>
      <c r="N29" s="228"/>
      <c r="P29" s="22"/>
      <c r="V29" s="56"/>
      <c r="W29" s="110"/>
      <c r="X29" s="118"/>
      <c r="Y29" s="183">
        <f t="shared" si="9"/>
        <v>1.1135584971188466</v>
      </c>
      <c r="Z29" s="156">
        <f>Poor!Z29</f>
        <v>0.25</v>
      </c>
      <c r="AA29" s="121">
        <f t="shared" si="16"/>
        <v>0.27838962427971164</v>
      </c>
      <c r="AB29" s="156">
        <f>Poor!AB29</f>
        <v>0.25</v>
      </c>
      <c r="AC29" s="121">
        <f t="shared" si="7"/>
        <v>0.27838962427971164</v>
      </c>
      <c r="AD29" s="156">
        <f>Poor!AD29</f>
        <v>0.25</v>
      </c>
      <c r="AE29" s="121">
        <f t="shared" si="8"/>
        <v>0.27838962427971164</v>
      </c>
      <c r="AF29" s="122">
        <f t="shared" si="10"/>
        <v>0.25</v>
      </c>
      <c r="AG29" s="121">
        <f t="shared" si="11"/>
        <v>0.27838962427971164</v>
      </c>
      <c r="AH29" s="123">
        <f t="shared" si="12"/>
        <v>1</v>
      </c>
      <c r="AI29" s="183">
        <f t="shared" si="13"/>
        <v>0.27838962427971164</v>
      </c>
      <c r="AJ29" s="120">
        <f t="shared" si="14"/>
        <v>0.27838962427971164</v>
      </c>
      <c r="AK29" s="119">
        <f t="shared" si="15"/>
        <v>0.27838962427971164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4.3024367950433078</v>
      </c>
      <c r="J30" s="230">
        <f>IF(I$32&lt;=1,I30,1-SUM(J6:J29))</f>
        <v>0.45745141406488399</v>
      </c>
      <c r="K30" s="22">
        <f t="shared" si="4"/>
        <v>0.51164617712150862</v>
      </c>
      <c r="L30" s="22">
        <f>IF(L124=L119,0,IF(K30="",0,(L119-L124)/(B119-B124)*K30))</f>
        <v>0.17763651412852027</v>
      </c>
      <c r="M30" s="175">
        <f t="shared" si="6"/>
        <v>0.45745141406488399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1.829805656259536</v>
      </c>
      <c r="Z30" s="122">
        <f>IF($Y30=0,0,AA30/($Y$30))</f>
        <v>0.13917513286531896</v>
      </c>
      <c r="AA30" s="187">
        <f>IF(AA79*4/$I$84+SUM(AA6:AA29)&lt;1,AA79*4/$I$84,1-SUM(AA6:AA29))</f>
        <v>0.25466344532763308</v>
      </c>
      <c r="AB30" s="122">
        <f>IF($Y30=0,0,AC30/($Y$30))</f>
        <v>0.30534688904287322</v>
      </c>
      <c r="AC30" s="187">
        <f>IF(AC79*4/$I$84+SUM(AC6:AC29)&lt;1,AC79*4/$I$84,1-SUM(AC6:AC29))</f>
        <v>0.55872546469190232</v>
      </c>
      <c r="AD30" s="122">
        <f>IF($Y30=0,0,AE30/($Y$30))</f>
        <v>-0.10862685822061362</v>
      </c>
      <c r="AE30" s="187">
        <f>IF(AE79*4/$I$84+SUM(AE6:AE29)&lt;1,AE79*4/$I$84,1-SUM(AE6:AE29))</f>
        <v>-0.19876603959378147</v>
      </c>
      <c r="AF30" s="122">
        <f>IF($Y30=0,0,AG30/($Y$30))</f>
        <v>-0.27277172608328992</v>
      </c>
      <c r="AG30" s="187">
        <f>IF(AG79*4/$I$84+SUM(AG6:AG29)&lt;1,AG79*4/$I$84,1-SUM(AG6:AG29))</f>
        <v>-0.49911924725488066</v>
      </c>
      <c r="AH30" s="123">
        <f t="shared" si="12"/>
        <v>6.3123437604288624E-2</v>
      </c>
      <c r="AI30" s="183">
        <f t="shared" si="13"/>
        <v>2.8875905792718315E-2</v>
      </c>
      <c r="AJ30" s="120">
        <f t="shared" si="14"/>
        <v>0.4066944550097677</v>
      </c>
      <c r="AK30" s="119">
        <f t="shared" si="15"/>
        <v>-0.34894264342433107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0.28190470950818214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0.7442412213917966</v>
      </c>
      <c r="AF31" s="134"/>
      <c r="AG31" s="133">
        <f>1-AG32+IF($Y32&lt;0,$Y32/4,0)</f>
        <v>0.97006081169686631</v>
      </c>
      <c r="AH31" s="123"/>
      <c r="AI31" s="182">
        <f>SUM(AA31,AC31,AE31,AG31)/4</f>
        <v>0.42857550827216573</v>
      </c>
      <c r="AJ31" s="135">
        <f t="shared" si="14"/>
        <v>0</v>
      </c>
      <c r="AK31" s="136">
        <f t="shared" si="15"/>
        <v>0.85715101654433146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4.8674253800755194</v>
      </c>
      <c r="J32" s="17"/>
      <c r="L32" s="22">
        <f>SUM(L6:L30)</f>
        <v>0.71809529049181786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0.2557587786082034</v>
      </c>
      <c r="AF32" s="137"/>
      <c r="AG32" s="139">
        <f>SUM(AG6:AG30)</f>
        <v>2.993918830313369E-2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8.5194695157439604E-2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4130</v>
      </c>
      <c r="J37" s="38">
        <f>J91*I$83</f>
        <v>11686.29181799955</v>
      </c>
      <c r="K37" s="40">
        <f>(B37/B$65)</f>
        <v>0.15121294382799166</v>
      </c>
      <c r="L37" s="22">
        <f t="shared" ref="L37" si="28">(K37*H37)</f>
        <v>8.9215636858515079E-2</v>
      </c>
      <c r="M37" s="24">
        <f>J37/B$65</f>
        <v>8.4148504201556409E-2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0.32499151812435684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3797.9457191759238</v>
      </c>
      <c r="AB37" s="122">
        <f>IF($J37=0,0,AC37/($J37))</f>
        <v>0.53140973806033442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6210.2092738997708</v>
      </c>
      <c r="AD37" s="122">
        <f>IF($J37=0,0,AE37/($J37))</f>
        <v>0.14359874381530871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1678.1368249238558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0.99999999999999989</v>
      </c>
      <c r="AI37" s="112">
        <f>SUM(AA37,AC37,AE37,AG37)</f>
        <v>11686.29181799955</v>
      </c>
      <c r="AJ37" s="148">
        <f>(AA37+AC37)</f>
        <v>10008.154993075696</v>
      </c>
      <c r="AK37" s="147">
        <f>(AE37+AG37)</f>
        <v>1678.1368249238558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1593</v>
      </c>
      <c r="J38" s="38">
        <f t="shared" ref="J38:J64" si="32">J92*I$83</f>
        <v>1269.1589220857338</v>
      </c>
      <c r="K38" s="40">
        <f t="shared" ref="K38:K64" si="33">(B38/B$65)</f>
        <v>1.5121294382799168E-2</v>
      </c>
      <c r="L38" s="22">
        <f t="shared" ref="L38:L64" si="34">(K38*H38)</f>
        <v>8.9215636858515079E-3</v>
      </c>
      <c r="M38" s="24">
        <f t="shared" ref="M38:M64" si="35">J38/B$65</f>
        <v>9.138726514006882E-3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0.32499151812435684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412.46588482971498</v>
      </c>
      <c r="AB38" s="122">
        <f>IF($J38=0,0,AC38/($J38))</f>
        <v>0.53140973806033442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674.44341034251613</v>
      </c>
      <c r="AD38" s="122">
        <f>IF($J38=0,0,AE38/($J38))</f>
        <v>0.14359874381530882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182.24962691350277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1269.158922085734</v>
      </c>
      <c r="AJ38" s="148">
        <f t="shared" ref="AJ38:AJ64" si="38">(AA38+AC38)</f>
        <v>1086.9092951722312</v>
      </c>
      <c r="AK38" s="147">
        <f t="shared" ref="AK38:AK64" si="39">(AE38+AG38)</f>
        <v>182.24962691350277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173.45999999999998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173.45999999999998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315.82738344384563</v>
      </c>
      <c r="K40" s="40">
        <f t="shared" si="33"/>
        <v>5.9189066584099609E-3</v>
      </c>
      <c r="L40" s="22">
        <f t="shared" si="34"/>
        <v>2.4859407965321834E-3</v>
      </c>
      <c r="M40" s="24">
        <f t="shared" si="35"/>
        <v>2.2741518281921818E-3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315.82738344384563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315.82738344384563</v>
      </c>
      <c r="AJ40" s="148">
        <f t="shared" si="38"/>
        <v>315.82738344384563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153.68729121355014</v>
      </c>
      <c r="K41" s="40">
        <f t="shared" si="33"/>
        <v>2.8802465491046033E-3</v>
      </c>
      <c r="L41" s="22">
        <f t="shared" si="34"/>
        <v>1.2097035506239333E-3</v>
      </c>
      <c r="M41" s="24">
        <f t="shared" si="35"/>
        <v>1.106643225397655E-3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153.68729121355014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153.68729121355014</v>
      </c>
      <c r="AJ41" s="148">
        <f t="shared" si="38"/>
        <v>153.68729121355014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293.99999999999994</v>
      </c>
      <c r="J42" s="38">
        <f t="shared" si="32"/>
        <v>294</v>
      </c>
      <c r="K42" s="40">
        <f t="shared" si="33"/>
        <v>7.5606471913995839E-3</v>
      </c>
      <c r="L42" s="22">
        <f t="shared" si="34"/>
        <v>2.1169812135918833E-3</v>
      </c>
      <c r="M42" s="24">
        <f t="shared" si="35"/>
        <v>2.1169812135918833E-3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73.5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147</v>
      </c>
      <c r="AF42" s="122">
        <f t="shared" si="29"/>
        <v>0.25</v>
      </c>
      <c r="AG42" s="147">
        <f t="shared" si="36"/>
        <v>73.5</v>
      </c>
      <c r="AH42" s="123">
        <f t="shared" si="37"/>
        <v>1</v>
      </c>
      <c r="AI42" s="112">
        <f t="shared" si="37"/>
        <v>294</v>
      </c>
      <c r="AJ42" s="148">
        <f t="shared" si="38"/>
        <v>73.5</v>
      </c>
      <c r="AK42" s="147">
        <f t="shared" si="39"/>
        <v>220.5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143.44147179931343</v>
      </c>
      <c r="K43" s="40">
        <f t="shared" si="33"/>
        <v>4.0323451687464444E-3</v>
      </c>
      <c r="L43" s="22">
        <f t="shared" si="34"/>
        <v>1.1290566472490044E-3</v>
      </c>
      <c r="M43" s="24">
        <f t="shared" si="35"/>
        <v>1.0328670103711445E-3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35.860367949828358</v>
      </c>
      <c r="AB43" s="156">
        <f>Poor!AB43</f>
        <v>0.25</v>
      </c>
      <c r="AC43" s="147">
        <f t="shared" si="41"/>
        <v>35.860367949828358</v>
      </c>
      <c r="AD43" s="156">
        <f>Poor!AD43</f>
        <v>0.25</v>
      </c>
      <c r="AE43" s="147">
        <f t="shared" si="42"/>
        <v>35.860367949828358</v>
      </c>
      <c r="AF43" s="122">
        <f t="shared" si="29"/>
        <v>0.25</v>
      </c>
      <c r="AG43" s="147">
        <f t="shared" si="36"/>
        <v>35.860367949828358</v>
      </c>
      <c r="AH43" s="123">
        <f t="shared" si="37"/>
        <v>1</v>
      </c>
      <c r="AI43" s="112">
        <f t="shared" si="37"/>
        <v>143.44147179931343</v>
      </c>
      <c r="AJ43" s="148">
        <f t="shared" si="38"/>
        <v>71.720735899656717</v>
      </c>
      <c r="AK43" s="147">
        <f t="shared" si="39"/>
        <v>71.720735899656717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192.10911401693767</v>
      </c>
      <c r="K44" s="40">
        <f t="shared" si="33"/>
        <v>5.400462279571131E-3</v>
      </c>
      <c r="L44" s="22">
        <f t="shared" si="34"/>
        <v>1.5121294382799166E-3</v>
      </c>
      <c r="M44" s="24">
        <f t="shared" si="35"/>
        <v>1.3833040317470686E-3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48.027278504234417</v>
      </c>
      <c r="AB44" s="156">
        <f>Poor!AB44</f>
        <v>0.25</v>
      </c>
      <c r="AC44" s="147">
        <f t="shared" si="41"/>
        <v>48.027278504234417</v>
      </c>
      <c r="AD44" s="156">
        <f>Poor!AD44</f>
        <v>0.25</v>
      </c>
      <c r="AE44" s="147">
        <f t="shared" si="42"/>
        <v>48.027278504234417</v>
      </c>
      <c r="AF44" s="122">
        <f t="shared" si="29"/>
        <v>0.25</v>
      </c>
      <c r="AG44" s="147">
        <f t="shared" si="36"/>
        <v>48.027278504234417</v>
      </c>
      <c r="AH44" s="123">
        <f t="shared" si="37"/>
        <v>1</v>
      </c>
      <c r="AI44" s="112">
        <f t="shared" si="37"/>
        <v>192.10911401693767</v>
      </c>
      <c r="AJ44" s="148">
        <f t="shared" si="38"/>
        <v>96.054557008468834</v>
      </c>
      <c r="AK44" s="147">
        <f t="shared" si="39"/>
        <v>96.054557008468834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448.2545993728545</v>
      </c>
      <c r="K45" s="40">
        <f t="shared" si="33"/>
        <v>1.2601078652332639E-2</v>
      </c>
      <c r="L45" s="22">
        <f t="shared" si="34"/>
        <v>3.5283020226531386E-3</v>
      </c>
      <c r="M45" s="24">
        <f t="shared" si="35"/>
        <v>3.2277094074098268E-3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112.06364984321362</v>
      </c>
      <c r="AB45" s="156">
        <f>Poor!AB45</f>
        <v>0.25</v>
      </c>
      <c r="AC45" s="147">
        <f t="shared" si="41"/>
        <v>112.06364984321362</v>
      </c>
      <c r="AD45" s="156">
        <f>Poor!AD45</f>
        <v>0.25</v>
      </c>
      <c r="AE45" s="147">
        <f t="shared" si="42"/>
        <v>112.06364984321362</v>
      </c>
      <c r="AF45" s="122">
        <f t="shared" si="29"/>
        <v>0.25</v>
      </c>
      <c r="AG45" s="147">
        <f t="shared" si="36"/>
        <v>112.06364984321362</v>
      </c>
      <c r="AH45" s="123">
        <f t="shared" si="37"/>
        <v>1</v>
      </c>
      <c r="AI45" s="112">
        <f t="shared" si="37"/>
        <v>448.2545993728545</v>
      </c>
      <c r="AJ45" s="148">
        <f t="shared" si="38"/>
        <v>224.12729968642725</v>
      </c>
      <c r="AK45" s="147">
        <f t="shared" si="39"/>
        <v>224.12729968642725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64.036371338979222</v>
      </c>
      <c r="K46" s="40">
        <f t="shared" si="33"/>
        <v>1.8001540931903771E-3</v>
      </c>
      <c r="L46" s="22">
        <f t="shared" si="34"/>
        <v>5.0404314609330556E-4</v>
      </c>
      <c r="M46" s="24">
        <f t="shared" si="35"/>
        <v>4.611013439156896E-4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16.009092834744806</v>
      </c>
      <c r="AB46" s="156">
        <f>Poor!AB46</f>
        <v>0.25</v>
      </c>
      <c r="AC46" s="147">
        <f t="shared" si="41"/>
        <v>16.009092834744806</v>
      </c>
      <c r="AD46" s="156">
        <f>Poor!AD46</f>
        <v>0.25</v>
      </c>
      <c r="AE46" s="147">
        <f t="shared" si="42"/>
        <v>16.009092834744806</v>
      </c>
      <c r="AF46" s="122">
        <f t="shared" si="29"/>
        <v>0.25</v>
      </c>
      <c r="AG46" s="147">
        <f t="shared" si="36"/>
        <v>16.009092834744806</v>
      </c>
      <c r="AH46" s="123">
        <f t="shared" si="37"/>
        <v>1</v>
      </c>
      <c r="AI46" s="112">
        <f t="shared" si="37"/>
        <v>64.036371338979222</v>
      </c>
      <c r="AJ46" s="148">
        <f t="shared" si="38"/>
        <v>32.018185669489611</v>
      </c>
      <c r="AK46" s="147">
        <f t="shared" si="39"/>
        <v>32.018185669489611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71.720735899656717</v>
      </c>
      <c r="K47" s="40">
        <f t="shared" si="33"/>
        <v>2.0161725843732222E-3</v>
      </c>
      <c r="L47" s="22">
        <f t="shared" si="34"/>
        <v>5.6452832362450221E-4</v>
      </c>
      <c r="M47" s="24">
        <f t="shared" si="35"/>
        <v>5.1643350518557226E-4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17.930183974914179</v>
      </c>
      <c r="AB47" s="156">
        <f>Poor!AB47</f>
        <v>0.25</v>
      </c>
      <c r="AC47" s="147">
        <f t="shared" si="41"/>
        <v>17.930183974914179</v>
      </c>
      <c r="AD47" s="156">
        <f>Poor!AD47</f>
        <v>0.25</v>
      </c>
      <c r="AE47" s="147">
        <f t="shared" si="42"/>
        <v>17.930183974914179</v>
      </c>
      <c r="AF47" s="122">
        <f t="shared" si="29"/>
        <v>0.25</v>
      </c>
      <c r="AG47" s="147">
        <f t="shared" si="36"/>
        <v>17.930183974914179</v>
      </c>
      <c r="AH47" s="123">
        <f t="shared" si="37"/>
        <v>1</v>
      </c>
      <c r="AI47" s="112">
        <f t="shared" si="37"/>
        <v>71.720735899656717</v>
      </c>
      <c r="AJ47" s="148">
        <f t="shared" si="38"/>
        <v>35.860367949828358</v>
      </c>
      <c r="AK47" s="147">
        <f t="shared" si="39"/>
        <v>35.860367949828358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27.999999999999996</v>
      </c>
      <c r="J48" s="38">
        <f t="shared" si="32"/>
        <v>27.999999999999993</v>
      </c>
      <c r="K48" s="40">
        <f t="shared" si="33"/>
        <v>7.2006163727615083E-4</v>
      </c>
      <c r="L48" s="22">
        <f t="shared" si="34"/>
        <v>2.0161725843732221E-4</v>
      </c>
      <c r="M48" s="24">
        <f t="shared" si="35"/>
        <v>2.0161725843732218E-4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6.9999999999999982</v>
      </c>
      <c r="AB48" s="156">
        <f>Poor!AB48</f>
        <v>0.25</v>
      </c>
      <c r="AC48" s="147">
        <f t="shared" si="41"/>
        <v>6.9999999999999982</v>
      </c>
      <c r="AD48" s="156">
        <f>Poor!AD48</f>
        <v>0.25</v>
      </c>
      <c r="AE48" s="147">
        <f t="shared" si="42"/>
        <v>6.9999999999999982</v>
      </c>
      <c r="AF48" s="122">
        <f t="shared" si="29"/>
        <v>0.25</v>
      </c>
      <c r="AG48" s="147">
        <f t="shared" si="36"/>
        <v>6.9999999999999982</v>
      </c>
      <c r="AH48" s="123">
        <f t="shared" si="37"/>
        <v>1</v>
      </c>
      <c r="AI48" s="112">
        <f t="shared" si="37"/>
        <v>27.999999999999993</v>
      </c>
      <c r="AJ48" s="148">
        <f t="shared" si="38"/>
        <v>13.999999999999996</v>
      </c>
      <c r="AK48" s="147">
        <f t="shared" si="39"/>
        <v>13.999999999999996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24.639999999999997</v>
      </c>
      <c r="J49" s="38">
        <f t="shared" si="32"/>
        <v>24.639999999999997</v>
      </c>
      <c r="K49" s="40">
        <f t="shared" si="33"/>
        <v>6.3365424080301272E-4</v>
      </c>
      <c r="L49" s="22">
        <f t="shared" si="34"/>
        <v>1.7742318742484353E-4</v>
      </c>
      <c r="M49" s="24">
        <f t="shared" si="35"/>
        <v>1.7742318742484353E-4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6.1599999999999993</v>
      </c>
      <c r="AB49" s="156">
        <f>Poor!AB49</f>
        <v>0.25</v>
      </c>
      <c r="AC49" s="147">
        <f t="shared" si="41"/>
        <v>6.1599999999999993</v>
      </c>
      <c r="AD49" s="156">
        <f>Poor!AD49</f>
        <v>0.25</v>
      </c>
      <c r="AE49" s="147">
        <f t="shared" si="42"/>
        <v>6.1599999999999993</v>
      </c>
      <c r="AF49" s="122">
        <f t="shared" si="29"/>
        <v>0.25</v>
      </c>
      <c r="AG49" s="147">
        <f t="shared" si="36"/>
        <v>6.1599999999999993</v>
      </c>
      <c r="AH49" s="123">
        <f t="shared" si="37"/>
        <v>1</v>
      </c>
      <c r="AI49" s="112">
        <f t="shared" si="37"/>
        <v>24.639999999999997</v>
      </c>
      <c r="AJ49" s="148">
        <f t="shared" si="38"/>
        <v>12.319999999999999</v>
      </c>
      <c r="AK49" s="147">
        <f t="shared" si="39"/>
        <v>12.319999999999999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39.199999999999996</v>
      </c>
      <c r="J50" s="38">
        <f t="shared" si="32"/>
        <v>39.199999999999989</v>
      </c>
      <c r="K50" s="40">
        <f t="shared" si="33"/>
        <v>1.0080862921866111E-3</v>
      </c>
      <c r="L50" s="22">
        <f t="shared" si="34"/>
        <v>2.822641618122511E-4</v>
      </c>
      <c r="M50" s="24">
        <f t="shared" si="35"/>
        <v>2.8226416181225105E-4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9.7999999999999972</v>
      </c>
      <c r="AB50" s="156">
        <f>Poor!AB55</f>
        <v>0.25</v>
      </c>
      <c r="AC50" s="147">
        <f t="shared" si="41"/>
        <v>9.7999999999999972</v>
      </c>
      <c r="AD50" s="156">
        <f>Poor!AD55</f>
        <v>0.25</v>
      </c>
      <c r="AE50" s="147">
        <f t="shared" si="42"/>
        <v>9.7999999999999972</v>
      </c>
      <c r="AF50" s="122">
        <f t="shared" si="29"/>
        <v>0.25</v>
      </c>
      <c r="AG50" s="147">
        <f t="shared" si="36"/>
        <v>9.7999999999999972</v>
      </c>
      <c r="AH50" s="123">
        <f t="shared" si="37"/>
        <v>1</v>
      </c>
      <c r="AI50" s="112">
        <f t="shared" si="37"/>
        <v>39.199999999999989</v>
      </c>
      <c r="AJ50" s="148">
        <f t="shared" si="38"/>
        <v>19.599999999999994</v>
      </c>
      <c r="AK50" s="147">
        <f t="shared" si="39"/>
        <v>19.599999999999994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72216</v>
      </c>
      <c r="J57" s="38">
        <f t="shared" si="32"/>
        <v>72216</v>
      </c>
      <c r="K57" s="40">
        <f t="shared" si="33"/>
        <v>0.73446287002167387</v>
      </c>
      <c r="L57" s="22">
        <f t="shared" si="34"/>
        <v>0.51999971197534511</v>
      </c>
      <c r="M57" s="24">
        <f t="shared" si="35"/>
        <v>0.51999971197534511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0</v>
      </c>
      <c r="F60" s="75">
        <f>Poor!F60</f>
        <v>1.18</v>
      </c>
      <c r="G60" s="75">
        <f>Poor!G60</f>
        <v>1.65</v>
      </c>
      <c r="H60" s="24">
        <f t="shared" si="30"/>
        <v>0</v>
      </c>
      <c r="I60" s="39">
        <f t="shared" si="31"/>
        <v>0</v>
      </c>
      <c r="J60" s="38">
        <f t="shared" si="32"/>
        <v>0</v>
      </c>
      <c r="K60" s="40">
        <f t="shared" si="33"/>
        <v>5.3572585813345619E-2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78498.3</v>
      </c>
      <c r="J65" s="39">
        <f>SUM(J37:J64)</f>
        <v>87119.827707170421</v>
      </c>
      <c r="K65" s="40">
        <f>SUM(K37:K64)</f>
        <v>1</v>
      </c>
      <c r="L65" s="22">
        <f>SUM(L37:L64)</f>
        <v>0.63309792118205321</v>
      </c>
      <c r="M65" s="24">
        <f>SUM(M37:M64)</f>
        <v>0.62731645778041301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5179.7368517699697</v>
      </c>
      <c r="AB65" s="137"/>
      <c r="AC65" s="153">
        <f>SUM(AC37:AC64)</f>
        <v>7137.5032573492217</v>
      </c>
      <c r="AD65" s="137"/>
      <c r="AE65" s="153">
        <f>SUM(AE37:AE64)</f>
        <v>2260.2370249442938</v>
      </c>
      <c r="AF65" s="137"/>
      <c r="AG65" s="153">
        <f>SUM(AG37:AG64)</f>
        <v>326.35057310693543</v>
      </c>
      <c r="AH65" s="137"/>
      <c r="AI65" s="153">
        <f>SUM(AI37:AI64)</f>
        <v>14903.827707170421</v>
      </c>
      <c r="AJ65" s="153">
        <f>SUM(AJ37:AJ64)</f>
        <v>12317.240109119191</v>
      </c>
      <c r="AK65" s="153">
        <f>SUM(AK37:AK64)</f>
        <v>2586.5875980512287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64338.166338009607</v>
      </c>
      <c r="J74" s="51">
        <f t="shared" si="44"/>
        <v>6840.6781021330398</v>
      </c>
      <c r="K74" s="40">
        <f>B74/B$76</f>
        <v>3.3389479046744219E-2</v>
      </c>
      <c r="L74" s="22">
        <f t="shared" si="45"/>
        <v>1.9127406862822816E-2</v>
      </c>
      <c r="M74" s="24">
        <f>J74/B$76</f>
        <v>4.9257098743010291E-2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1639.7034362723712</v>
      </c>
      <c r="AB74" s="156"/>
      <c r="AC74" s="147">
        <f>AC30*$I$84/4</f>
        <v>3597.4698418516232</v>
      </c>
      <c r="AD74" s="156"/>
      <c r="AE74" s="147">
        <f>AE30*$I$84/4</f>
        <v>-1279.7963905533047</v>
      </c>
      <c r="AF74" s="156"/>
      <c r="AG74" s="147">
        <f>AG30*$I$84/4</f>
        <v>-3213.6828423906632</v>
      </c>
      <c r="AH74" s="155"/>
      <c r="AI74" s="147">
        <f>SUM(AA74,AC74,AE74,AG74)</f>
        <v>743.69404518002648</v>
      </c>
      <c r="AJ74" s="148">
        <f>(AA74+AC74)</f>
        <v>5237.1732781239944</v>
      </c>
      <c r="AK74" s="147">
        <f>(AE74+AG74)</f>
        <v>-4493.4792329439679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10473.362609713668</v>
      </c>
      <c r="K75" s="40">
        <f>B75/B$76</f>
        <v>0.55421887568104133</v>
      </c>
      <c r="L75" s="22">
        <f t="shared" si="45"/>
        <v>0.11132582156719997</v>
      </c>
      <c r="M75" s="24">
        <f>J75/B$76</f>
        <v>7.5414666285372439E-2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78498.3</v>
      </c>
      <c r="J76" s="51">
        <f t="shared" si="44"/>
        <v>87119.827707170421</v>
      </c>
      <c r="K76" s="40">
        <f>SUM(K70:K75)</f>
        <v>1</v>
      </c>
      <c r="L76" s="22">
        <f>SUM(L70:L75)</f>
        <v>0.6330979211820531</v>
      </c>
      <c r="M76" s="24">
        <f>SUM(M70:M75)</f>
        <v>0.62731645778041312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5179.7368517699697</v>
      </c>
      <c r="AB76" s="137"/>
      <c r="AC76" s="153">
        <f>AC65</f>
        <v>7137.5032573492217</v>
      </c>
      <c r="AD76" s="137"/>
      <c r="AE76" s="153">
        <f>AE65</f>
        <v>2260.2370249442938</v>
      </c>
      <c r="AF76" s="137"/>
      <c r="AG76" s="153">
        <f>AG65</f>
        <v>326.35057310693543</v>
      </c>
      <c r="AH76" s="137"/>
      <c r="AI76" s="153">
        <f>SUM(AA76,AC76,AE76,AG76)</f>
        <v>14903.827707170421</v>
      </c>
      <c r="AJ76" s="154">
        <f>SUM(AA76,AC76)</f>
        <v>12317.240109119191</v>
      </c>
      <c r="AK76" s="154">
        <f>SUM(AE76,AG76)</f>
        <v>2586.5875980512292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4791.9515365139023</v>
      </c>
      <c r="AF77" s="112"/>
      <c r="AG77" s="111">
        <f>AG31*$I$84/4</f>
        <v>6245.9378270255529</v>
      </c>
      <c r="AH77" s="110"/>
      <c r="AI77" s="154">
        <f>SUM(AA77,AC77,AE77,AG77)</f>
        <v>11037.889363539456</v>
      </c>
      <c r="AJ77" s="153">
        <f>SUM(AA77,AC77)</f>
        <v>0</v>
      </c>
      <c r="AK77" s="160">
        <f>SUM(AE77,AG77)</f>
        <v>11037.889363539456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1639.7034362723712</v>
      </c>
      <c r="AB79" s="112"/>
      <c r="AC79" s="112">
        <f>AA79-AA74+AC65-AC70</f>
        <v>3597.4698418516232</v>
      </c>
      <c r="AD79" s="112"/>
      <c r="AE79" s="112">
        <f>AC79-AC74+AE65-AE70</f>
        <v>-1279.7963905533047</v>
      </c>
      <c r="AF79" s="112"/>
      <c r="AG79" s="112">
        <f>AE79-AE74+AG65-AG70</f>
        <v>-3213.6828423906632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0.3575757575757576</v>
      </c>
      <c r="I91" s="22">
        <f t="shared" ref="I91" si="52">(D91*H91)</f>
        <v>0.27618231875270721</v>
      </c>
      <c r="J91" s="24">
        <f>IF(I$32&lt;=1+I$131,I91,L91+J$33*(I91-L91))</f>
        <v>0.78148841935009805</v>
      </c>
      <c r="K91" s="22">
        <f t="shared" ref="K91" si="53">(B91)</f>
        <v>2.3171228437727125</v>
      </c>
      <c r="L91" s="22">
        <f t="shared" ref="L91" si="54">(K91*H91)</f>
        <v>0.82854695625812147</v>
      </c>
      <c r="M91" s="226">
        <f t="shared" si="49"/>
        <v>0.78148841935009805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0.3575757575757576</v>
      </c>
      <c r="I92" s="22">
        <f t="shared" ref="I92:I118" si="58">(D92*H92)</f>
        <v>0.10652746580461561</v>
      </c>
      <c r="J92" s="24">
        <f t="shared" ref="J92:J118" si="59">IF(I$32&lt;=1+I$131,I92,L92+J$33*(I92-L92))</f>
        <v>8.487149006472744E-2</v>
      </c>
      <c r="K92" s="22">
        <f t="shared" ref="K92:K118" si="60">(B92)</f>
        <v>0.23171228437727123</v>
      </c>
      <c r="L92" s="22">
        <f t="shared" ref="L92:L118" si="61">(K92*H92)</f>
        <v>8.2854695625812144E-2</v>
      </c>
      <c r="M92" s="226">
        <f t="shared" ref="M92:M118" si="62">(J92)</f>
        <v>8.487149006472744E-2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2.112008210293502E-2</v>
      </c>
      <c r="K94" s="22">
        <f t="shared" si="60"/>
        <v>9.0698808456246185E-2</v>
      </c>
      <c r="L94" s="22">
        <f t="shared" si="61"/>
        <v>2.3086969425226304E-2</v>
      </c>
      <c r="M94" s="226">
        <f t="shared" si="62"/>
        <v>2.112008210293502E-2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1.0277412215540153E-2</v>
      </c>
      <c r="K95" s="22">
        <f t="shared" si="60"/>
        <v>4.4135673214718327E-2</v>
      </c>
      <c r="L95" s="22">
        <f t="shared" si="61"/>
        <v>1.1234535000110121E-2</v>
      </c>
      <c r="M95" s="226">
        <f t="shared" si="62"/>
        <v>1.0277412215540153E-2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0.16969696969696968</v>
      </c>
      <c r="I96" s="22">
        <f t="shared" si="58"/>
        <v>1.966043625019271E-2</v>
      </c>
      <c r="J96" s="24">
        <f t="shared" si="59"/>
        <v>1.966043625019271E-2</v>
      </c>
      <c r="K96" s="22">
        <f t="shared" si="60"/>
        <v>0.11585614218863562</v>
      </c>
      <c r="L96" s="22">
        <f t="shared" si="61"/>
        <v>1.966043625019271E-2</v>
      </c>
      <c r="M96" s="226">
        <f t="shared" si="62"/>
        <v>1.966043625019271E-2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9.5922514011708079E-3</v>
      </c>
      <c r="K97" s="22">
        <f t="shared" si="60"/>
        <v>6.1789942500605662E-2</v>
      </c>
      <c r="L97" s="22">
        <f t="shared" si="61"/>
        <v>1.0485566000102777E-2</v>
      </c>
      <c r="M97" s="226">
        <f t="shared" si="62"/>
        <v>9.5922514011708079E-3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1.284676526942519E-2</v>
      </c>
      <c r="K98" s="22">
        <f t="shared" si="60"/>
        <v>8.2754387277596875E-2</v>
      </c>
      <c r="L98" s="22">
        <f t="shared" si="61"/>
        <v>1.404316875013765E-2</v>
      </c>
      <c r="M98" s="226">
        <f t="shared" si="62"/>
        <v>1.284676526942519E-2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2.9975785628658776E-2</v>
      </c>
      <c r="K99" s="22">
        <f t="shared" si="60"/>
        <v>0.1930935703143927</v>
      </c>
      <c r="L99" s="22">
        <f t="shared" si="61"/>
        <v>3.2767393750321179E-2</v>
      </c>
      <c r="M99" s="226">
        <f t="shared" si="62"/>
        <v>2.9975785628658776E-2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4.2822550898083964E-3</v>
      </c>
      <c r="K100" s="22">
        <f t="shared" si="60"/>
        <v>2.7584795759198956E-2</v>
      </c>
      <c r="L100" s="22">
        <f t="shared" si="61"/>
        <v>4.6810562500458827E-3</v>
      </c>
      <c r="M100" s="226">
        <f t="shared" si="62"/>
        <v>4.2822550898083964E-3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4.796125700585404E-3</v>
      </c>
      <c r="K101" s="22">
        <f t="shared" si="60"/>
        <v>3.0894971250302831E-2</v>
      </c>
      <c r="L101" s="22">
        <f t="shared" si="61"/>
        <v>5.2427830000513886E-3</v>
      </c>
      <c r="M101" s="226">
        <f t="shared" si="62"/>
        <v>4.796125700585404E-3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0.16969696969696968</v>
      </c>
      <c r="I102" s="22">
        <f t="shared" si="58"/>
        <v>1.872422500018353E-3</v>
      </c>
      <c r="J102" s="24">
        <f t="shared" si="59"/>
        <v>1.872422500018353E-3</v>
      </c>
      <c r="K102" s="22">
        <f t="shared" si="60"/>
        <v>1.1033918303679582E-2</v>
      </c>
      <c r="L102" s="22">
        <f t="shared" si="61"/>
        <v>1.872422500018353E-3</v>
      </c>
      <c r="M102" s="226">
        <f t="shared" si="62"/>
        <v>1.872422500018353E-3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0.16969696969696968</v>
      </c>
      <c r="I103" s="22">
        <f t="shared" si="58"/>
        <v>1.6477318000161509E-3</v>
      </c>
      <c r="J103" s="24">
        <f t="shared" si="59"/>
        <v>1.6477318000161509E-3</v>
      </c>
      <c r="K103" s="22">
        <f t="shared" si="60"/>
        <v>9.7098481072380328E-3</v>
      </c>
      <c r="L103" s="22">
        <f t="shared" si="61"/>
        <v>1.6477318000161509E-3</v>
      </c>
      <c r="M103" s="226">
        <f t="shared" si="62"/>
        <v>1.6477318000161509E-3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0.16969696969696968</v>
      </c>
      <c r="I104" s="22">
        <f t="shared" si="58"/>
        <v>2.6213915000256943E-3</v>
      </c>
      <c r="J104" s="24">
        <f t="shared" si="59"/>
        <v>2.6213915000256943E-3</v>
      </c>
      <c r="K104" s="22">
        <f t="shared" si="60"/>
        <v>1.5447485625151415E-2</v>
      </c>
      <c r="L104" s="22">
        <f t="shared" si="61"/>
        <v>2.6213915000256943E-3</v>
      </c>
      <c r="M104" s="226">
        <f t="shared" si="62"/>
        <v>2.6213915000256943E-3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0.42909090909090908</v>
      </c>
      <c r="I111" s="22">
        <f t="shared" si="58"/>
        <v>4.8292451164759074</v>
      </c>
      <c r="J111" s="24">
        <f t="shared" si="59"/>
        <v>4.8292451164759074</v>
      </c>
      <c r="K111" s="22">
        <f t="shared" si="60"/>
        <v>11.254596669753175</v>
      </c>
      <c r="L111" s="22">
        <f t="shared" si="61"/>
        <v>4.8292451164759074</v>
      </c>
      <c r="M111" s="226">
        <f t="shared" si="62"/>
        <v>4.8292451164759074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</v>
      </c>
      <c r="I114" s="22">
        <f t="shared" si="58"/>
        <v>0</v>
      </c>
      <c r="J114" s="24">
        <f t="shared" si="59"/>
        <v>0</v>
      </c>
      <c r="K114" s="22">
        <f t="shared" si="60"/>
        <v>0.82092352179376094</v>
      </c>
      <c r="L114" s="22">
        <f t="shared" si="61"/>
        <v>0</v>
      </c>
      <c r="M114" s="226">
        <f t="shared" si="62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5.2493565404710969</v>
      </c>
      <c r="J119" s="24">
        <f>SUM(J91:J118)</f>
        <v>5.8258973427367238</v>
      </c>
      <c r="K119" s="22">
        <f>SUM(K91:K118)</f>
        <v>15.323574722601096</v>
      </c>
      <c r="L119" s="22">
        <f>SUM(L91:L118)</f>
        <v>5.879589879973703</v>
      </c>
      <c r="M119" s="57">
        <f t="shared" si="49"/>
        <v>5.8258973427367238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4.3024367950433078</v>
      </c>
      <c r="J128" s="227">
        <f>(J30)</f>
        <v>0.45745141406488399</v>
      </c>
      <c r="K128" s="22">
        <f>(B128)</f>
        <v>0.51164617712150862</v>
      </c>
      <c r="L128" s="22">
        <f>IF(L124=L119,0,(L119-L124)/(B119-B124)*K128)</f>
        <v>0.17763651412852027</v>
      </c>
      <c r="M128" s="57">
        <f t="shared" si="63"/>
        <v>0.45745141406488399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0.70037713575995753</v>
      </c>
      <c r="K129" s="29">
        <f>(B129)</f>
        <v>8.4926143541744032</v>
      </c>
      <c r="L129" s="60">
        <f>IF(SUM(L124:L128)&gt;L130,0,L130-SUM(L124:L128))</f>
        <v>1.0338845729333004</v>
      </c>
      <c r="M129" s="57">
        <f t="shared" si="63"/>
        <v>0.70037713575995753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5.2493565404710969</v>
      </c>
      <c r="J130" s="227">
        <f>(J119)</f>
        <v>5.8258973427367238</v>
      </c>
      <c r="K130" s="22">
        <f>(B130)</f>
        <v>15.323574722601096</v>
      </c>
      <c r="L130" s="22">
        <f>(L119)</f>
        <v>5.879589879973703</v>
      </c>
      <c r="M130" s="57">
        <f t="shared" si="63"/>
        <v>5.8258973427367238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1.5850400996264009E-2</v>
      </c>
      <c r="J6" s="24">
        <f t="shared" ref="J6:J13" si="3">IF(I$32&lt;=1+I$131,I6,B6*H6+J$33*(I6-B6*H6))</f>
        <v>1.5850400996264009E-2</v>
      </c>
      <c r="K6" s="22">
        <f t="shared" ref="K6:K31" si="4">B6</f>
        <v>7.925200498132004E-2</v>
      </c>
      <c r="L6" s="22">
        <f t="shared" ref="L6:L29" si="5">IF(K6="","",K6*H6)</f>
        <v>1.5850400996264009E-2</v>
      </c>
      <c r="M6" s="177">
        <f t="shared" ref="M6:M31" si="6">J6</f>
        <v>1.5850400996264009E-2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6.3401603985056038E-2</v>
      </c>
      <c r="Z6" s="156">
        <f>Poor!Z6</f>
        <v>0.17</v>
      </c>
      <c r="AA6" s="121">
        <f>$M6*Z6*4</f>
        <v>1.0778272677459528E-2</v>
      </c>
      <c r="AB6" s="156">
        <f>Poor!AB6</f>
        <v>0.17</v>
      </c>
      <c r="AC6" s="121">
        <f t="shared" ref="AC6:AC29" si="7">$M6*AB6*4</f>
        <v>1.0778272677459528E-2</v>
      </c>
      <c r="AD6" s="156">
        <f>Poor!AD6</f>
        <v>0.33</v>
      </c>
      <c r="AE6" s="121">
        <f t="shared" ref="AE6:AE29" si="8">$M6*AD6*4</f>
        <v>2.0922529315068494E-2</v>
      </c>
      <c r="AF6" s="122">
        <f>1-SUM(Z6,AB6,AD6)</f>
        <v>0.32999999999999996</v>
      </c>
      <c r="AG6" s="121">
        <f>$M6*AF6*4</f>
        <v>2.0922529315068491E-2</v>
      </c>
      <c r="AH6" s="123">
        <f>SUM(Z6,AB6,AD6,AF6)</f>
        <v>1</v>
      </c>
      <c r="AI6" s="183">
        <f>SUM(AA6,AC6,AE6,AG6)/4</f>
        <v>1.5850400996264009E-2</v>
      </c>
      <c r="AJ6" s="120">
        <f>(AA6+AC6)/2</f>
        <v>1.0778272677459528E-2</v>
      </c>
      <c r="AK6" s="119">
        <f>(AE6+AG6)/2</f>
        <v>2.0922529315068494E-2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1.6510855126608555E-2</v>
      </c>
      <c r="J7" s="24">
        <f t="shared" si="3"/>
        <v>1.6510855126608555E-2</v>
      </c>
      <c r="K7" s="22">
        <f t="shared" si="4"/>
        <v>8.2554275633042767E-2</v>
      </c>
      <c r="L7" s="22">
        <f t="shared" si="5"/>
        <v>1.6510855126608555E-2</v>
      </c>
      <c r="M7" s="177">
        <f t="shared" si="6"/>
        <v>1.6510855126608555E-2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2053.6063637379611</v>
      </c>
      <c r="T7" s="221">
        <f>IF($B$81=0,0,(SUMIF($N$6:$N$28,$U7,M$6:M$28)+SUMIF($N$91:$N$118,$U7,M$91:M$118))*$I$83*Poor!$B$81/$B$81)</f>
        <v>2468.8192737250556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6.6043420506434219E-2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6.6043420506434219E-2</v>
      </c>
      <c r="AH7" s="123">
        <f t="shared" ref="AH7:AH30" si="12">SUM(Z7,AB7,AD7,AF7)</f>
        <v>1</v>
      </c>
      <c r="AI7" s="183">
        <f t="shared" ref="AI7:AI30" si="13">SUM(AA7,AC7,AE7,AG7)/4</f>
        <v>1.6510855126608555E-2</v>
      </c>
      <c r="AJ7" s="120">
        <f t="shared" ref="AJ7:AJ31" si="14">(AA7+AC7)/2</f>
        <v>0</v>
      </c>
      <c r="AK7" s="119">
        <f t="shared" ref="AK7:AK31" si="15">(AE7+AG7)/2</f>
        <v>3.302171025321711E-2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1.3000000000000001E-2</v>
      </c>
      <c r="J8" s="24">
        <f t="shared" si="3"/>
        <v>1.3000000000000001E-2</v>
      </c>
      <c r="K8" s="22">
        <f t="shared" si="4"/>
        <v>6.5000000000000002E-2</v>
      </c>
      <c r="L8" s="22">
        <f t="shared" si="5"/>
        <v>1.3000000000000001E-2</v>
      </c>
      <c r="M8" s="223">
        <f t="shared" si="6"/>
        <v>1.3000000000000001E-2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9932.6577777777784</v>
      </c>
      <c r="T8" s="221">
        <f>IF($B$81=0,0,(SUMIF($N$6:$N$28,$U8,M$6:M$28)+SUMIF($N$91:$N$118,$U8,M$91:M$118))*$I$83*Poor!$B$81/$B$81)</f>
        <v>9624.0432614458878</v>
      </c>
      <c r="U8" s="222">
        <v>2</v>
      </c>
      <c r="V8" s="56"/>
      <c r="W8" s="115"/>
      <c r="X8" s="118">
        <f>Poor!X8</f>
        <v>1</v>
      </c>
      <c r="Y8" s="183">
        <f t="shared" si="9"/>
        <v>5.2000000000000005E-2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5.2000000000000005E-2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1.3000000000000001E-2</v>
      </c>
      <c r="AJ8" s="120">
        <f t="shared" si="14"/>
        <v>2.6000000000000002E-2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0.36670345890410955</v>
      </c>
      <c r="J9" s="24">
        <f t="shared" si="3"/>
        <v>7.1164996807022998E-2</v>
      </c>
      <c r="K9" s="22">
        <f t="shared" si="4"/>
        <v>0.17086541095890409</v>
      </c>
      <c r="L9" s="22">
        <f t="shared" si="5"/>
        <v>5.1259623287671224E-2</v>
      </c>
      <c r="M9" s="223">
        <f t="shared" si="6"/>
        <v>7.1164996807022998E-2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553.05904298937412</v>
      </c>
      <c r="T9" s="221">
        <f>IF($B$81=0,0,(SUMIF($N$6:$N$28,$U9,M$6:M$28)+SUMIF($N$91:$N$118,$U9,M$91:M$118))*$I$83*Poor!$B$81/$B$81)</f>
        <v>553.05904298937412</v>
      </c>
      <c r="U9" s="222">
        <v>3</v>
      </c>
      <c r="V9" s="56"/>
      <c r="W9" s="115"/>
      <c r="X9" s="118">
        <f>Poor!X9</f>
        <v>1</v>
      </c>
      <c r="Y9" s="183">
        <f t="shared" si="9"/>
        <v>0.28465998722809199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0.28465998722809199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7.1164996807022998E-2</v>
      </c>
      <c r="AJ9" s="120">
        <f t="shared" si="14"/>
        <v>0.142329993614046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0.2</v>
      </c>
      <c r="H11" s="24">
        <f t="shared" si="1"/>
        <v>0.2</v>
      </c>
      <c r="I11" s="22">
        <f t="shared" si="2"/>
        <v>1.7675282689912825E-2</v>
      </c>
      <c r="J11" s="24">
        <f t="shared" si="3"/>
        <v>1.7675282689912825E-2</v>
      </c>
      <c r="K11" s="22">
        <f t="shared" si="4"/>
        <v>8.8376413449564123E-2</v>
      </c>
      <c r="L11" s="22">
        <f t="shared" si="5"/>
        <v>1.7675282689912825E-2</v>
      </c>
      <c r="M11" s="223">
        <f t="shared" si="6"/>
        <v>1.7675282689912825E-2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15762.70222222222</v>
      </c>
      <c r="T11" s="221">
        <f>IF($B$81=0,0,(SUMIF($N$6:$N$28,$U11,M$6:M$28)+SUMIF($N$91:$N$118,$U11,M$91:M$118))*$I$83*Poor!$B$81/$B$81)</f>
        <v>15944.718599084628</v>
      </c>
      <c r="U11" s="222">
        <v>5</v>
      </c>
      <c r="V11" s="56"/>
      <c r="W11" s="115"/>
      <c r="X11" s="118">
        <f>Poor!X11</f>
        <v>1</v>
      </c>
      <c r="Y11" s="183">
        <f t="shared" si="9"/>
        <v>7.0701130759651301E-2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1.7675282689912825E-2</v>
      </c>
      <c r="AJ11" s="120">
        <f t="shared" si="14"/>
        <v>3.5350565379825651E-2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0.2</v>
      </c>
      <c r="H12" s="24">
        <f t="shared" si="1"/>
        <v>0.2</v>
      </c>
      <c r="I12" s="22">
        <f t="shared" si="2"/>
        <v>2.6649066002490661E-4</v>
      </c>
      <c r="J12" s="24">
        <f t="shared" si="3"/>
        <v>2.6649066002490661E-4</v>
      </c>
      <c r="K12" s="22">
        <f t="shared" si="4"/>
        <v>1.332453300124533E-3</v>
      </c>
      <c r="L12" s="22">
        <f t="shared" si="5"/>
        <v>2.6649066002490661E-4</v>
      </c>
      <c r="M12" s="223">
        <f t="shared" si="6"/>
        <v>2.6649066002490661E-4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1.0659626400996265E-3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7.1419496886674977E-4</v>
      </c>
      <c r="AF12" s="122">
        <f>1-SUM(Z12,AB12,AD12)</f>
        <v>0.32999999999999996</v>
      </c>
      <c r="AG12" s="121">
        <f>$M12*AF12*4</f>
        <v>3.5176767123287669E-4</v>
      </c>
      <c r="AH12" s="123">
        <f t="shared" si="12"/>
        <v>1</v>
      </c>
      <c r="AI12" s="183">
        <f t="shared" si="13"/>
        <v>2.6649066002490661E-4</v>
      </c>
      <c r="AJ12" s="120">
        <f t="shared" si="14"/>
        <v>0</v>
      </c>
      <c r="AK12" s="119">
        <f t="shared" si="15"/>
        <v>5.3298132004981323E-4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0.2</v>
      </c>
      <c r="H13" s="24">
        <f t="shared" si="1"/>
        <v>0.2</v>
      </c>
      <c r="I13" s="22">
        <f t="shared" si="2"/>
        <v>3.2152677459526775E-2</v>
      </c>
      <c r="J13" s="24">
        <f t="shared" si="3"/>
        <v>1.3834177742765212E-2</v>
      </c>
      <c r="K13" s="22">
        <f t="shared" si="4"/>
        <v>6.3001867995018682E-2</v>
      </c>
      <c r="L13" s="22">
        <f t="shared" si="5"/>
        <v>1.2600373599003737E-2</v>
      </c>
      <c r="M13" s="224">
        <f t="shared" si="6"/>
        <v>1.3834177742765212E-2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5.5336710971060847E-2</v>
      </c>
      <c r="Z13" s="156">
        <f>Poor!Z13</f>
        <v>1</v>
      </c>
      <c r="AA13" s="121">
        <f>$M13*Z13*4</f>
        <v>5.5336710971060847E-2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1.3834177742765212E-2</v>
      </c>
      <c r="AJ13" s="120">
        <f t="shared" si="14"/>
        <v>2.7668355485530424E-2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0.2</v>
      </c>
      <c r="F14" s="22"/>
      <c r="H14" s="24">
        <f t="shared" si="1"/>
        <v>0.2</v>
      </c>
      <c r="I14" s="22">
        <f t="shared" si="2"/>
        <v>6.4451432129514333E-2</v>
      </c>
      <c r="J14" s="24">
        <f>IF(I$32&lt;=1+I131,I14,B14*H14+J$33*(I14-B14*H14))</f>
        <v>2.4257023337282489E-2</v>
      </c>
      <c r="K14" s="22">
        <f t="shared" si="4"/>
        <v>0.10774906600249066</v>
      </c>
      <c r="L14" s="22">
        <f t="shared" si="5"/>
        <v>2.1549813200498133E-2</v>
      </c>
      <c r="M14" s="224">
        <f t="shared" si="6"/>
        <v>2.4257023337282489E-2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83072</v>
      </c>
      <c r="T14" s="221">
        <f>IF($B$81=0,0,(SUMIF($N$6:$N$28,$U14,M$6:M$28)+SUMIF($N$91:$N$118,$U14,M$91:M$118))*$I$83*Poor!$B$81/$B$81)</f>
        <v>83072</v>
      </c>
      <c r="U14" s="222">
        <v>8</v>
      </c>
      <c r="V14" s="56"/>
      <c r="W14" s="110"/>
      <c r="X14" s="118"/>
      <c r="Y14" s="183">
        <f>M14*4</f>
        <v>9.7028093349129957E-2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9.7028093349129957E-2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2.4257023337282489E-2</v>
      </c>
      <c r="AJ14" s="120">
        <f t="shared" si="14"/>
        <v>4.8514046674564978E-2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0.2</v>
      </c>
      <c r="F16" s="22"/>
      <c r="H16" s="24">
        <f t="shared" si="1"/>
        <v>0.2</v>
      </c>
      <c r="I16" s="22">
        <f t="shared" si="2"/>
        <v>6.2733499377334995E-3</v>
      </c>
      <c r="J16" s="24">
        <f>IF(I$32&lt;=1+I131,I16,B16*H16+J$33*(I16-B16*H16))</f>
        <v>1.7230395084242352E-3</v>
      </c>
      <c r="K16" s="22">
        <f t="shared" si="4"/>
        <v>7.0828144458281441E-3</v>
      </c>
      <c r="L16" s="22">
        <f t="shared" si="5"/>
        <v>1.4165628891656288E-3</v>
      </c>
      <c r="M16" s="223">
        <f t="shared" si="6"/>
        <v>1.7230395084242352E-3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6.8921580336969409E-3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6.8921580336969409E-3</v>
      </c>
      <c r="AH16" s="123">
        <f t="shared" si="12"/>
        <v>1</v>
      </c>
      <c r="AI16" s="183">
        <f t="shared" si="13"/>
        <v>1.7230395084242352E-3</v>
      </c>
      <c r="AJ16" s="120">
        <f t="shared" si="14"/>
        <v>0</v>
      </c>
      <c r="AK16" s="119">
        <f t="shared" si="15"/>
        <v>3.4460790168484704E-3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4.6543173100871728E-3</v>
      </c>
      <c r="J17" s="24">
        <f t="shared" ref="J17:J25" si="17">IF(I$32&lt;=1+I131,I17,B17*H17+J$33*(I17-B17*H17))</f>
        <v>2.5375128983725036E-3</v>
      </c>
      <c r="K17" s="22">
        <f t="shared" si="4"/>
        <v>1.1974699875466999E-2</v>
      </c>
      <c r="L17" s="22">
        <f t="shared" si="5"/>
        <v>2.3949399750934001E-3</v>
      </c>
      <c r="M17" s="224">
        <f t="shared" si="6"/>
        <v>2.5375128983725036E-3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1.0150051593490014E-2</v>
      </c>
      <c r="Z17" s="156">
        <f>Poor!Z17</f>
        <v>0.29409999999999997</v>
      </c>
      <c r="AA17" s="121">
        <f t="shared" si="16"/>
        <v>2.9851301736454131E-3</v>
      </c>
      <c r="AB17" s="156">
        <f>Poor!AB17</f>
        <v>0.17649999999999999</v>
      </c>
      <c r="AC17" s="121">
        <f t="shared" si="7"/>
        <v>1.7914841062509875E-3</v>
      </c>
      <c r="AD17" s="156">
        <f>Poor!AD17</f>
        <v>0.23530000000000001</v>
      </c>
      <c r="AE17" s="121">
        <f t="shared" si="8"/>
        <v>2.3883071399482003E-3</v>
      </c>
      <c r="AF17" s="122">
        <f t="shared" si="10"/>
        <v>0.29410000000000003</v>
      </c>
      <c r="AG17" s="121">
        <f t="shared" si="11"/>
        <v>2.9851301736454135E-3</v>
      </c>
      <c r="AH17" s="123">
        <f t="shared" si="12"/>
        <v>1</v>
      </c>
      <c r="AI17" s="183">
        <f t="shared" si="13"/>
        <v>2.5375128983725036E-3</v>
      </c>
      <c r="AJ17" s="120">
        <f t="shared" si="14"/>
        <v>2.3883071399482003E-3</v>
      </c>
      <c r="AK17" s="119">
        <f t="shared" si="15"/>
        <v>2.6867186567968069E-3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132869.05397336991</v>
      </c>
      <c r="T23" s="179">
        <f>SUM(T7:T22)</f>
        <v>133157.66874388754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4.2430530121711413E-2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4.2430530121711413E-2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0.16972212048684565</v>
      </c>
      <c r="Z27" s="156">
        <f>Poor!Z27</f>
        <v>0.25</v>
      </c>
      <c r="AA27" s="121">
        <f t="shared" si="16"/>
        <v>4.2430530121711413E-2</v>
      </c>
      <c r="AB27" s="156">
        <f>Poor!AB27</f>
        <v>0.25</v>
      </c>
      <c r="AC27" s="121">
        <f t="shared" si="7"/>
        <v>4.2430530121711413E-2</v>
      </c>
      <c r="AD27" s="156">
        <f>Poor!AD27</f>
        <v>0.25</v>
      </c>
      <c r="AE27" s="121">
        <f t="shared" si="8"/>
        <v>4.2430530121711413E-2</v>
      </c>
      <c r="AF27" s="122">
        <f t="shared" si="10"/>
        <v>0.25</v>
      </c>
      <c r="AG27" s="121">
        <f t="shared" si="11"/>
        <v>4.2430530121711413E-2</v>
      </c>
      <c r="AH27" s="123">
        <f t="shared" si="12"/>
        <v>1</v>
      </c>
      <c r="AI27" s="183">
        <f t="shared" si="13"/>
        <v>4.2430530121711413E-2</v>
      </c>
      <c r="AJ27" s="120">
        <f t="shared" si="14"/>
        <v>4.2430530121711413E-2</v>
      </c>
      <c r="AK27" s="119">
        <f t="shared" si="15"/>
        <v>4.2430530121711413E-2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4.0273560858776524E-3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4.0273560858776524E-3</v>
      </c>
      <c r="N28" s="228"/>
      <c r="O28" s="2"/>
      <c r="P28" s="22"/>
      <c r="V28" s="56"/>
      <c r="W28" s="110"/>
      <c r="X28" s="118"/>
      <c r="Y28" s="183">
        <f t="shared" si="9"/>
        <v>1.610942434351061E-2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8.0547121717553048E-3</v>
      </c>
      <c r="AF28" s="122">
        <f t="shared" si="10"/>
        <v>0.5</v>
      </c>
      <c r="AG28" s="121">
        <f t="shared" si="11"/>
        <v>8.0547121717553048E-3</v>
      </c>
      <c r="AH28" s="123">
        <f t="shared" si="12"/>
        <v>1</v>
      </c>
      <c r="AI28" s="183">
        <f t="shared" si="13"/>
        <v>4.0273560858776524E-3</v>
      </c>
      <c r="AJ28" s="120">
        <f t="shared" si="14"/>
        <v>0</v>
      </c>
      <c r="AK28" s="119">
        <f t="shared" si="15"/>
        <v>8.0547121717553048E-3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0.22366746065926479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0.22366746065926479</v>
      </c>
      <c r="N29" s="228"/>
      <c r="P29" s="22"/>
      <c r="V29" s="56"/>
      <c r="W29" s="110"/>
      <c r="X29" s="118"/>
      <c r="Y29" s="183">
        <f t="shared" si="9"/>
        <v>0.89466984263705918</v>
      </c>
      <c r="Z29" s="156">
        <f>Poor!Z29</f>
        <v>0.25</v>
      </c>
      <c r="AA29" s="121">
        <f t="shared" si="16"/>
        <v>0.22366746065926479</v>
      </c>
      <c r="AB29" s="156">
        <f>Poor!AB29</f>
        <v>0.25</v>
      </c>
      <c r="AC29" s="121">
        <f t="shared" si="7"/>
        <v>0.22366746065926479</v>
      </c>
      <c r="AD29" s="156">
        <f>Poor!AD29</f>
        <v>0.25</v>
      </c>
      <c r="AE29" s="121">
        <f t="shared" si="8"/>
        <v>0.22366746065926479</v>
      </c>
      <c r="AF29" s="122">
        <f t="shared" si="10"/>
        <v>0.25</v>
      </c>
      <c r="AG29" s="121">
        <f t="shared" si="11"/>
        <v>0.22366746065926479</v>
      </c>
      <c r="AH29" s="123">
        <f t="shared" si="12"/>
        <v>1</v>
      </c>
      <c r="AI29" s="183">
        <f t="shared" si="13"/>
        <v>0.22366746065926479</v>
      </c>
      <c r="AJ29" s="120">
        <f t="shared" si="14"/>
        <v>0.22366746065926479</v>
      </c>
      <c r="AK29" s="119">
        <f t="shared" si="15"/>
        <v>0.22366746065926479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6.4783942886255499</v>
      </c>
      <c r="J30" s="230">
        <f>IF(I$32&lt;=1,I30,1-SUM(J6:J29))</f>
        <v>0.473689794001389</v>
      </c>
      <c r="K30" s="22">
        <f t="shared" si="4"/>
        <v>0.57612499925280203</v>
      </c>
      <c r="L30" s="22">
        <f>IF(L124=L119,0,IF(K30="",0,(L119-L124)/(B119-B124)*K30))</f>
        <v>0.20318761526897641</v>
      </c>
      <c r="M30" s="175">
        <f t="shared" si="6"/>
        <v>0.473689794001389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1.894759176005556</v>
      </c>
      <c r="Z30" s="122">
        <f>IF($Y30=0,0,AA30/($Y$30))</f>
        <v>9.3983288377284077E-2</v>
      </c>
      <c r="AA30" s="187">
        <f>IF(AA79*4/$I$83+SUM(AA6:AA29)&lt;1,AA79*4/$I$83,1-SUM(AA6:AA29))</f>
        <v>0.17807569804403534</v>
      </c>
      <c r="AB30" s="122">
        <f>IF($Y30=0,0,AC30/($Y$30))</f>
        <v>0.28760334644211594</v>
      </c>
      <c r="AC30" s="187">
        <f>IF(AC79*4/$I$83+SUM(AC6:AC29)&lt;1,AC79*4/$I$83,1-SUM(AC6:AC29))</f>
        <v>0.544939079721104</v>
      </c>
      <c r="AD30" s="122">
        <f>IF($Y30=0,0,AE30/($Y$30))</f>
        <v>0.32851519820610725</v>
      </c>
      <c r="AE30" s="187">
        <f>IF(AE79*4/$I$83+SUM(AE6:AE29)&lt;1,AE79*4/$I$83,1-SUM(AE6:AE29))</f>
        <v>0.62245718625830571</v>
      </c>
      <c r="AF30" s="122">
        <f>IF($Y30=0,0,AG30/($Y$30))</f>
        <v>0.28989816697449283</v>
      </c>
      <c r="AG30" s="187">
        <f>IF(AG79*4/$I$83+SUM(AG6:AG29)&lt;1,AG79*4/$I$83,1-SUM(AG6:AG29))</f>
        <v>0.54928721198211117</v>
      </c>
      <c r="AH30" s="123">
        <f t="shared" si="12"/>
        <v>1.0000000000000002</v>
      </c>
      <c r="AI30" s="183">
        <f t="shared" si="13"/>
        <v>0.473689794001389</v>
      </c>
      <c r="AJ30" s="120">
        <f t="shared" si="14"/>
        <v>0.36150738888256967</v>
      </c>
      <c r="AK30" s="119">
        <f t="shared" si="15"/>
        <v>0.58587219912020849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0.2917338286121044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7.3199344071464081</v>
      </c>
      <c r="J32" s="17"/>
      <c r="L32" s="22">
        <f>SUM(L6:L30)</f>
        <v>0.7082661713878956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6.3102750067861771E-2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16520</v>
      </c>
      <c r="J37" s="38">
        <f>J91*I$83</f>
        <v>14308.922490160152</v>
      </c>
      <c r="K37" s="40">
        <f t="shared" ref="K37:K52" si="28">(B37/B$65)</f>
        <v>0.10392939729610351</v>
      </c>
      <c r="L37" s="22">
        <f t="shared" ref="L37:L52" si="29">(K37*H37)</f>
        <v>6.1318344404701068E-2</v>
      </c>
      <c r="M37" s="24">
        <f t="shared" ref="M37:M52" si="30">J37/B$65</f>
        <v>6.1963237098291886E-2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14308.922490160152</v>
      </c>
      <c r="AH37" s="123">
        <f>SUM(Z37,AB37,AD37,AF37)</f>
        <v>1</v>
      </c>
      <c r="AI37" s="112">
        <f>SUM(AA37,AC37,AE37,AG37)</f>
        <v>14308.922490160152</v>
      </c>
      <c r="AJ37" s="148">
        <f>(AA37+AC37)</f>
        <v>0</v>
      </c>
      <c r="AK37" s="147">
        <f>(AE37+AG37)</f>
        <v>14308.922490160152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4425</v>
      </c>
      <c r="J38" s="38">
        <f t="shared" ref="J38:J64" si="33">J92*I$83</f>
        <v>3595.845933810057</v>
      </c>
      <c r="K38" s="40">
        <f t="shared" si="28"/>
        <v>2.5982349324025877E-2</v>
      </c>
      <c r="L38" s="22">
        <f t="shared" si="29"/>
        <v>1.5329586101175267E-2</v>
      </c>
      <c r="M38" s="24">
        <f t="shared" si="30"/>
        <v>1.5571420861271824E-2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3595.845933810057</v>
      </c>
      <c r="AH38" s="123">
        <f t="shared" ref="AH38:AI58" si="35">SUM(Z38,AB38,AD38,AF38)</f>
        <v>1</v>
      </c>
      <c r="AI38" s="112">
        <f t="shared" si="35"/>
        <v>3595.845933810057</v>
      </c>
      <c r="AJ38" s="148">
        <f t="shared" ref="AJ38:AJ64" si="36">(AA38+AC38)</f>
        <v>0</v>
      </c>
      <c r="AK38" s="147">
        <f t="shared" ref="AK38:AK64" si="37">(AE38+AG38)</f>
        <v>3595.845933810057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33.04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33.04</v>
      </c>
      <c r="AJ39" s="148">
        <f t="shared" si="36"/>
        <v>33.04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1928.1345403603407</v>
      </c>
      <c r="K40" s="40">
        <f t="shared" si="28"/>
        <v>2.1218918614621135E-2</v>
      </c>
      <c r="L40" s="22">
        <f t="shared" si="29"/>
        <v>8.9119458181408772E-3</v>
      </c>
      <c r="M40" s="24">
        <f t="shared" si="30"/>
        <v>8.3495775285604076E-3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1928.1345403603407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1928.1345403603407</v>
      </c>
      <c r="AJ40" s="148">
        <f t="shared" si="36"/>
        <v>1928.1345403603407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783.99999999999989</v>
      </c>
      <c r="J42" s="38">
        <f t="shared" si="33"/>
        <v>783.99999999999977</v>
      </c>
      <c r="K42" s="40">
        <f t="shared" si="28"/>
        <v>1.2125096351212077E-2</v>
      </c>
      <c r="L42" s="22">
        <f t="shared" si="29"/>
        <v>3.3950269783393811E-3</v>
      </c>
      <c r="M42" s="24">
        <f t="shared" si="30"/>
        <v>3.3950269783393806E-3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195.99999999999994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391.99999999999989</v>
      </c>
      <c r="AF42" s="122">
        <f t="shared" si="31"/>
        <v>0.25</v>
      </c>
      <c r="AG42" s="147">
        <f t="shared" si="34"/>
        <v>195.99999999999994</v>
      </c>
      <c r="AH42" s="123">
        <f t="shared" si="35"/>
        <v>1</v>
      </c>
      <c r="AI42" s="112">
        <f t="shared" si="35"/>
        <v>783.99999999999977</v>
      </c>
      <c r="AJ42" s="148">
        <f t="shared" si="36"/>
        <v>195.99999999999994</v>
      </c>
      <c r="AK42" s="147">
        <f t="shared" si="37"/>
        <v>587.99999999999977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944.39242793159519</v>
      </c>
      <c r="K43" s="40">
        <f t="shared" si="28"/>
        <v>1.5589409594415527E-2</v>
      </c>
      <c r="L43" s="22">
        <f t="shared" si="29"/>
        <v>4.3650346864363473E-3</v>
      </c>
      <c r="M43" s="24">
        <f t="shared" si="30"/>
        <v>4.0895889935806066E-3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236.0981069828988</v>
      </c>
      <c r="AB43" s="156">
        <f>Poor!AB43</f>
        <v>0.25</v>
      </c>
      <c r="AC43" s="147">
        <f t="shared" si="39"/>
        <v>236.0981069828988</v>
      </c>
      <c r="AD43" s="156">
        <f>Poor!AD43</f>
        <v>0.25</v>
      </c>
      <c r="AE43" s="147">
        <f t="shared" si="40"/>
        <v>236.0981069828988</v>
      </c>
      <c r="AF43" s="122">
        <f t="shared" si="31"/>
        <v>0.25</v>
      </c>
      <c r="AG43" s="147">
        <f t="shared" si="34"/>
        <v>236.0981069828988</v>
      </c>
      <c r="AH43" s="123">
        <f t="shared" si="35"/>
        <v>1</v>
      </c>
      <c r="AI43" s="112">
        <f t="shared" si="35"/>
        <v>944.39242793159519</v>
      </c>
      <c r="AJ43" s="148">
        <f t="shared" si="36"/>
        <v>472.1962139657976</v>
      </c>
      <c r="AK43" s="147">
        <f t="shared" si="37"/>
        <v>472.1962139657976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1023.0917969258948</v>
      </c>
      <c r="K44" s="40">
        <f t="shared" si="28"/>
        <v>1.6888527060616821E-2</v>
      </c>
      <c r="L44" s="22">
        <f t="shared" si="29"/>
        <v>4.7287875769727091E-3</v>
      </c>
      <c r="M44" s="24">
        <f t="shared" si="30"/>
        <v>4.4303880763789903E-3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255.77294923147369</v>
      </c>
      <c r="AB44" s="156">
        <f>Poor!AB44</f>
        <v>0.25</v>
      </c>
      <c r="AC44" s="147">
        <f t="shared" si="39"/>
        <v>255.77294923147369</v>
      </c>
      <c r="AD44" s="156">
        <f>Poor!AD44</f>
        <v>0.25</v>
      </c>
      <c r="AE44" s="147">
        <f t="shared" si="40"/>
        <v>255.77294923147369</v>
      </c>
      <c r="AF44" s="122">
        <f t="shared" si="31"/>
        <v>0.25</v>
      </c>
      <c r="AG44" s="147">
        <f t="shared" si="34"/>
        <v>255.77294923147369</v>
      </c>
      <c r="AH44" s="123">
        <f t="shared" si="35"/>
        <v>1</v>
      </c>
      <c r="AI44" s="112">
        <f t="shared" si="35"/>
        <v>1023.0917969258948</v>
      </c>
      <c r="AJ44" s="148">
        <f t="shared" si="36"/>
        <v>511.54589846294738</v>
      </c>
      <c r="AK44" s="147">
        <f t="shared" si="37"/>
        <v>511.54589846294738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1101.7911659201943</v>
      </c>
      <c r="K46" s="40">
        <f t="shared" si="28"/>
        <v>1.8187644526818116E-2</v>
      </c>
      <c r="L46" s="22">
        <f t="shared" si="29"/>
        <v>5.0925404675090718E-3</v>
      </c>
      <c r="M46" s="24">
        <f t="shared" si="30"/>
        <v>4.7711871591773741E-3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275.44779148004858</v>
      </c>
      <c r="AB46" s="156">
        <f>Poor!AB46</f>
        <v>0.25</v>
      </c>
      <c r="AC46" s="147">
        <f t="shared" si="39"/>
        <v>275.44779148004858</v>
      </c>
      <c r="AD46" s="156">
        <f>Poor!AD46</f>
        <v>0.25</v>
      </c>
      <c r="AE46" s="147">
        <f t="shared" si="40"/>
        <v>275.44779148004858</v>
      </c>
      <c r="AF46" s="122">
        <f t="shared" si="31"/>
        <v>0.25</v>
      </c>
      <c r="AG46" s="147">
        <f t="shared" si="34"/>
        <v>275.44779148004858</v>
      </c>
      <c r="AH46" s="123">
        <f t="shared" si="35"/>
        <v>1</v>
      </c>
      <c r="AI46" s="112">
        <f t="shared" si="35"/>
        <v>1101.7911659201943</v>
      </c>
      <c r="AJ46" s="148">
        <f t="shared" si="36"/>
        <v>550.89558296009716</v>
      </c>
      <c r="AK46" s="147">
        <f t="shared" si="37"/>
        <v>550.89558296009716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157.39873798859918</v>
      </c>
      <c r="K47" s="40">
        <f t="shared" si="28"/>
        <v>2.5982349324025879E-3</v>
      </c>
      <c r="L47" s="22">
        <f t="shared" si="29"/>
        <v>7.2750578107272455E-4</v>
      </c>
      <c r="M47" s="24">
        <f t="shared" si="30"/>
        <v>6.8159816559676769E-4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39.349684497149795</v>
      </c>
      <c r="AB47" s="156">
        <f>Poor!AB47</f>
        <v>0.25</v>
      </c>
      <c r="AC47" s="147">
        <f t="shared" si="39"/>
        <v>39.349684497149795</v>
      </c>
      <c r="AD47" s="156">
        <f>Poor!AD47</f>
        <v>0.25</v>
      </c>
      <c r="AE47" s="147">
        <f t="shared" si="40"/>
        <v>39.349684497149795</v>
      </c>
      <c r="AF47" s="122">
        <f t="shared" si="31"/>
        <v>0.25</v>
      </c>
      <c r="AG47" s="147">
        <f t="shared" si="34"/>
        <v>39.349684497149795</v>
      </c>
      <c r="AH47" s="123">
        <f t="shared" si="35"/>
        <v>1</v>
      </c>
      <c r="AI47" s="112">
        <f t="shared" si="35"/>
        <v>157.39873798859918</v>
      </c>
      <c r="AJ47" s="148">
        <f t="shared" si="36"/>
        <v>78.69936899429959</v>
      </c>
      <c r="AK47" s="147">
        <f t="shared" si="37"/>
        <v>78.69936899429959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846.71999999999991</v>
      </c>
      <c r="J48" s="38">
        <f t="shared" si="33"/>
        <v>846.71999999999991</v>
      </c>
      <c r="K48" s="40">
        <f t="shared" si="28"/>
        <v>1.3095104059309044E-2</v>
      </c>
      <c r="L48" s="22">
        <f t="shared" si="29"/>
        <v>3.6666291366065319E-3</v>
      </c>
      <c r="M48" s="24">
        <f t="shared" si="30"/>
        <v>3.6666291366065315E-3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211.67999999999998</v>
      </c>
      <c r="AB48" s="156">
        <f>Poor!AB48</f>
        <v>0.25</v>
      </c>
      <c r="AC48" s="147">
        <f t="shared" si="39"/>
        <v>211.67999999999998</v>
      </c>
      <c r="AD48" s="156">
        <f>Poor!AD48</f>
        <v>0.25</v>
      </c>
      <c r="AE48" s="147">
        <f t="shared" si="40"/>
        <v>211.67999999999998</v>
      </c>
      <c r="AF48" s="122">
        <f t="shared" si="31"/>
        <v>0.25</v>
      </c>
      <c r="AG48" s="147">
        <f t="shared" si="34"/>
        <v>211.67999999999998</v>
      </c>
      <c r="AH48" s="123">
        <f t="shared" si="35"/>
        <v>1</v>
      </c>
      <c r="AI48" s="112">
        <f t="shared" si="35"/>
        <v>846.71999999999991</v>
      </c>
      <c r="AJ48" s="148">
        <f t="shared" si="36"/>
        <v>423.35999999999996</v>
      </c>
      <c r="AK48" s="147">
        <f t="shared" si="37"/>
        <v>423.35999999999996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519.11999999999989</v>
      </c>
      <c r="J49" s="38">
        <f t="shared" si="33"/>
        <v>519.11999999999989</v>
      </c>
      <c r="K49" s="40">
        <f t="shared" si="28"/>
        <v>8.0285459411239962E-3</v>
      </c>
      <c r="L49" s="22">
        <f t="shared" si="29"/>
        <v>2.2479928635147188E-3</v>
      </c>
      <c r="M49" s="24">
        <f t="shared" si="30"/>
        <v>2.2479928635147184E-3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129.77999999999997</v>
      </c>
      <c r="AB49" s="156">
        <f>Poor!AB49</f>
        <v>0.25</v>
      </c>
      <c r="AC49" s="147">
        <f t="shared" si="39"/>
        <v>129.77999999999997</v>
      </c>
      <c r="AD49" s="156">
        <f>Poor!AD49</f>
        <v>0.25</v>
      </c>
      <c r="AE49" s="147">
        <f t="shared" si="40"/>
        <v>129.77999999999997</v>
      </c>
      <c r="AF49" s="122">
        <f t="shared" si="31"/>
        <v>0.25</v>
      </c>
      <c r="AG49" s="147">
        <f t="shared" si="34"/>
        <v>129.77999999999997</v>
      </c>
      <c r="AH49" s="123">
        <f t="shared" si="35"/>
        <v>1</v>
      </c>
      <c r="AI49" s="112">
        <f t="shared" si="35"/>
        <v>519.11999999999989</v>
      </c>
      <c r="AJ49" s="148">
        <f t="shared" si="36"/>
        <v>259.55999999999995</v>
      </c>
      <c r="AK49" s="147">
        <f t="shared" si="37"/>
        <v>259.55999999999995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134.39999999999998</v>
      </c>
      <c r="J51" s="38">
        <f t="shared" si="33"/>
        <v>134.39999999999998</v>
      </c>
      <c r="K51" s="40">
        <f t="shared" si="28"/>
        <v>2.0785879459220701E-3</v>
      </c>
      <c r="L51" s="22">
        <f t="shared" si="29"/>
        <v>5.8200462485817953E-4</v>
      </c>
      <c r="M51" s="24">
        <f t="shared" si="30"/>
        <v>5.8200462485817953E-4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33.599999999999994</v>
      </c>
      <c r="AB51" s="156">
        <f>Poor!AB56</f>
        <v>0.25</v>
      </c>
      <c r="AC51" s="147">
        <f t="shared" si="39"/>
        <v>33.599999999999994</v>
      </c>
      <c r="AD51" s="156">
        <f>Poor!AD56</f>
        <v>0.25</v>
      </c>
      <c r="AE51" s="147">
        <f t="shared" si="40"/>
        <v>33.599999999999994</v>
      </c>
      <c r="AF51" s="122">
        <f t="shared" si="31"/>
        <v>0.25</v>
      </c>
      <c r="AG51" s="147">
        <f t="shared" si="34"/>
        <v>33.599999999999994</v>
      </c>
      <c r="AH51" s="123">
        <f t="shared" si="35"/>
        <v>1</v>
      </c>
      <c r="AI51" s="112">
        <f t="shared" si="35"/>
        <v>134.39999999999998</v>
      </c>
      <c r="AJ51" s="148">
        <f t="shared" si="36"/>
        <v>67.199999999999989</v>
      </c>
      <c r="AK51" s="147">
        <f t="shared" si="37"/>
        <v>67.199999999999989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3387.9999999999995</v>
      </c>
      <c r="J52" s="38">
        <f t="shared" si="33"/>
        <v>3387.9999999999995</v>
      </c>
      <c r="K52" s="40">
        <f t="shared" si="28"/>
        <v>5.2397737803452187E-2</v>
      </c>
      <c r="L52" s="22">
        <f t="shared" si="29"/>
        <v>1.4671366584966612E-2</v>
      </c>
      <c r="M52" s="24">
        <f t="shared" si="30"/>
        <v>1.4671366584966612E-2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846.99999999999989</v>
      </c>
      <c r="AB52" s="156">
        <f>Poor!AB57</f>
        <v>0.25</v>
      </c>
      <c r="AC52" s="147">
        <f t="shared" si="39"/>
        <v>846.99999999999989</v>
      </c>
      <c r="AD52" s="156">
        <f>Poor!AD57</f>
        <v>0.25</v>
      </c>
      <c r="AE52" s="147">
        <f t="shared" si="40"/>
        <v>846.99999999999989</v>
      </c>
      <c r="AF52" s="122">
        <f t="shared" si="31"/>
        <v>0.25</v>
      </c>
      <c r="AG52" s="147">
        <f t="shared" si="34"/>
        <v>846.99999999999989</v>
      </c>
      <c r="AH52" s="123">
        <f t="shared" si="35"/>
        <v>1</v>
      </c>
      <c r="AI52" s="112">
        <f t="shared" si="35"/>
        <v>3387.9999999999995</v>
      </c>
      <c r="AJ52" s="148">
        <f t="shared" si="36"/>
        <v>1693.9999999999998</v>
      </c>
      <c r="AK52" s="147">
        <f t="shared" si="37"/>
        <v>1693.9999999999998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0.6</v>
      </c>
      <c r="F57" s="75">
        <f>Middle!F57</f>
        <v>1.18</v>
      </c>
      <c r="G57" s="22">
        <f t="shared" si="32"/>
        <v>1.65</v>
      </c>
      <c r="H57" s="24">
        <f t="shared" si="41"/>
        <v>0.70799999999999996</v>
      </c>
      <c r="I57" s="39">
        <f t="shared" si="42"/>
        <v>93456</v>
      </c>
      <c r="J57" s="38">
        <f t="shared" si="33"/>
        <v>93456</v>
      </c>
      <c r="K57" s="40">
        <f t="shared" si="43"/>
        <v>0.5716116851285693</v>
      </c>
      <c r="L57" s="22">
        <f t="shared" si="44"/>
        <v>0.40470107307102704</v>
      </c>
      <c r="M57" s="24">
        <f t="shared" si="45"/>
        <v>0.4047010730710271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0</v>
      </c>
      <c r="F60" s="75">
        <f>Middle!F60</f>
        <v>1.18</v>
      </c>
      <c r="G60" s="22">
        <f t="shared" si="32"/>
        <v>1.65</v>
      </c>
      <c r="H60" s="24">
        <f t="shared" si="41"/>
        <v>0</v>
      </c>
      <c r="I60" s="39">
        <f t="shared" si="42"/>
        <v>0</v>
      </c>
      <c r="J60" s="38">
        <f t="shared" si="33"/>
        <v>0</v>
      </c>
      <c r="K60" s="40">
        <f t="shared" si="43"/>
        <v>3.2218113161792086E-2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142762.28</v>
      </c>
      <c r="J65" s="39">
        <f>SUM(J37:J64)</f>
        <v>144876.85709309683</v>
      </c>
      <c r="K65" s="40">
        <f>SUM(K37:K64)</f>
        <v>1</v>
      </c>
      <c r="L65" s="22">
        <f>SUM(L37:L64)</f>
        <v>0.62799026527978652</v>
      </c>
      <c r="M65" s="24">
        <f>SUM(M37:M64)</f>
        <v>0.62737351832663646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9849.9030725519096</v>
      </c>
      <c r="AB65" s="137"/>
      <c r="AC65" s="153">
        <f>SUM(AC37:AC64)</f>
        <v>7692.7285321915697</v>
      </c>
      <c r="AD65" s="137"/>
      <c r="AE65" s="153">
        <f>SUM(AE37:AE64)</f>
        <v>8084.7285321915697</v>
      </c>
      <c r="AF65" s="137"/>
      <c r="AG65" s="153">
        <f>SUM(AG37:AG64)</f>
        <v>25793.496956161776</v>
      </c>
      <c r="AH65" s="137"/>
      <c r="AI65" s="153">
        <f>SUM(AI37:AI64)</f>
        <v>51420.857093096827</v>
      </c>
      <c r="AJ65" s="153">
        <f>SUM(AJ37:AJ64)</f>
        <v>17542.631604743481</v>
      </c>
      <c r="AK65" s="153">
        <f>SUM(AK37:AK64)</f>
        <v>33878.225488353353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124556.3938631552</v>
      </c>
      <c r="J74" s="51">
        <f>J128*I$83</f>
        <v>9107.3636339463173</v>
      </c>
      <c r="K74" s="40">
        <f>B74/B$76</f>
        <v>2.9070907747959899E-2</v>
      </c>
      <c r="L74" s="22">
        <f>(L128*G$37*F$9/F$7)/B$130</f>
        <v>1.6916988334147572E-2</v>
      </c>
      <c r="M74" s="24">
        <f>J74/B$76</f>
        <v>3.9438450559687158E-2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855.93998276596665</v>
      </c>
      <c r="AB74" s="156"/>
      <c r="AC74" s="147">
        <f>AC30*$I$83/4</f>
        <v>2619.3082583881906</v>
      </c>
      <c r="AD74" s="156"/>
      <c r="AE74" s="147">
        <f>AE30*$I$83/4</f>
        <v>2991.9073693409678</v>
      </c>
      <c r="AF74" s="156"/>
      <c r="AG74" s="147">
        <f>AG30*$I$83/4</f>
        <v>2640.2080234511936</v>
      </c>
      <c r="AH74" s="155"/>
      <c r="AI74" s="147">
        <f>SUM(AA74,AC74,AE74,AG74)</f>
        <v>9107.3636339463192</v>
      </c>
      <c r="AJ74" s="148">
        <f>(AA74+AC74)</f>
        <v>3475.2482411541573</v>
      </c>
      <c r="AK74" s="147">
        <f>(AE74+AG74)</f>
        <v>5632.1153927921614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23944.767322305714</v>
      </c>
      <c r="K75" s="40">
        <f>B75/B$76</f>
        <v>0.57105119031176255</v>
      </c>
      <c r="L75" s="22">
        <f>(L129*G$37*F$9/F$7)/B$130</f>
        <v>0.12682842735380101</v>
      </c>
      <c r="M75" s="24">
        <f>J75/B$76</f>
        <v>0.10369021817511113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4442.4915555747466</v>
      </c>
      <c r="AB75" s="158"/>
      <c r="AC75" s="149">
        <f>AA75+AC65-SUM(AC70,AC74)</f>
        <v>4964.440295166929</v>
      </c>
      <c r="AD75" s="158"/>
      <c r="AE75" s="149">
        <f>AC75+AE65-SUM(AE70,AE74)</f>
        <v>5505.7899238063346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24107.607322305721</v>
      </c>
      <c r="AJ75" s="151">
        <f>AJ76-SUM(AJ70,AJ74)</f>
        <v>4964.4402951669308</v>
      </c>
      <c r="AK75" s="149">
        <f>AJ75+AK76-SUM(AK70,AK74)</f>
        <v>24107.607322305725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142762.27999999997</v>
      </c>
      <c r="J76" s="51">
        <f>J130*I$83</f>
        <v>144876.85709309683</v>
      </c>
      <c r="K76" s="40">
        <f>SUM(K70:K75)</f>
        <v>0.79674008123814566</v>
      </c>
      <c r="L76" s="22">
        <f>SUM(L70:L75)</f>
        <v>0.3881435611407984</v>
      </c>
      <c r="M76" s="24">
        <f>SUM(M70:M75)</f>
        <v>0.38752681418764806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9849.9030725519096</v>
      </c>
      <c r="AB76" s="137"/>
      <c r="AC76" s="153">
        <f>AC65</f>
        <v>7692.7285321915697</v>
      </c>
      <c r="AD76" s="137"/>
      <c r="AE76" s="153">
        <f>AE65</f>
        <v>8084.7285321915697</v>
      </c>
      <c r="AF76" s="137"/>
      <c r="AG76" s="153">
        <f>AG65</f>
        <v>25793.496956161776</v>
      </c>
      <c r="AH76" s="137"/>
      <c r="AI76" s="153">
        <f>SUM(AA76,AC76,AE76,AG76)</f>
        <v>51420.857093096827</v>
      </c>
      <c r="AJ76" s="154">
        <f>SUM(AA76,AC76)</f>
        <v>17542.631604743481</v>
      </c>
      <c r="AK76" s="154">
        <f>SUM(AE76,AG76)</f>
        <v>33878.225488353346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18556.679999999997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4442.4915555747466</v>
      </c>
      <c r="AD78" s="112"/>
      <c r="AE78" s="112">
        <f>AC75</f>
        <v>4964.440295166929</v>
      </c>
      <c r="AF78" s="112"/>
      <c r="AG78" s="112">
        <f>AE75</f>
        <v>5505.7899238063346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5298.4315383407129</v>
      </c>
      <c r="AB79" s="112"/>
      <c r="AC79" s="112">
        <f>AA79-AA74+AC65-AC70</f>
        <v>7583.7485535551195</v>
      </c>
      <c r="AD79" s="112"/>
      <c r="AE79" s="112">
        <f>AC79-AC74+AE65-AE70</f>
        <v>8497.6972931473028</v>
      </c>
      <c r="AF79" s="112"/>
      <c r="AG79" s="112">
        <f>AE79-AE74+AG65-AG70</f>
        <v>26747.815345756913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0.3575757575757576</v>
      </c>
      <c r="I91" s="22">
        <f t="shared" ref="I91" si="52">(D91*H91)</f>
        <v>0.85923388056397776</v>
      </c>
      <c r="J91" s="24">
        <f>IF(I$32&lt;=1+I$131,I91,L91+J$33*(I91-L91))</f>
        <v>0.74423190059984778</v>
      </c>
      <c r="K91" s="22">
        <f t="shared" ref="K91" si="53">(B91)</f>
        <v>2.0596647500201888</v>
      </c>
      <c r="L91" s="22">
        <f t="shared" ref="L91" si="54">(K91*H91)</f>
        <v>0.73648618334055238</v>
      </c>
      <c r="M91" s="226">
        <f t="shared" si="50"/>
        <v>0.74423190059984778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0.3575757575757576</v>
      </c>
      <c r="I92" s="22">
        <f t="shared" ref="I92:I118" si="59">(D92*H92)</f>
        <v>0.23015193229392264</v>
      </c>
      <c r="J92" s="24">
        <f t="shared" ref="J92:J118" si="60">IF(I$32&lt;=1+I$131,I92,L92+J$33*(I92-L92))</f>
        <v>0.18702618980737387</v>
      </c>
      <c r="K92" s="22">
        <f t="shared" ref="K92:K118" si="61">(B92)</f>
        <v>0.5149161875050472</v>
      </c>
      <c r="L92" s="22">
        <f t="shared" ref="L92:L118" si="62">(K92*H92)</f>
        <v>0.1841215458351381</v>
      </c>
      <c r="M92" s="226">
        <f t="shared" ref="M92:M118" si="63">(J92)</f>
        <v>0.18702618980737387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0.10028562490092358</v>
      </c>
      <c r="K94" s="22">
        <f t="shared" si="61"/>
        <v>0.42051488646245527</v>
      </c>
      <c r="L94" s="22">
        <f t="shared" si="62"/>
        <v>0.1070401529177159</v>
      </c>
      <c r="M94" s="226">
        <f t="shared" si="63"/>
        <v>0.10028562490092358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0.16969696969696968</v>
      </c>
      <c r="I96" s="22">
        <f t="shared" si="59"/>
        <v>4.0777201111510807E-2</v>
      </c>
      <c r="J96" s="24">
        <f t="shared" si="60"/>
        <v>4.0777201111510807E-2</v>
      </c>
      <c r="K96" s="22">
        <f t="shared" si="61"/>
        <v>0.24029422083568872</v>
      </c>
      <c r="L96" s="22">
        <f t="shared" si="62"/>
        <v>4.0777201111510807E-2</v>
      </c>
      <c r="M96" s="226">
        <f t="shared" si="63"/>
        <v>4.0777201111510807E-2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4.9119489747391124E-2</v>
      </c>
      <c r="K97" s="22">
        <f t="shared" si="61"/>
        <v>0.30894971250302833</v>
      </c>
      <c r="L97" s="22">
        <f t="shared" si="62"/>
        <v>5.2427830000513896E-2</v>
      </c>
      <c r="M97" s="226">
        <f t="shared" si="63"/>
        <v>4.9119489747391124E-2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5.3212780559673718E-2</v>
      </c>
      <c r="K98" s="22">
        <f t="shared" si="61"/>
        <v>0.33469552187828072</v>
      </c>
      <c r="L98" s="22">
        <f t="shared" si="62"/>
        <v>5.6796815833890055E-2</v>
      </c>
      <c r="M98" s="226">
        <f t="shared" si="63"/>
        <v>5.3212780559673718E-2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5.7306071371956306E-2</v>
      </c>
      <c r="K100" s="22">
        <f t="shared" si="61"/>
        <v>0.36044133125353306</v>
      </c>
      <c r="L100" s="22">
        <f t="shared" si="62"/>
        <v>6.1165801667266206E-2</v>
      </c>
      <c r="M100" s="226">
        <f t="shared" si="63"/>
        <v>5.7306071371956306E-2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8.1865816245651861E-3</v>
      </c>
      <c r="K101" s="22">
        <f t="shared" si="61"/>
        <v>5.1491618750504724E-2</v>
      </c>
      <c r="L101" s="22">
        <f t="shared" si="62"/>
        <v>8.7379716667523154E-3</v>
      </c>
      <c r="M101" s="226">
        <f t="shared" si="63"/>
        <v>8.1865816245651861E-3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0.16969696969696968</v>
      </c>
      <c r="I102" s="22">
        <f t="shared" si="59"/>
        <v>4.4039377200431676E-2</v>
      </c>
      <c r="J102" s="24">
        <f t="shared" si="60"/>
        <v>4.4039377200431676E-2</v>
      </c>
      <c r="K102" s="22">
        <f t="shared" si="61"/>
        <v>0.25951775850254383</v>
      </c>
      <c r="L102" s="22">
        <f t="shared" si="62"/>
        <v>4.4039377200431676E-2</v>
      </c>
      <c r="M102" s="226">
        <f t="shared" si="63"/>
        <v>4.4039377200431676E-2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0.16969696969696968</v>
      </c>
      <c r="I103" s="22">
        <f t="shared" si="59"/>
        <v>2.7000332450264657E-2</v>
      </c>
      <c r="J103" s="24">
        <f t="shared" si="60"/>
        <v>2.7000332450264657E-2</v>
      </c>
      <c r="K103" s="22">
        <f t="shared" si="61"/>
        <v>0.15910910193905961</v>
      </c>
      <c r="L103" s="22">
        <f t="shared" si="62"/>
        <v>2.7000332450264657E-2</v>
      </c>
      <c r="M103" s="226">
        <f t="shared" si="63"/>
        <v>2.7000332450264657E-2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0.16969696969696968</v>
      </c>
      <c r="I105" s="22">
        <f t="shared" si="59"/>
        <v>6.9903773334018529E-3</v>
      </c>
      <c r="J105" s="24">
        <f t="shared" si="60"/>
        <v>6.9903773334018529E-3</v>
      </c>
      <c r="K105" s="22">
        <f t="shared" si="61"/>
        <v>4.1193295000403779E-2</v>
      </c>
      <c r="L105" s="22">
        <f t="shared" si="62"/>
        <v>6.9903773334018529E-3</v>
      </c>
      <c r="M105" s="226">
        <f t="shared" si="63"/>
        <v>6.9903773334018529E-3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0.16969696969696968</v>
      </c>
      <c r="I106" s="22">
        <f t="shared" si="59"/>
        <v>0.17621576194617172</v>
      </c>
      <c r="J106" s="24">
        <f t="shared" si="60"/>
        <v>0.17621576194617172</v>
      </c>
      <c r="K106" s="22">
        <f t="shared" si="61"/>
        <v>1.038414311468512</v>
      </c>
      <c r="L106" s="22">
        <f t="shared" si="62"/>
        <v>0.17621576194617172</v>
      </c>
      <c r="M106" s="226">
        <f t="shared" si="63"/>
        <v>0.17621576194617172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0.42909090909090908</v>
      </c>
      <c r="I111" s="22">
        <f t="shared" si="59"/>
        <v>4.8608088100476463</v>
      </c>
      <c r="J111" s="24">
        <f t="shared" si="60"/>
        <v>4.8608088100476463</v>
      </c>
      <c r="K111" s="22">
        <f t="shared" si="61"/>
        <v>11.32815612511104</v>
      </c>
      <c r="L111" s="22">
        <f t="shared" si="62"/>
        <v>4.8608088100476463</v>
      </c>
      <c r="M111" s="226">
        <f t="shared" si="63"/>
        <v>4.8608088100476463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</v>
      </c>
      <c r="I114" s="22">
        <f t="shared" si="59"/>
        <v>0</v>
      </c>
      <c r="J114" s="24">
        <f t="shared" si="60"/>
        <v>0</v>
      </c>
      <c r="K114" s="22">
        <f t="shared" si="61"/>
        <v>0.63849607250625862</v>
      </c>
      <c r="L114" s="22">
        <f t="shared" si="62"/>
        <v>0</v>
      </c>
      <c r="M114" s="226">
        <f t="shared" si="63"/>
        <v>0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7.425314034053339</v>
      </c>
      <c r="J119" s="24">
        <f>SUM(J91:J118)</f>
        <v>7.5352968598071701</v>
      </c>
      <c r="K119" s="22">
        <f>SUM(K91:K118)</f>
        <v>19.817922585965089</v>
      </c>
      <c r="L119" s="22">
        <f>SUM(L91:L118)</f>
        <v>7.5427045224572673</v>
      </c>
      <c r="M119" s="57">
        <f t="shared" si="50"/>
        <v>7.5352968598071701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6.4783942886255499</v>
      </c>
      <c r="J128" s="227">
        <f>(J30)</f>
        <v>0.473689794001389</v>
      </c>
      <c r="K128" s="22">
        <f>(B128)</f>
        <v>0.57612499925280203</v>
      </c>
      <c r="L128" s="22">
        <f>IF(L124=L119,0,(L119-L124)/(B119-B124)*K128)</f>
        <v>0.20318761526897641</v>
      </c>
      <c r="M128" s="57">
        <f t="shared" si="90"/>
        <v>0.473689794001389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1.2454089192219291</v>
      </c>
      <c r="K129" s="29">
        <f>(B129)</f>
        <v>11.317048282221727</v>
      </c>
      <c r="L129" s="60">
        <f>IF(SUM(L124:L128)&gt;L130,0,L130-SUM(L124:L128))</f>
        <v>1.5233187606044396</v>
      </c>
      <c r="M129" s="57">
        <f t="shared" si="90"/>
        <v>1.2454089192219291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7.425314034053339</v>
      </c>
      <c r="J130" s="227">
        <f>(J119)</f>
        <v>7.5352968598071701</v>
      </c>
      <c r="K130" s="22">
        <f>(B130)</f>
        <v>19.817922585965089</v>
      </c>
      <c r="L130" s="22">
        <f>(L119)</f>
        <v>7.5427045224572673</v>
      </c>
      <c r="M130" s="57">
        <f t="shared" si="90"/>
        <v>7.5352968598071701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1333.1879184239465</v>
      </c>
      <c r="G72" s="109">
        <f>Poor!T7</f>
        <v>2185.4355579257908</v>
      </c>
      <c r="H72" s="109">
        <f>Middle!T7</f>
        <v>1554.4077929993477</v>
      </c>
      <c r="I72" s="109">
        <f>Rich!T7</f>
        <v>2468.8192737250556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76.799999999999983</v>
      </c>
      <c r="G73" s="109">
        <f>Poor!T8</f>
        <v>62.999999999999986</v>
      </c>
      <c r="H73" s="109">
        <f>Middle!T8</f>
        <v>2028.4765338115856</v>
      </c>
      <c r="I73" s="109">
        <f>Rich!T8</f>
        <v>9624.0432614458878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23.072400011453876</v>
      </c>
      <c r="G74" s="109">
        <f>Poor!T9</f>
        <v>185.69115085572554</v>
      </c>
      <c r="H74" s="109">
        <f>Middle!T9</f>
        <v>582.79336835122604</v>
      </c>
      <c r="I74" s="109">
        <f>Rich!T9</f>
        <v>553.05904298937412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2564.14</v>
      </c>
      <c r="H76" s="109">
        <f>Middle!T11</f>
        <v>15004.469417240325</v>
      </c>
      <c r="I76" s="109">
        <f>Rich!T11</f>
        <v>15944.718599084628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2397.9630963673003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9526.9714285714308</v>
      </c>
      <c r="G78" s="109">
        <f>Poor!T13</f>
        <v>1748.2500000000002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82532.571428571435</v>
      </c>
      <c r="I79" s="109">
        <f>Rich!T14</f>
        <v>83072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6582.8571428571431</v>
      </c>
      <c r="G81" s="109">
        <f>Poor!T16</f>
        <v>2534.3999999999996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22535.75810047569</v>
      </c>
      <c r="G88" s="109">
        <f>Poor!T23</f>
        <v>18484.095271236347</v>
      </c>
      <c r="H88" s="109">
        <f>Middle!T23</f>
        <v>103446.61241237151</v>
      </c>
      <c r="I88" s="109">
        <f>Rich!T23</f>
        <v>133157.66874388754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6898.3333436322064</v>
      </c>
      <c r="G98" s="238">
        <f t="shared" si="0"/>
        <v>10949.996172871546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23393.16001029887</v>
      </c>
      <c r="G99" s="238">
        <f t="shared" si="0"/>
        <v>27444.822839538214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56131.080010298858</v>
      </c>
      <c r="G100" s="238">
        <f t="shared" si="0"/>
        <v>60182.742839538201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2016-06-02T07:49:35Z</dcterms:modified>
  <cp:category/>
</cp:coreProperties>
</file>