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E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<sst xmlns="http://schemas.openxmlformats.org/spreadsheetml/2006/main" count="790" uniqueCount="145">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</sst>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0.0133607409713574</c:v>
                </c:pt>
                <c:pt idx="2" formatCode="0.0%">
                  <c:v>0.0133607409713574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0.0630887671232876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771176"/>
        <c:axId val="-2015776824"/>
      </c:barChart>
      <c:catAx>
        <c:axId val="-201977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77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77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77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0.0685293927857004</c:v>
                </c:pt>
                <c:pt idx="2">
                  <c:v>0.0685293927857004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0.0328941085371362</c:v>
                </c:pt>
                <c:pt idx="2">
                  <c:v>0.0328941085371362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0.0159901916499968</c:v>
                </c:pt>
                <c:pt idx="2">
                  <c:v>0.0159901916499968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0.0927792475963089</c:v>
                </c:pt>
                <c:pt idx="2">
                  <c:v>0.0927792475963089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0.0216816157966058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0.00260179389559269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0.00361360263276763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0.00180680131638382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0.00913725237142673</c:v>
                </c:pt>
                <c:pt idx="2">
                  <c:v>0.00913725237142673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66200"/>
        <c:axId val="-2014663176"/>
      </c:barChart>
      <c:catAx>
        <c:axId val="-201466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6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6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6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0.0514695726135347</c:v>
                </c:pt>
                <c:pt idx="2">
                  <c:v>0.055881751134891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0.0257347863067674</c:v>
                </c:pt>
                <c:pt idx="2">
                  <c:v>0.024264060132982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0.0212311987030831</c:v>
                </c:pt>
                <c:pt idx="2">
                  <c:v>0.0212311987030831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0.0610655946262276</c:v>
                </c:pt>
                <c:pt idx="2">
                  <c:v>0.0610655946262276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0.0146557427102946</c:v>
                </c:pt>
                <c:pt idx="2">
                  <c:v>0.0096303461571567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0.00447814360592336</c:v>
                </c:pt>
                <c:pt idx="2">
                  <c:v>0.00447814360592336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0.00732787135514732</c:v>
                </c:pt>
                <c:pt idx="2">
                  <c:v>0.00481517307857835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0.00508879955218564</c:v>
                </c:pt>
                <c:pt idx="2">
                  <c:v>0.00334387019345719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0.00254439977609282</c:v>
                </c:pt>
                <c:pt idx="2">
                  <c:v>0.00167193509672859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0.0823513161816556</c:v>
                </c:pt>
                <c:pt idx="2">
                  <c:v>0.0823513161816556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46824"/>
        <c:axId val="-2017349960"/>
      </c:barChart>
      <c:catAx>
        <c:axId val="-20173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4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34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4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0.00876095118898623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878584"/>
        <c:axId val="-2013875560"/>
      </c:barChart>
      <c:catAx>
        <c:axId val="-201387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7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87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7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2256.561783729675</c:v>
                </c:pt>
                <c:pt idx="5">
                  <c:v>2670.108013778912</c:v>
                </c:pt>
                <c:pt idx="6">
                  <c:v>5326.945295021025</c:v>
                </c:pt>
                <c:pt idx="7">
                  <c:v>3546.404664637791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7188.999999999998</c:v>
                </c:pt>
                <c:pt idx="7">
                  <c:v>11693.0414178121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627.8927238805971</c:v>
                </c:pt>
                <c:pt idx="5">
                  <c:v>1060.694496268657</c:v>
                </c:pt>
                <c:pt idx="6">
                  <c:v>1031.680970149254</c:v>
                </c:pt>
                <c:pt idx="7">
                  <c:v>1031.680970149254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2122.23</c:v>
                </c:pt>
                <c:pt idx="6">
                  <c:v>9097.799999999999</c:v>
                </c:pt>
                <c:pt idx="7">
                  <c:v>13945.1173605748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708.0</c:v>
                </c:pt>
                <c:pt idx="7">
                  <c:v>11328.0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754568"/>
        <c:axId val="-20137511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54568"/>
        <c:axId val="-2013751192"/>
      </c:lineChart>
      <c:catAx>
        <c:axId val="-201375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51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75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5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635672"/>
        <c:axId val="-2013632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35672"/>
        <c:axId val="-2013632440"/>
      </c:lineChart>
      <c:catAx>
        <c:axId val="-201363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3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63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35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543560"/>
        <c:axId val="-2013540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43560"/>
        <c:axId val="-2013540280"/>
      </c:lineChart>
      <c:catAx>
        <c:axId val="-2013543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4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54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4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0.300485677290384</c:v>
                </c:pt>
                <c:pt idx="2">
                  <c:v>0.253002657822403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-0.71710339593539</c:v>
                </c:pt>
                <c:pt idx="2">
                  <c:v>-0.71710339593539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13976"/>
        <c:axId val="-2014610664"/>
      </c:barChart>
      <c:catAx>
        <c:axId val="-201461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1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1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1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0.0442071721635972</c:v>
                </c:pt>
                <c:pt idx="2">
                  <c:v>0.147262203295635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0.0442071721635972</c:v>
                </c:pt>
                <c:pt idx="2">
                  <c:v>0.147262203295635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-0.248624637026521</c:v>
                </c:pt>
                <c:pt idx="2">
                  <c:v>-0.19311157533502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553480"/>
        <c:axId val="-2014550136"/>
      </c:barChart>
      <c:catAx>
        <c:axId val="-20145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5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55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5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0.0432093124291977</c:v>
                </c:pt>
                <c:pt idx="2">
                  <c:v>0.0959639078520752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0.0432093124291977</c:v>
                </c:pt>
                <c:pt idx="2">
                  <c:v>0.0959639078520752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99448"/>
        <c:axId val="-2014495912"/>
      </c:barChart>
      <c:catAx>
        <c:axId val="-201449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9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9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9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0.315354192740926</c:v>
                </c:pt>
                <c:pt idx="2">
                  <c:v>0.30659324155194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-0.762368925969256</c:v>
                </c:pt>
                <c:pt idx="2">
                  <c:v>-0.762368925969256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39432"/>
        <c:axId val="-2014436120"/>
      </c:barChart>
      <c:catAx>
        <c:axId val="-201443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3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3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3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0.000868963608689636</c:v>
                </c:pt>
                <c:pt idx="2" formatCode="0.0%">
                  <c:v>0.00260689082606891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0.123968696554095</c:v>
                </c:pt>
                <c:pt idx="2" formatCode="0.0%">
                  <c:v>0.412962478728214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433800"/>
        <c:axId val="-2015430520"/>
      </c:barChart>
      <c:catAx>
        <c:axId val="-201543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3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43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3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463944"/>
        <c:axId val="-20134605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63944"/>
        <c:axId val="-20134605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463944"/>
        <c:axId val="-2013460520"/>
      </c:scatterChart>
      <c:catAx>
        <c:axId val="-2013463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60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3460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63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994472"/>
        <c:axId val="-2014997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994472"/>
        <c:axId val="-2014997896"/>
      </c:lineChart>
      <c:catAx>
        <c:axId val="-2014994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97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4997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944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93832"/>
        <c:axId val="-20132904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86872"/>
        <c:axId val="-2013283976"/>
      </c:scatterChart>
      <c:valAx>
        <c:axId val="-20132938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90488"/>
        <c:crosses val="autoZero"/>
        <c:crossBetween val="midCat"/>
      </c:valAx>
      <c:valAx>
        <c:axId val="-2013290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93832"/>
        <c:crosses val="autoZero"/>
        <c:crossBetween val="midCat"/>
      </c:valAx>
      <c:valAx>
        <c:axId val="-20132868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3283976"/>
        <c:crosses val="autoZero"/>
        <c:crossBetween val="midCat"/>
      </c:valAx>
      <c:valAx>
        <c:axId val="-2013283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868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106760"/>
        <c:axId val="-20151124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106760"/>
        <c:axId val="-2015112440"/>
      </c:lineChart>
      <c:catAx>
        <c:axId val="-201510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12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112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067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0.0897721967526359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0.00515205107073725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0.00825031133250311</c:v>
                </c:pt>
                <c:pt idx="2" formatCode="0.0%">
                  <c:v>0.0139083099685671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0.00107928601079286</c:v>
                </c:pt>
                <c:pt idx="2" formatCode="0.0%">
                  <c:v>0.00169609089355036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0.224298212822227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0.215110551598596</c:v>
                </c:pt>
                <c:pt idx="2" formatCode="0.0%">
                  <c:v>0.477740745943178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082792"/>
        <c:axId val="-2016086120"/>
      </c:barChart>
      <c:catAx>
        <c:axId val="-201608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08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08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08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0.0102106475716065</c:v>
                </c:pt>
                <c:pt idx="2" formatCode="0.0%">
                  <c:v>0.0102106475716065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0.0125</c:v>
                </c:pt>
                <c:pt idx="2" formatCode="0.0%">
                  <c:v>0.0125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0.00490980074719801</c:v>
                </c:pt>
                <c:pt idx="2" formatCode="0.0%">
                  <c:v>0.00490980074719801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0.00165006226650062</c:v>
                </c:pt>
                <c:pt idx="2" formatCode="0.0%">
                  <c:v>0.00990037359900373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0.000287809602878096</c:v>
                </c:pt>
                <c:pt idx="2" formatCode="0.0%">
                  <c:v>0.000287809602878096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211304"/>
        <c:axId val="-2016214600"/>
      </c:barChart>
      <c:catAx>
        <c:axId val="-201621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21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0.0534429638854296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0.252355068493151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0.230417450407127</c:v>
                </c:pt>
                <c:pt idx="1">
                  <c:v>-0.0768058168023757</c:v>
                </c:pt>
                <c:pt idx="2">
                  <c:v>-0.0768058168023757</c:v>
                </c:pt>
                <c:pt idx="3">
                  <c:v>-0.0768058168023757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303144"/>
        <c:axId val="-2016306536"/>
      </c:barChart>
      <c:catAx>
        <c:axId val="-201630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6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30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0.00850916264009963</c:v>
                </c:pt>
                <c:pt idx="1">
                  <c:v>0.00850916264009963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0.0408425902864259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0.189266301369863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0.019639202988792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0.0396014943960149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0.00115123841151238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63144"/>
        <c:axId val="-2017066536"/>
      </c:barChart>
      <c:catAx>
        <c:axId val="-201706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6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06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0.00761999107630825</c:v>
                </c:pt>
                <c:pt idx="1">
                  <c:v>0.00171334225702508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0.0185056926138915</c:v>
                </c:pt>
                <c:pt idx="1">
                  <c:v>0.0041609740527752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0.515074116958651</c:v>
                </c:pt>
                <c:pt idx="1">
                  <c:v>0.115813554274225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0.0320679753258003</c:v>
                </c:pt>
                <c:pt idx="1">
                  <c:v>0.00721043065178372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0.00698646741386467</c:v>
                </c:pt>
                <c:pt idx="3">
                  <c:v>0.00344109589041096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0.4914152752093</c:v>
                </c:pt>
                <c:pt idx="2">
                  <c:v>0.603066053766266</c:v>
                </c:pt>
                <c:pt idx="3">
                  <c:v>0.306362500454656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943736"/>
        <c:axId val="-2014940360"/>
      </c:barChart>
      <c:catAx>
        <c:axId val="-2014943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40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94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4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0.359088787010544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0.0138074968695758</c:v>
                </c:pt>
                <c:pt idx="3">
                  <c:v>0.00680070741337317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0.0556332398742685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0.00678436357420144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0.224298212822227</c:v>
                </c:pt>
                <c:pt idx="1">
                  <c:v>0.224298212822227</c:v>
                </c:pt>
                <c:pt idx="2">
                  <c:v>0.224298212822227</c:v>
                </c:pt>
                <c:pt idx="3">
                  <c:v>0.224298212822227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0.140407896760046</c:v>
                </c:pt>
                <c:pt idx="1">
                  <c:v>0.61962396604824</c:v>
                </c:pt>
                <c:pt idx="2">
                  <c:v>0.596583585430325</c:v>
                </c:pt>
                <c:pt idx="3">
                  <c:v>0.5543475355341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36904"/>
        <c:axId val="-2017140296"/>
      </c:barChart>
      <c:catAx>
        <c:axId val="-2017136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40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14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3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0.0368574089639036</c:v>
                </c:pt>
                <c:pt idx="2">
                  <c:v>0.0368574089639036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0.0442288907566843</c:v>
                </c:pt>
                <c:pt idx="2">
                  <c:v>0.0110572226891711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0.000294859271711229</c:v>
                </c:pt>
                <c:pt idx="2">
                  <c:v>0.000294859271711229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0.00477045046682265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0.0063606006224302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0.0031803003112151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862872"/>
        <c:axId val="-2014859848"/>
      </c:barChart>
      <c:catAx>
        <c:axId val="-201486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5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85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6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1.2513474470734746E-2</v>
      </c>
      <c r="J6" s="24">
        <f t="shared" ref="J6:J13" si="3">IF(I$32&lt;=1+I$131,I6,B6*H6+J$33*(I6-B6*H6))</f>
        <v>1.2513474470734746E-2</v>
      </c>
      <c r="K6" s="22">
        <f t="shared" ref="K6:K31" si="4">B6</f>
        <v>6.2567372353673725E-2</v>
      </c>
      <c r="L6" s="22">
        <f t="shared" ref="L6:L29" si="5">IF(K6="","",K6*H6)</f>
        <v>1.2513474470734746E-2</v>
      </c>
      <c r="M6" s="177">
        <f t="shared" ref="M6:M31" si="6">J6</f>
        <v>1.2513474470734746E-2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5.0053897882938986E-2</v>
      </c>
      <c r="Z6" s="156">
        <f>Poor!Z6</f>
        <v>0.17</v>
      </c>
      <c r="AA6" s="121">
        <f>$M6*Z6*4</f>
        <v>8.5091626400996285E-3</v>
      </c>
      <c r="AB6" s="156">
        <f>Poor!AB6</f>
        <v>0.17</v>
      </c>
      <c r="AC6" s="121">
        <f t="shared" ref="AC6:AC29" si="7">$M6*AB6*4</f>
        <v>8.5091626400996285E-3</v>
      </c>
      <c r="AD6" s="156">
        <f>Poor!AD6</f>
        <v>0.33</v>
      </c>
      <c r="AE6" s="121">
        <f t="shared" ref="AE6:AE29" si="8">$M6*AD6*4</f>
        <v>1.6517786301369866E-2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8.5091626400996285E-3</v>
      </c>
      <c r="AK6" s="119">
        <f>(AE6+AG6)/2</f>
        <v>1.6517786301369866E-2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1.0210647571606477E-2</v>
      </c>
      <c r="J7" s="24">
        <f t="shared" si="3"/>
        <v>1.0210647571606477E-2</v>
      </c>
      <c r="K7" s="22">
        <f t="shared" si="4"/>
        <v>5.1053237858032383E-2</v>
      </c>
      <c r="L7" s="22">
        <f t="shared" si="5"/>
        <v>1.0210647571606477E-2</v>
      </c>
      <c r="M7" s="177">
        <f t="shared" si="6"/>
        <v>1.0210647571606477E-2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2028.5965208352047</v>
      </c>
      <c r="T7" s="222">
        <f>IF($B$81=0,0,(SUMIF($N$6:$N$28,$U7,M$6:M$28)+SUMIF($N$91:$N$118,$U7,M$91:M$118))*$I$83*Poor!$B$81/$B$81)</f>
        <v>2256.5617837296745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4.0842590286425909E-2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4.0842590286425909E-2</v>
      </c>
      <c r="AH7" s="123">
        <f t="shared" ref="AH7:AH30" si="12">SUM(Z7,AB7,AD7,AF7)</f>
        <v>1</v>
      </c>
      <c r="AI7" s="183">
        <f t="shared" ref="AI7:AI30" si="13">SUM(AA7,AC7,AE7,AG7)/4</f>
        <v>1.0210647571606477E-2</v>
      </c>
      <c r="AJ7" s="120">
        <f t="shared" ref="AJ7:AJ31" si="14">(AA7+AC7)/2</f>
        <v>0</v>
      </c>
      <c r="AK7" s="119">
        <f t="shared" ref="AK7:AK31" si="15">(AE7+AG7)/2</f>
        <v>2.0421295143212954E-2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4">
        <f t="shared" si="6"/>
        <v>5.6666666666666671E-3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349.99999999999994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1.2500000000000001E-2</v>
      </c>
      <c r="J9" s="24">
        <f t="shared" si="3"/>
        <v>1.2500000000000001E-2</v>
      </c>
      <c r="K9" s="22">
        <f t="shared" si="4"/>
        <v>6.25E-2</v>
      </c>
      <c r="L9" s="22">
        <f t="shared" si="5"/>
        <v>1.2500000000000001E-2</v>
      </c>
      <c r="M9" s="224">
        <f t="shared" si="6"/>
        <v>1.2500000000000001E-2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627.89272388059715</v>
      </c>
      <c r="T9" s="222">
        <f>IF($B$81=0,0,(SUMIF($N$6:$N$28,$U9,M$6:M$28)+SUMIF($N$91:$N$118,$U9,M$91:M$118))*$I$83*Poor!$B$81/$B$81)</f>
        <v>627.89272388059715</v>
      </c>
      <c r="U9" s="223">
        <v>3</v>
      </c>
      <c r="V9" s="56"/>
      <c r="W9" s="115"/>
      <c r="X9" s="118">
        <f>Poor!X9</f>
        <v>1</v>
      </c>
      <c r="Y9" s="183">
        <f t="shared" si="9"/>
        <v>0.05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1.2500000000000001E-2</v>
      </c>
      <c r="AJ9" s="120">
        <f t="shared" si="14"/>
        <v>2.5000000000000001E-2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0.3</v>
      </c>
      <c r="H10" s="24">
        <f t="shared" si="1"/>
        <v>0.3</v>
      </c>
      <c r="I10" s="22">
        <f t="shared" si="2"/>
        <v>4.7316575342465743E-2</v>
      </c>
      <c r="J10" s="24">
        <f t="shared" si="3"/>
        <v>4.7316575342465743E-2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4.7316575342465743E-2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0.18926630136986297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0.18926630136986297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4.7316575342465743E-2</v>
      </c>
      <c r="AJ10" s="120">
        <f t="shared" si="14"/>
        <v>9.4633150684931486E-2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0.2</v>
      </c>
      <c r="H11" s="24">
        <f t="shared" si="1"/>
        <v>0.2</v>
      </c>
      <c r="I11" s="22">
        <f t="shared" si="2"/>
        <v>4.9098007471980072E-3</v>
      </c>
      <c r="J11" s="24">
        <f t="shared" si="3"/>
        <v>4.9098007471980072E-3</v>
      </c>
      <c r="K11" s="22">
        <f t="shared" si="4"/>
        <v>2.4549003735990036E-2</v>
      </c>
      <c r="L11" s="22">
        <f t="shared" si="5"/>
        <v>4.9098007471980072E-3</v>
      </c>
      <c r="M11" s="224">
        <f t="shared" si="6"/>
        <v>4.9098007471980072E-3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1.9639202988792029E-2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1.9639202988792029E-2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4.9098007471980072E-3</v>
      </c>
      <c r="AJ11" s="120">
        <f t="shared" si="14"/>
        <v>9.8196014943960144E-3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4.3448180434481802E-3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0.2</v>
      </c>
      <c r="H13" s="24">
        <f t="shared" si="1"/>
        <v>0.2</v>
      </c>
      <c r="I13" s="22">
        <f t="shared" si="2"/>
        <v>9.9003735990037377E-3</v>
      </c>
      <c r="J13" s="24">
        <f t="shared" si="3"/>
        <v>9.9003735990037377E-3</v>
      </c>
      <c r="K13" s="22">
        <f t="shared" si="4"/>
        <v>8.2503113325031133E-3</v>
      </c>
      <c r="L13" s="22">
        <f t="shared" si="5"/>
        <v>1.6500622665006227E-3</v>
      </c>
      <c r="M13" s="225">
        <f t="shared" si="6"/>
        <v>9.9003735990037377E-3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3.9601494396014951E-2</v>
      </c>
      <c r="Z13" s="156">
        <f>Poor!Z13</f>
        <v>1</v>
      </c>
      <c r="AA13" s="121">
        <f>$M13*Z13*4</f>
        <v>3.9601494396014951E-2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9.9003735990037377E-3</v>
      </c>
      <c r="AJ13" s="120">
        <f t="shared" si="14"/>
        <v>1.9800747198007475E-2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0.2</v>
      </c>
      <c r="F14" s="22"/>
      <c r="H14" s="24">
        <f t="shared" si="1"/>
        <v>0.2</v>
      </c>
      <c r="I14" s="22">
        <f t="shared" si="2"/>
        <v>2.8780960287809606E-4</v>
      </c>
      <c r="J14" s="24">
        <f>IF(I$32&lt;=1+I131,I14,B14*H14+J$33*(I14-B14*H14))</f>
        <v>2.8780960287809606E-4</v>
      </c>
      <c r="K14" s="22">
        <f t="shared" si="4"/>
        <v>1.4390480143904802E-3</v>
      </c>
      <c r="L14" s="22">
        <f t="shared" si="5"/>
        <v>2.8780960287809606E-4</v>
      </c>
      <c r="M14" s="225">
        <f t="shared" si="6"/>
        <v>2.8780960287809606E-4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1.1512384115123842E-3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1.1512384115123842E-3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2.8780960287809606E-4</v>
      </c>
      <c r="AJ14" s="120">
        <f t="shared" si="14"/>
        <v>5.7561920575619212E-4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18909.798021879811</v>
      </c>
      <c r="T23" s="179">
        <f>SUM(T7:T22)</f>
        <v>18787.763284774283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25954.707435288539</v>
      </c>
      <c r="T30" s="234">
        <f t="shared" si="24"/>
        <v>26076.742172394068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0.53869654127145505</v>
      </c>
      <c r="K31" s="22" t="str">
        <f t="shared" si="4"/>
        <v/>
      </c>
      <c r="L31" s="22">
        <f>(1-SUM(L6:L30))</f>
        <v>0.57606638121594289</v>
      </c>
      <c r="M31" s="241">
        <f t="shared" si="6"/>
        <v>0.53869654127145505</v>
      </c>
      <c r="N31" s="167">
        <f>M31*I83</f>
        <v>14884.783579922272</v>
      </c>
      <c r="P31" s="22"/>
      <c r="Q31" s="238" t="s">
        <v>142</v>
      </c>
      <c r="R31" s="234">
        <f t="shared" si="24"/>
        <v>0</v>
      </c>
      <c r="S31" s="234">
        <f t="shared" si="24"/>
        <v>45219.38743528854</v>
      </c>
      <c r="T31" s="234">
        <f>IF(T25&gt;T$23,T25-T$23,0)</f>
        <v>45341.422172394072</v>
      </c>
      <c r="V31" s="56"/>
      <c r="W31" s="129" t="s">
        <v>84</v>
      </c>
      <c r="X31" s="130"/>
      <c r="Y31" s="121">
        <f>M31*4</f>
        <v>2.1547861650858202</v>
      </c>
      <c r="Z31" s="131"/>
      <c r="AA31" s="132">
        <f>1-AA32+IF($Y32&lt;0,$Y32/4,0)</f>
        <v>0.31340526572143435</v>
      </c>
      <c r="AB31" s="131"/>
      <c r="AC31" s="133">
        <f>1-AC32+IF($Y32&lt;0,$Y32/4,0)</f>
        <v>0.63342769273125865</v>
      </c>
      <c r="AD31" s="134"/>
      <c r="AE31" s="133">
        <f>1-AE32+IF($Y32&lt;0,$Y32/4,0)</f>
        <v>0.62365927939239052</v>
      </c>
      <c r="AF31" s="134"/>
      <c r="AG31" s="133">
        <f>1-AG32+IF($Y32&lt;0,$Y32/4,0)</f>
        <v>0.58429392724073692</v>
      </c>
      <c r="AH31" s="123"/>
      <c r="AI31" s="182">
        <f>SUM(AA31,AC31,AE31,AG31)/4</f>
        <v>0.53869654127145505</v>
      </c>
      <c r="AJ31" s="135">
        <f t="shared" si="14"/>
        <v>0.4734164792263465</v>
      </c>
      <c r="AK31" s="136">
        <f t="shared" si="15"/>
        <v>0.60397660331656366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0.46130345872854489</v>
      </c>
      <c r="J32" s="17"/>
      <c r="L32" s="22">
        <f>SUM(L6:L30)</f>
        <v>0.42393361878405711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82049.54743528855</v>
      </c>
      <c r="T32" s="234">
        <f t="shared" si="24"/>
        <v>82171.582172394075</v>
      </c>
      <c r="V32" s="56"/>
      <c r="W32" s="110"/>
      <c r="X32" s="118"/>
      <c r="Y32" s="115">
        <f>SUM(Y6:Y31)</f>
        <v>4</v>
      </c>
      <c r="Z32" s="137"/>
      <c r="AA32" s="138">
        <f>SUM(AA6:AA30)</f>
        <v>0.68659473427856565</v>
      </c>
      <c r="AB32" s="137"/>
      <c r="AC32" s="139">
        <f>SUM(AC6:AC30)</f>
        <v>0.36657230726874135</v>
      </c>
      <c r="AD32" s="137"/>
      <c r="AE32" s="139">
        <f>SUM(AE6:AE30)</f>
        <v>0.37634072060760948</v>
      </c>
      <c r="AF32" s="137"/>
      <c r="AG32" s="139">
        <f>SUM(AG6:AG30)</f>
        <v>0.41570607275926308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20.022962431687581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30456.638592471794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8.7609511889862324E-3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0.70888610763454318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12248.4</v>
      </c>
      <c r="J65" s="39">
        <f>SUM(J37:J64)</f>
        <v>12248.4</v>
      </c>
      <c r="K65" s="40">
        <f>SUM(K37:K64)</f>
        <v>1</v>
      </c>
      <c r="L65" s="22">
        <f>SUM(L37:L64)</f>
        <v>0.31535419274092613</v>
      </c>
      <c r="M65" s="24">
        <f>SUM(M37:M64)</f>
        <v>0.3065932415519399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3062.1</v>
      </c>
      <c r="AB65" s="137"/>
      <c r="AC65" s="153">
        <f>SUM(AC37:AC64)</f>
        <v>3062.1</v>
      </c>
      <c r="AD65" s="137"/>
      <c r="AE65" s="153">
        <f>SUM(AE37:AE64)</f>
        <v>3062.1</v>
      </c>
      <c r="AF65" s="137"/>
      <c r="AG65" s="153">
        <f>SUM(AG37:AG64)</f>
        <v>3062.1</v>
      </c>
      <c r="AH65" s="137"/>
      <c r="AI65" s="153">
        <f>SUM(AI37:AI64)</f>
        <v>12248.4</v>
      </c>
      <c r="AJ65" s="153">
        <f>SUM(AJ37:AJ64)</f>
        <v>6124.2</v>
      </c>
      <c r="AK65" s="153">
        <f>SUM(AK37:AK64)</f>
        <v>6124.2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12248.4</v>
      </c>
      <c r="J70" s="51">
        <f t="shared" ref="J70:J77" si="44">J124*I$83</f>
        <v>12248.4</v>
      </c>
      <c r="K70" s="40">
        <f>B70/B$76</f>
        <v>0.41910170914485601</v>
      </c>
      <c r="L70" s="22">
        <f t="shared" ref="L70:L74" si="45">(L124*G$37*F$9/F$7)/B$130</f>
        <v>0.31535419274092619</v>
      </c>
      <c r="M70" s="24">
        <f>J70/B$76</f>
        <v>0.3065932415519399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3062.1</v>
      </c>
      <c r="AB70" s="156">
        <f>Poor!AB70</f>
        <v>0.25</v>
      </c>
      <c r="AC70" s="147">
        <f>$J70*AB70</f>
        <v>3062.1</v>
      </c>
      <c r="AD70" s="156">
        <f>Poor!AD70</f>
        <v>0.25</v>
      </c>
      <c r="AE70" s="147">
        <f>$J70*AD70</f>
        <v>3062.1</v>
      </c>
      <c r="AF70" s="156">
        <f>Poor!AF70</f>
        <v>0.25</v>
      </c>
      <c r="AG70" s="147">
        <f>$J70*AF70</f>
        <v>3062.1</v>
      </c>
      <c r="AH70" s="155">
        <f>SUM(Z70,AB70,AD70,AF70)</f>
        <v>1</v>
      </c>
      <c r="AI70" s="147">
        <f>SUM(AA70,AC70,AE70,AG70)</f>
        <v>12248.4</v>
      </c>
      <c r="AJ70" s="148">
        <f>(AA70+AC70)</f>
        <v>6124.2</v>
      </c>
      <c r="AK70" s="147">
        <f>(AE70+AG70)</f>
        <v>6124.2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0.40866082603254072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0.21476846057571966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12248.4</v>
      </c>
      <c r="J76" s="51">
        <f t="shared" si="44"/>
        <v>12248.4</v>
      </c>
      <c r="K76" s="40">
        <f>SUM(K70:K75)</f>
        <v>1.9247337491949188</v>
      </c>
      <c r="L76" s="22">
        <f>SUM(L70:L75)</f>
        <v>0.31535419274092619</v>
      </c>
      <c r="M76" s="24">
        <f>SUM(M70:M75)</f>
        <v>0.3065932415519399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3062.1</v>
      </c>
      <c r="AB76" s="137"/>
      <c r="AC76" s="153">
        <f>AC65</f>
        <v>3062.1</v>
      </c>
      <c r="AD76" s="137"/>
      <c r="AE76" s="153">
        <f>AE65</f>
        <v>3062.1</v>
      </c>
      <c r="AF76" s="137"/>
      <c r="AG76" s="153">
        <f>AG65</f>
        <v>3062.1</v>
      </c>
      <c r="AH76" s="137"/>
      <c r="AI76" s="153">
        <f>SUM(AA76,AC76,AE76,AG76)</f>
        <v>12248.4</v>
      </c>
      <c r="AJ76" s="154">
        <f>SUM(AA76,AC76)</f>
        <v>6124.2</v>
      </c>
      <c r="AK76" s="154">
        <f>SUM(AE76,AG76)</f>
        <v>6124.2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30456.638592471794</v>
      </c>
      <c r="J77" s="100">
        <f t="shared" si="44"/>
        <v>30456.638592471794</v>
      </c>
      <c r="K77" s="40"/>
      <c r="L77" s="22">
        <f>-(L131*G$37*F$9/F$7)/B$130</f>
        <v>-0.76236892596925654</v>
      </c>
      <c r="M77" s="24">
        <f>-J77/B$76</f>
        <v>-0.76236892596925643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2164.9338707749625</v>
      </c>
      <c r="AB77" s="112"/>
      <c r="AC77" s="111">
        <f>AC31*$I$83/4</f>
        <v>4375.5776199996053</v>
      </c>
      <c r="AD77" s="112"/>
      <c r="AE77" s="111">
        <f>AE31*$I$83/4</f>
        <v>4308.0995932588467</v>
      </c>
      <c r="AF77" s="112"/>
      <c r="AG77" s="111">
        <f>AG31*$I$83/4</f>
        <v>4036.1724958888599</v>
      </c>
      <c r="AH77" s="110"/>
      <c r="AI77" s="154">
        <f>SUM(AA77,AC77,AE77,AG77)</f>
        <v>14884.783579922274</v>
      </c>
      <c r="AJ77" s="153">
        <f>SUM(AA77,AC77)</f>
        <v>6540.5114907745683</v>
      </c>
      <c r="AK77" s="160">
        <f>SUM(AE77,AG77)</f>
        <v>8344.2720891477074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1.2666881478836644E-2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1.6911372506945106</v>
      </c>
      <c r="L102" s="22">
        <f t="shared" si="57"/>
        <v>0</v>
      </c>
      <c r="M102" s="228">
        <f t="shared" si="49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0.44328294601537938</v>
      </c>
      <c r="J119" s="24">
        <f>SUM(J91:J118)</f>
        <v>0.44328294601537938</v>
      </c>
      <c r="K119" s="22">
        <f>SUM(K91:K118)</f>
        <v>2.3856261710891844</v>
      </c>
      <c r="L119" s="22">
        <f>SUM(L91:L118)</f>
        <v>0.45594982749421603</v>
      </c>
      <c r="M119" s="57">
        <f t="shared" si="49"/>
        <v>0.44328294601537938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0.44328294601537938</v>
      </c>
      <c r="J124" s="237">
        <f>IF(SUMPRODUCT($B$124:$B124,$H$124:$H124)&lt;J$119,($B124*$H124),J$119)</f>
        <v>0.44328294601537938</v>
      </c>
      <c r="K124" s="29">
        <f>(B124)</f>
        <v>0.99982000568417595</v>
      </c>
      <c r="L124" s="29">
        <f>IF(SUMPRODUCT($B$124:$B124,$H$124:$H124)&lt;L$119,($B124*$H124),L$119)</f>
        <v>0.45594982749421603</v>
      </c>
      <c r="M124" s="240">
        <f t="shared" si="66"/>
        <v>0.44328294601537938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0.44328294601537938</v>
      </c>
      <c r="J130" s="228">
        <f>(J119)</f>
        <v>0.44328294601537938</v>
      </c>
      <c r="K130" s="29">
        <f>(B130)</f>
        <v>2.3856261710891844</v>
      </c>
      <c r="L130" s="29">
        <f>(L119)</f>
        <v>0.45594982749421603</v>
      </c>
      <c r="M130" s="240">
        <f t="shared" si="66"/>
        <v>0.44328294601537938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1.1022589465560069</v>
      </c>
      <c r="J131" s="237">
        <f>IF(SUMPRODUCT($B124:$B125,$H124:$H125)&gt;(J119-J128),SUMPRODUCT($B124:$B125,$H124:$H125)+J128-J119,0)</f>
        <v>1.1022589465560069</v>
      </c>
      <c r="K131" s="29"/>
      <c r="L131" s="29">
        <f>IF(I131&lt;SUM(L126:L127),0,I131-(SUM(L126:L127)))</f>
        <v>1.1022589465560069</v>
      </c>
      <c r="M131" s="237">
        <f>IF(I131&lt;SUM(M126:M127),0,I131-(SUM(M126:M127)))</f>
        <v>1.1022589465560069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16">
        <v>0.17</v>
      </c>
      <c r="AA6" s="121">
        <f>$M6*Z6*4</f>
        <v>1.7018325280199257E-2</v>
      </c>
      <c r="AB6" s="116">
        <v>0.17</v>
      </c>
      <c r="AC6" s="121">
        <f t="shared" ref="AC6:AC29" si="7">$M6*AB6*4</f>
        <v>1.7018325280199257E-2</v>
      </c>
      <c r="AD6" s="116"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1.3360740971357411E-2</v>
      </c>
      <c r="J7" s="24">
        <f t="shared" si="3"/>
        <v>1.3360740971357411E-2</v>
      </c>
      <c r="K7" s="22">
        <f t="shared" si="4"/>
        <v>6.680370485678705E-2</v>
      </c>
      <c r="L7" s="22">
        <f t="shared" si="5"/>
        <v>1.3360740971357411E-2</v>
      </c>
      <c r="M7" s="224">
        <f t="shared" si="6"/>
        <v>1.3360740971357411E-2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2032.0513845754035</v>
      </c>
      <c r="T7" s="222">
        <f>IF($B$81=0,0,(SUMIF($N$6:$N$28,$U7,M$6:M$28)+SUMIF($N$91:$N$118,$U7,M$91:M$118))*$I$83*Poor!$B$81/$B$81)</f>
        <v>2670.1080137789122</v>
      </c>
      <c r="U7" s="223">
        <v>1</v>
      </c>
      <c r="V7" s="56"/>
      <c r="W7" s="115"/>
      <c r="X7" s="124">
        <v>4</v>
      </c>
      <c r="Y7" s="183">
        <f t="shared" ref="Y7:Y29" si="9">M7*4</f>
        <v>5.3442963885429642E-2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5.3442963885429642E-2</v>
      </c>
      <c r="AH7" s="123">
        <f t="shared" ref="AH7:AH30" si="12">SUM(Z7,AB7,AD7,AF7)</f>
        <v>1</v>
      </c>
      <c r="AI7" s="183">
        <f t="shared" ref="AI7:AI30" si="13">SUM(AA7,AC7,AE7,AG7)/4</f>
        <v>1.3360740971357411E-2</v>
      </c>
      <c r="AJ7" s="120">
        <f t="shared" ref="AJ7:AJ31" si="14">(AA7+AC7)/2</f>
        <v>0</v>
      </c>
      <c r="AK7" s="119">
        <f t="shared" ref="AK7:AK31" si="15">(AE7+AG7)/2</f>
        <v>2.6721481942714821E-2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629.99999999999989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1060.6944962686568</v>
      </c>
      <c r="T9" s="222">
        <f>IF($B$81=0,0,(SUMIF($N$6:$N$28,$U9,M$6:M$28)+SUMIF($N$91:$N$118,$U9,M$91:M$118))*$I$83*Poor!$B$81/$B$81)</f>
        <v>1060.6944962686568</v>
      </c>
      <c r="U9" s="223">
        <v>3</v>
      </c>
      <c r="V9" s="56"/>
      <c r="W9" s="115"/>
      <c r="X9" s="124"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0.3</v>
      </c>
      <c r="H10" s="24">
        <f t="shared" si="1"/>
        <v>0.3</v>
      </c>
      <c r="I10" s="22">
        <f t="shared" si="2"/>
        <v>6.3088767123287662E-2</v>
      </c>
      <c r="J10" s="24">
        <f t="shared" si="3"/>
        <v>6.3088767123287662E-2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6.3088767123287662E-2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0.25235506849315065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0.25235506849315065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6.3088767123287662E-2</v>
      </c>
      <c r="AJ10" s="120">
        <f t="shared" si="14"/>
        <v>0.12617753424657532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3582.4800000000005</v>
      </c>
      <c r="T11" s="222">
        <f>IF($B$81=0,0,(SUMIF($N$6:$N$28,$U11,M$6:M$28)+SUMIF($N$91:$N$118,$U11,M$91:M$118))*$I$83*Poor!$B$81/$B$81)</f>
        <v>2122.23</v>
      </c>
      <c r="U11" s="223">
        <v>5</v>
      </c>
      <c r="V11" s="56"/>
      <c r="W11" s="115"/>
      <c r="X11" s="124"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4.3448180434481802E-3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16">
        <v>1</v>
      </c>
      <c r="AA13" s="121">
        <f>$M13*Z13*4</f>
        <v>5.2801992528019925E-2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5.7561920575619208E-3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19975.334658008072</v>
      </c>
      <c r="T23" s="179">
        <f>SUM(T7:T22)</f>
        <v>18523.14128721158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24889.170799160278</v>
      </c>
      <c r="T30" s="234">
        <f t="shared" si="50"/>
        <v>26341.364169956771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0.23041745040712719</v>
      </c>
      <c r="AB30" s="122">
        <f>IF($Y30=0,0,AC30/($Y$30))</f>
        <v>0</v>
      </c>
      <c r="AC30" s="187">
        <f>IF(AC79*4/$I$83+SUM(AC6:AC29)&lt;1,AC79*4/$I$83,1-SUM(AC6:AC29))</f>
        <v>-7.6805816802375693E-2</v>
      </c>
      <c r="AD30" s="122">
        <f>IF($Y30=0,0,AE30/($Y$30))</f>
        <v>0</v>
      </c>
      <c r="AE30" s="187">
        <f>IF(AE79*4/$I$83+SUM(AE6:AE29)&lt;1,AE79*4/$I$83,1-SUM(AE6:AE29))</f>
        <v>-7.6805816802375693E-2</v>
      </c>
      <c r="AF30" s="122">
        <f>IF($Y30=0,0,AG30/($Y$30))</f>
        <v>0</v>
      </c>
      <c r="AG30" s="187">
        <f>IF(AG79*4/$I$83+SUM(AG6:AG29)&lt;1,AG79*4/$I$83,1-SUM(AG6:AG29))</f>
        <v>-7.6805816802375693E-2</v>
      </c>
      <c r="AH30" s="123">
        <f t="shared" si="12"/>
        <v>0</v>
      </c>
      <c r="AI30" s="183">
        <f t="shared" si="13"/>
        <v>2.7755575615628914E-17</v>
      </c>
      <c r="AJ30" s="120">
        <f t="shared" si="14"/>
        <v>7.6805816802375748E-2</v>
      </c>
      <c r="AK30" s="119">
        <f t="shared" si="15"/>
        <v>-7.6805816802375693E-2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0.5080662845951025</v>
      </c>
      <c r="K31" s="22" t="str">
        <f t="shared" si="4"/>
        <v/>
      </c>
      <c r="L31" s="22">
        <f>(1-SUM(L6:L30))</f>
        <v>0.56088607195898976</v>
      </c>
      <c r="M31" s="178">
        <f t="shared" si="6"/>
        <v>0.5080662845951025</v>
      </c>
      <c r="N31" s="167">
        <f>M31*I83</f>
        <v>14038.435577484976</v>
      </c>
      <c r="P31" s="22"/>
      <c r="Q31" s="238" t="s">
        <v>142</v>
      </c>
      <c r="R31" s="234">
        <f t="shared" si="50"/>
        <v>0</v>
      </c>
      <c r="S31" s="234">
        <f t="shared" si="50"/>
        <v>44153.850799160282</v>
      </c>
      <c r="T31" s="234">
        <f>IF(T25&gt;T$23,T25-T$23,0)</f>
        <v>45606.044169956775</v>
      </c>
      <c r="V31" s="56"/>
      <c r="W31" s="129" t="s">
        <v>84</v>
      </c>
      <c r="X31" s="130"/>
      <c r="Y31" s="121">
        <f>M31*4</f>
        <v>2.03226513838041</v>
      </c>
      <c r="Z31" s="131"/>
      <c r="AA31" s="132">
        <f>1-AA32+IF($Y32&lt;0,$Y32/4,0)</f>
        <v>1.9216851096789611E-2</v>
      </c>
      <c r="AB31" s="131"/>
      <c r="AC31" s="133">
        <f>1-AC32+IF($Y32&lt;0,$Y32/4,0)</f>
        <v>0.69711939324748506</v>
      </c>
      <c r="AD31" s="134"/>
      <c r="AE31" s="133">
        <f>1-AE32+IF($Y32&lt;0,$Y32/4,0)</f>
        <v>0.68394730989339636</v>
      </c>
      <c r="AF31" s="134"/>
      <c r="AG31" s="133">
        <f>1-AG32+IF($Y32&lt;0,$Y32/4,0)</f>
        <v>0.63198158414273897</v>
      </c>
      <c r="AH31" s="123"/>
      <c r="AI31" s="182">
        <f>SUM(AA31,AC31,AE31,AG31)/4</f>
        <v>0.5080662845951025</v>
      </c>
      <c r="AJ31" s="135">
        <f t="shared" si="14"/>
        <v>0.35816812217213734</v>
      </c>
      <c r="AK31" s="136">
        <f t="shared" si="15"/>
        <v>0.65796444701806767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0.4919337154048975</v>
      </c>
      <c r="J32" s="17"/>
      <c r="L32" s="22">
        <f>SUM(L6:L30)</f>
        <v>0.43911392804101024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80984.010799160285</v>
      </c>
      <c r="T32" s="234">
        <f t="shared" si="50"/>
        <v>82436.204169956778</v>
      </c>
      <c r="V32" s="56"/>
      <c r="W32" s="110"/>
      <c r="X32" s="118"/>
      <c r="Y32" s="115">
        <f>SUM(Y6:Y31)</f>
        <v>4</v>
      </c>
      <c r="Z32" s="137"/>
      <c r="AA32" s="138">
        <f>SUM(AA6:AA30)</f>
        <v>0.98078314890321039</v>
      </c>
      <c r="AB32" s="137"/>
      <c r="AC32" s="139">
        <f>SUM(AC6:AC30)</f>
        <v>0.30288060675251488</v>
      </c>
      <c r="AD32" s="137"/>
      <c r="AE32" s="139">
        <f>SUM(AE6:AE30)</f>
        <v>0.3160526901066037</v>
      </c>
      <c r="AF32" s="137"/>
      <c r="AG32" s="139">
        <f>SUM(AG6:AG30)</f>
        <v>0.36801841585726097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15.050322636732625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31567.608592471792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1622.5</v>
      </c>
      <c r="J37" s="38">
        <f t="shared" ref="J37:J49" si="53">J91*I$83</f>
        <v>1622.5</v>
      </c>
      <c r="K37" s="40">
        <f t="shared" ref="K37:K49" si="54">(B37/B$65)</f>
        <v>6.2470184684582361E-2</v>
      </c>
      <c r="L37" s="22">
        <f t="shared" ref="L37:L49" si="55">(K37*H37)</f>
        <v>3.685740896390359E-2</v>
      </c>
      <c r="M37" s="24">
        <f t="shared" ref="M37:M49" si="56">J37/B$65</f>
        <v>3.685740896390359E-2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1622.5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1622.5</v>
      </c>
      <c r="AJ37" s="148">
        <f>(AA37+AC37)</f>
        <v>1622.5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486.75</v>
      </c>
      <c r="J38" s="38">
        <f t="shared" si="53"/>
        <v>486.75</v>
      </c>
      <c r="K38" s="40">
        <f t="shared" si="54"/>
        <v>7.4964221621498836E-2</v>
      </c>
      <c r="L38" s="22">
        <f t="shared" si="55"/>
        <v>4.4228890756684312E-2</v>
      </c>
      <c r="M38" s="24">
        <f t="shared" si="56"/>
        <v>1.1057222689171078E-2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486.75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486.75</v>
      </c>
      <c r="AJ38" s="148">
        <f t="shared" ref="AJ38:AJ64" si="62">(AA38+AC38)</f>
        <v>486.75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12.98</v>
      </c>
      <c r="K39" s="40">
        <f t="shared" si="54"/>
        <v>2.4988073873832942E-4</v>
      </c>
      <c r="L39" s="22">
        <f t="shared" si="55"/>
        <v>2.9485927171122867E-4</v>
      </c>
      <c r="M39" s="24">
        <f t="shared" si="56"/>
        <v>2.9485927171122873E-4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12.98</v>
      </c>
      <c r="AJ39" s="148">
        <f t="shared" si="62"/>
        <v>12.98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4.7704504668226524E-3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6.360600622430203E-3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3.1803003112151015E-3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0.64332932009722632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11137.429999999998</v>
      </c>
      <c r="J65" s="39">
        <f>SUM(J37:J64)</f>
        <v>11137.43</v>
      </c>
      <c r="K65" s="40">
        <f>SUM(K37:K64)</f>
        <v>1</v>
      </c>
      <c r="L65" s="22">
        <f>SUM(L37:L64)</f>
        <v>0.30048567729038411</v>
      </c>
      <c r="M65" s="24">
        <f>SUM(M37:M64)</f>
        <v>0.25300265782240294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4376.0300000000007</v>
      </c>
      <c r="AB65" s="137"/>
      <c r="AC65" s="153">
        <f>SUM(AC37:AC64)</f>
        <v>2253.8000000000002</v>
      </c>
      <c r="AD65" s="137"/>
      <c r="AE65" s="153">
        <f>SUM(AE37:AE64)</f>
        <v>2253.8000000000002</v>
      </c>
      <c r="AF65" s="137"/>
      <c r="AG65" s="153">
        <f>SUM(AG37:AG64)</f>
        <v>2253.8000000000002</v>
      </c>
      <c r="AH65" s="137"/>
      <c r="AI65" s="153">
        <f>SUM(AI37:AI64)</f>
        <v>11137.43</v>
      </c>
      <c r="AJ65" s="153">
        <f>SUM(AJ37:AJ64)</f>
        <v>6629.83</v>
      </c>
      <c r="AK65" s="153">
        <f>SUM(AK37:AK64)</f>
        <v>4507.6000000000004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11137.43</v>
      </c>
      <c r="J70" s="51">
        <f t="shared" ref="J70:J77" si="75">J124*I$83</f>
        <v>11137.43</v>
      </c>
      <c r="K70" s="40">
        <f>B70/B$76</f>
        <v>0.3803437741154676</v>
      </c>
      <c r="L70" s="22">
        <f t="shared" ref="L70:L75" si="76">(L124*G$37*F$9/F$7)/B$130</f>
        <v>0.30048567729038422</v>
      </c>
      <c r="M70" s="24">
        <f>J70/B$76</f>
        <v>0.25300265782240294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2784.3575000000001</v>
      </c>
      <c r="AB70" s="116">
        <v>0.25</v>
      </c>
      <c r="AC70" s="147">
        <f>$J70*AB70</f>
        <v>2784.3575000000001</v>
      </c>
      <c r="AD70" s="116">
        <v>0.25</v>
      </c>
      <c r="AE70" s="147">
        <f>$J70*AD70</f>
        <v>2784.3575000000001</v>
      </c>
      <c r="AF70" s="122">
        <f>1-SUM(Z70,AB70,AD70)</f>
        <v>0.25</v>
      </c>
      <c r="AG70" s="147">
        <f>$J70*AF70</f>
        <v>2784.3575000000001</v>
      </c>
      <c r="AH70" s="155">
        <f>SUM(Z70,AB70,AD70,AF70)</f>
        <v>1</v>
      </c>
      <c r="AI70" s="147">
        <f>SUM(AA70,AC70,AE70,AG70)</f>
        <v>11137.43</v>
      </c>
      <c r="AJ70" s="148">
        <f>(AA70+AC70)</f>
        <v>5568.7150000000001</v>
      </c>
      <c r="AK70" s="147">
        <f>(AE70+AG70)</f>
        <v>5568.7150000000001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0.3708684491492697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0.19490697621589695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1591.6725000000006</v>
      </c>
      <c r="AB74" s="156"/>
      <c r="AC74" s="147">
        <f>AC30*$I$83/4</f>
        <v>-530.55749999999989</v>
      </c>
      <c r="AD74" s="156"/>
      <c r="AE74" s="147">
        <f>AE30*$I$83/4</f>
        <v>-530.55749999999989</v>
      </c>
      <c r="AF74" s="156"/>
      <c r="AG74" s="147">
        <f>AG30*$I$83/4</f>
        <v>-530.55749999999989</v>
      </c>
      <c r="AH74" s="155"/>
      <c r="AI74" s="147">
        <f>SUM(AA74,AC74,AE74,AG74)</f>
        <v>9.0949470177292824E-13</v>
      </c>
      <c r="AJ74" s="148">
        <f>(AA74+AC74)</f>
        <v>1061.1150000000007</v>
      </c>
      <c r="AK74" s="147">
        <f>(AE74+AG74)</f>
        <v>-1061.1149999999998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11137.43</v>
      </c>
      <c r="J76" s="51">
        <f t="shared" si="75"/>
        <v>11137.43</v>
      </c>
      <c r="K76" s="40">
        <f>SUM(K70:K75)</f>
        <v>1.7796531946193184</v>
      </c>
      <c r="L76" s="22">
        <f>SUM(L70:L75)</f>
        <v>0.30048567729038422</v>
      </c>
      <c r="M76" s="24">
        <f>SUM(M70:M75)</f>
        <v>0.25300265782240294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4376.0300000000007</v>
      </c>
      <c r="AB76" s="137"/>
      <c r="AC76" s="153">
        <f>AC65</f>
        <v>2253.8000000000002</v>
      </c>
      <c r="AD76" s="137"/>
      <c r="AE76" s="153">
        <f>AE65</f>
        <v>2253.8000000000002</v>
      </c>
      <c r="AF76" s="137"/>
      <c r="AG76" s="153">
        <f>AG65</f>
        <v>2253.8000000000002</v>
      </c>
      <c r="AH76" s="137"/>
      <c r="AI76" s="153">
        <f>SUM(AA76,AC76,AE76,AG76)</f>
        <v>11137.43</v>
      </c>
      <c r="AJ76" s="154">
        <f>SUM(AA76,AC76)</f>
        <v>6629.8300000000008</v>
      </c>
      <c r="AK76" s="154">
        <f>SUM(AE76,AG76)</f>
        <v>4507.6000000000004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31567.608592471792</v>
      </c>
      <c r="J77" s="100">
        <f t="shared" si="75"/>
        <v>31567.608592471792</v>
      </c>
      <c r="K77" s="40"/>
      <c r="L77" s="22">
        <f>-(L131*G$37*F$9/F$7)/B$130</f>
        <v>-0.71710339593538974</v>
      </c>
      <c r="M77" s="24">
        <f>-J77/B$76</f>
        <v>-0.71710339593538974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132.74573333447825</v>
      </c>
      <c r="AB77" s="112"/>
      <c r="AC77" s="111">
        <f>AC31*$I$83/4</f>
        <v>4815.5457214207017</v>
      </c>
      <c r="AD77" s="112"/>
      <c r="AE77" s="111">
        <f>AE31*$I$83/4</f>
        <v>4724.5558992289953</v>
      </c>
      <c r="AF77" s="112"/>
      <c r="AG77" s="111">
        <f>AG31*$I$83/4</f>
        <v>4365.5882235008003</v>
      </c>
      <c r="AH77" s="110"/>
      <c r="AI77" s="154">
        <f>SUM(AA77,AC77,AE77,AG77)</f>
        <v>14038.435577484976</v>
      </c>
      <c r="AJ77" s="153">
        <f>SUM(AA77,AC77)</f>
        <v>4948.29145475518</v>
      </c>
      <c r="AK77" s="160">
        <f>SUM(AE77,AG77)</f>
        <v>9090.1441227297946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1591.6725000000006</v>
      </c>
      <c r="AB79" s="112"/>
      <c r="AC79" s="112">
        <f>AA79-AA74+AC65-AC70</f>
        <v>-530.55749999999989</v>
      </c>
      <c r="AD79" s="112"/>
      <c r="AE79" s="112">
        <f>AC79-AC74+AE65-AE70</f>
        <v>-530.55749999999989</v>
      </c>
      <c r="AF79" s="112"/>
      <c r="AG79" s="112">
        <f>AE79-AE74+AG65-AG70</f>
        <v>-530.55749999999989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0.3575757575757576</v>
      </c>
      <c r="I91" s="22">
        <f t="shared" ref="I91" si="82">(D91*H91)</f>
        <v>5.8720043426892743E-2</v>
      </c>
      <c r="J91" s="24">
        <f>IF(I$32&lt;=1+I$131,I91,L91+J$33*(I91-L91))</f>
        <v>5.8720043426892743E-2</v>
      </c>
      <c r="K91" s="22">
        <f t="shared" ref="K91" si="83">IF(B91="",0,B91)</f>
        <v>0.16421707060063223</v>
      </c>
      <c r="L91" s="22">
        <f t="shared" ref="L91" si="84">(K91*H91)</f>
        <v>5.8720043426892743E-2</v>
      </c>
      <c r="M91" s="227">
        <f t="shared" si="80"/>
        <v>5.8720043426892743E-2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0.3575757575757576</v>
      </c>
      <c r="I92" s="22">
        <f t="shared" ref="I92:I118" si="88">(D92*H92)</f>
        <v>1.7616013028067822E-2</v>
      </c>
      <c r="J92" s="24">
        <f t="shared" ref="J92:J118" si="89">IF(I$32&lt;=1+I$131,I92,L92+J$33*(I92-L92))</f>
        <v>1.7616013028067822E-2</v>
      </c>
      <c r="K92" s="22">
        <f t="shared" ref="K92:K118" si="90">IF(B92="",0,B92)</f>
        <v>0.19706048472075866</v>
      </c>
      <c r="L92" s="22">
        <f t="shared" ref="L92:L118" si="91">(K92*H92)</f>
        <v>7.0464052112271289E-2</v>
      </c>
      <c r="M92" s="227">
        <f t="shared" ref="M92:M118" si="92">(J92)</f>
        <v>1.7616013028067822E-2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0.7151515151515152</v>
      </c>
      <c r="I93" s="22">
        <f t="shared" si="88"/>
        <v>4.697603474151419E-4</v>
      </c>
      <c r="J93" s="24">
        <f t="shared" si="89"/>
        <v>4.697603474151419E-4</v>
      </c>
      <c r="K93" s="22">
        <f t="shared" si="90"/>
        <v>6.5686828240252889E-4</v>
      </c>
      <c r="L93" s="22">
        <f t="shared" si="91"/>
        <v>4.697603474151419E-4</v>
      </c>
      <c r="M93" s="227">
        <f t="shared" si="92"/>
        <v>4.697603474151419E-4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7.6001288873019882E-3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1.0133505183069314E-2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5.0667525915346571E-3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0.28606060606060607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1.6911372506945106</v>
      </c>
      <c r="L102" s="22">
        <f t="shared" si="91"/>
        <v>0</v>
      </c>
      <c r="M102" s="227">
        <f t="shared" si="9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0.40307573082525611</v>
      </c>
      <c r="J119" s="24">
        <f>SUM(J91:J118)</f>
        <v>0.40307573082525611</v>
      </c>
      <c r="K119" s="22">
        <f>SUM(K91:K118)</f>
        <v>2.6287271508765202</v>
      </c>
      <c r="L119" s="22">
        <f>SUM(L91:L118)</f>
        <v>0.47872415657136558</v>
      </c>
      <c r="M119" s="57">
        <f t="shared" si="80"/>
        <v>0.40307573082525611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0.40307573082525611</v>
      </c>
      <c r="J124" s="237">
        <f>IF(SUMPRODUCT($B$124:$B124,$H$124:$H124)&lt;J$119,($B124*$H124),J$119)</f>
        <v>0.40307573082525611</v>
      </c>
      <c r="K124" s="29">
        <f>(B124)</f>
        <v>0.99982000568417595</v>
      </c>
      <c r="L124" s="29">
        <f>IF(SUMPRODUCT($B$124:$B124,$H$124:$H124)&lt;L$119,($B124*$H124),L$119)</f>
        <v>0.47872415657136558</v>
      </c>
      <c r="M124" s="240">
        <f t="shared" si="93"/>
        <v>0.40307573082525611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0.40307573082525611</v>
      </c>
      <c r="J130" s="228">
        <f>(J119)</f>
        <v>0.40307573082525611</v>
      </c>
      <c r="K130" s="29">
        <f>(B130)</f>
        <v>2.6287271508765202</v>
      </c>
      <c r="L130" s="29">
        <f>(L119)</f>
        <v>0.47872415657136558</v>
      </c>
      <c r="M130" s="240">
        <f t="shared" si="93"/>
        <v>0.40307573082525611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1.14246616174613</v>
      </c>
      <c r="J131" s="237">
        <f>IF(SUMPRODUCT($B124:$B125,$H124:$H125)&gt;(J119-J128),SUMPRODUCT($B124:$B125,$H124:$H125)+J128-J119,0)</f>
        <v>1.14246616174613</v>
      </c>
      <c r="K131" s="29"/>
      <c r="L131" s="29">
        <f>IF(I131&lt;SUM(L126:L127),0,I131-(SUM(L126:L127)))</f>
        <v>1.14246616174613</v>
      </c>
      <c r="M131" s="237">
        <f>IF(I131&lt;SUM(M126:M127),0,I131-(SUM(M126:M127)))</f>
        <v>1.14246616174613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224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1590.2456055919881</v>
      </c>
      <c r="T7" s="222">
        <f>IF($B$81=0,0,(SUMIF($N$6:$N$28,$U7,M$6:M$28)+SUMIF($N$91:$N$118,$U7,M$91:M$118))*$I$83*Poor!$B$81/$B$81)</f>
        <v>5326.9452950210252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9490.5999999999985</v>
      </c>
      <c r="T8" s="222">
        <f>IF($B$81=0,0,(SUMIF($N$6:$N$28,$U8,M$6:M$28)+SUMIF($N$91:$N$118,$U8,M$91:M$118))*$I$83*Poor!$B$81/$B$81)</f>
        <v>7188.9999999999982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0.81642761531874108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7.619991076308251E-3</v>
      </c>
      <c r="AB8" s="125">
        <f>IF($Y8=0,0,AC8/$Y8)</f>
        <v>0.18357238468125889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1.7133422570250832E-3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0.81642761531874108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1.8505692613891466E-2</v>
      </c>
      <c r="AB9" s="125">
        <f>IF($Y9=0,0,AC9/$Y9)</f>
        <v>0.18357238468125892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4.1609740527752022E-3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0.3</v>
      </c>
      <c r="H10" s="24">
        <f t="shared" si="1"/>
        <v>0.3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0.10514794520547943</v>
      </c>
      <c r="L10" s="22">
        <f t="shared" si="5"/>
        <v>3.1544383561643831E-2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0.81642761531874108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0.51507411695865135</v>
      </c>
      <c r="AB10" s="125">
        <f>IF($Y10=0,0,AC10/$Y10)</f>
        <v>0.18357238468125894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0.11581355427422524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9097.7999999999993</v>
      </c>
      <c r="T11" s="222">
        <f>IF($B$81=0,0,(SUMIF($N$6:$N$28,$U11,M$6:M$28)+SUMIF($N$91:$N$118,$U11,M$91:M$118))*$I$83*Poor!$B$81/$B$81)</f>
        <v>9097.7999999999993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0.81642761531874108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3.2067975325800337E-2</v>
      </c>
      <c r="AB11" s="125">
        <f>IF($Y11=0,0,AC11/$Y11)</f>
        <v>0.18357238468125894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7.2104306517837211E-3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0.2</v>
      </c>
      <c r="H12" s="24">
        <f t="shared" si="1"/>
        <v>0.2</v>
      </c>
      <c r="I12" s="22">
        <f t="shared" si="2"/>
        <v>2.6068908260689083E-3</v>
      </c>
      <c r="J12" s="24">
        <f t="shared" si="3"/>
        <v>2.6068908260689083E-3</v>
      </c>
      <c r="K12" s="22">
        <f t="shared" si="4"/>
        <v>4.3448180434481802E-3</v>
      </c>
      <c r="L12" s="22">
        <f t="shared" si="5"/>
        <v>8.6896360868963607E-4</v>
      </c>
      <c r="M12" s="224">
        <f t="shared" si="6"/>
        <v>2.6068908260689083E-3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1.0427563304275633E-2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6.9864674138646748E-3</v>
      </c>
      <c r="AF12" s="122">
        <f>1-SUM(Z12,AB12,AD12)</f>
        <v>0.32999999999999996</v>
      </c>
      <c r="AG12" s="121">
        <f>$M12*AF12*4</f>
        <v>3.4410958904109584E-3</v>
      </c>
      <c r="AH12" s="123">
        <f t="shared" si="12"/>
        <v>1</v>
      </c>
      <c r="AI12" s="183">
        <f t="shared" si="13"/>
        <v>2.6068908260689083E-3</v>
      </c>
      <c r="AJ12" s="120">
        <f t="shared" si="14"/>
        <v>0</v>
      </c>
      <c r="AK12" s="119">
        <f t="shared" si="15"/>
        <v>5.2137816521378166E-3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56">
        <f>Poor!Z13</f>
        <v>1</v>
      </c>
      <c r="AA13" s="121">
        <f>$M13*Z13*4</f>
        <v>5.2801992528019925E-2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708</v>
      </c>
      <c r="T14" s="222">
        <f>IF($B$81=0,0,(SUMIF($N$6:$N$28,$U14,M$6:M$28)+SUMIF($N$91:$N$118,$U14,M$91:M$118))*$I$83*Poor!$B$81/$B$81)</f>
        <v>708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47730.835352905255</v>
      </c>
      <c r="T23" s="179">
        <f>SUM(T7:T22)</f>
        <v>49165.935042334291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0.56863590371352413</v>
      </c>
      <c r="J30" s="231">
        <f>IF(I$32&lt;=1,I30,1-SUM(J6:J29))</f>
        <v>0.41296247872821445</v>
      </c>
      <c r="K30" s="22">
        <f t="shared" si="4"/>
        <v>0.68973576089663757</v>
      </c>
      <c r="L30" s="22">
        <f>IF(L124=L119,0,IF(K30="",0,(L119-L124)/(B119-B124)*K30))</f>
        <v>0.12396869655409502</v>
      </c>
      <c r="M30" s="175">
        <f t="shared" si="6"/>
        <v>0.41296247872821445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1.6518499149128578</v>
      </c>
      <c r="Z30" s="122">
        <f>IF($Y30=0,0,AA30/($Y$30))</f>
        <v>6.7210889718375263E-17</v>
      </c>
      <c r="AA30" s="187">
        <f>IF(AA79*4/$I$84+SUM(AA6:AA29)&lt;1,AA79*4/$I$84,1-SUM(AA6:AA29))</f>
        <v>1.1102230246251565E-16</v>
      </c>
      <c r="AB30" s="122">
        <f>IF($Y30=0,0,AC30/($Y$30))</f>
        <v>0.29749390109404972</v>
      </c>
      <c r="AC30" s="187">
        <f>IF(AC79*4/$I$84+SUM(AC6:AC29)&lt;1,AC79*4/$I$84,1-SUM(AC6:AC29))</f>
        <v>0.49141527520930017</v>
      </c>
      <c r="AD30" s="122">
        <f>IF($Y30=0,0,AE30/($Y$30))</f>
        <v>0.36508525884936738</v>
      </c>
      <c r="AE30" s="187">
        <f>IF(AE79*4/$I$84+SUM(AE6:AE29)&lt;1,AE79*4/$I$84,1-SUM(AE6:AE29))</f>
        <v>0.60306605376626621</v>
      </c>
      <c r="AF30" s="122">
        <f>IF($Y30=0,0,AG30/($Y$30))</f>
        <v>0.18546630519445084</v>
      </c>
      <c r="AG30" s="187">
        <f>IF(AG79*4/$I$84+SUM(AG6:AG29)&lt;1,AG79*4/$I$84,1-SUM(AG6:AG29))</f>
        <v>0.30636250045465574</v>
      </c>
      <c r="AH30" s="123">
        <f t="shared" si="12"/>
        <v>0.84804546513786805</v>
      </c>
      <c r="AI30" s="183">
        <f t="shared" si="13"/>
        <v>0.35021095735755553</v>
      </c>
      <c r="AJ30" s="120">
        <f t="shared" si="14"/>
        <v>0.24570763760465014</v>
      </c>
      <c r="AK30" s="119">
        <f t="shared" si="15"/>
        <v>0.45471427711046097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0.44584770223483794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16398.350104263096</v>
      </c>
      <c r="T31" s="234">
        <f>IF(T25&gt;T$23,T25-T$23,0)</f>
        <v>14963.250414834059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0.2510060854826357</v>
      </c>
      <c r="AH31" s="123"/>
      <c r="AI31" s="182">
        <f>SUM(AA31,AC31,AE31,AG31)/4</f>
        <v>6.2751521370658925E-2</v>
      </c>
      <c r="AJ31" s="135">
        <f t="shared" si="14"/>
        <v>0</v>
      </c>
      <c r="AK31" s="136">
        <f t="shared" si="15"/>
        <v>0.12550304274131785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1.1556734249853098</v>
      </c>
      <c r="J32" s="17"/>
      <c r="L32" s="22">
        <f>SUM(L6:L30)</f>
        <v>0.55415229776516206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53228.510104263099</v>
      </c>
      <c r="T32" s="234">
        <f t="shared" si="24"/>
        <v>51793.410414834063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0.7489939145173643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1.1507042976589614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14963.250414834063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5309.9999999999991</v>
      </c>
      <c r="K37" s="40">
        <f>(B37/B$65)</f>
        <v>0.11615151319610247</v>
      </c>
      <c r="L37" s="22">
        <f t="shared" ref="L37" si="28">(K37*H37)</f>
        <v>6.8529392785700458E-2</v>
      </c>
      <c r="M37" s="24">
        <f>J37/B$65</f>
        <v>6.8529392785700444E-2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0.52276650558802662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2775.8901446724208</v>
      </c>
      <c r="AD37" s="122">
        <f>IF($J37=0,0,AE37/($J37))</f>
        <v>0.47723349441197338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2534.1098553275783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5309.9999999999991</v>
      </c>
      <c r="AJ37" s="148">
        <f>(AA37+AC37)</f>
        <v>2775.8901446724208</v>
      </c>
      <c r="AK37" s="147">
        <f>(AE37+AG37)</f>
        <v>2534.1098553275783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2548.7999999999997</v>
      </c>
      <c r="J38" s="38">
        <f t="shared" ref="J38:J64" si="32">J92*I$83</f>
        <v>2548.7999999999997</v>
      </c>
      <c r="K38" s="40">
        <f t="shared" ref="K38:K64" si="33">(B38/B$65)</f>
        <v>5.5752726334129185E-2</v>
      </c>
      <c r="L38" s="22">
        <f t="shared" ref="L38:L64" si="34">(K38*H38)</f>
        <v>3.2894108537136216E-2</v>
      </c>
      <c r="M38" s="24">
        <f t="shared" ref="M38:M64" si="35">J38/B$65</f>
        <v>3.2894108537136216E-2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0.52276650558802662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1332.4272694427621</v>
      </c>
      <c r="AD38" s="122">
        <f>IF($J38=0,0,AE38/($J38))</f>
        <v>0.47723349441197338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1216.3727305572377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2548.7999999999997</v>
      </c>
      <c r="AJ38" s="148">
        <f t="shared" ref="AJ38:AJ64" si="38">(AA38+AC38)</f>
        <v>1332.4272694427621</v>
      </c>
      <c r="AK38" s="147">
        <f t="shared" ref="AK38:AK64" si="39">(AE38+AG38)</f>
        <v>1216.3727305572377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1239</v>
      </c>
      <c r="J39" s="38">
        <f t="shared" si="32"/>
        <v>1239</v>
      </c>
      <c r="K39" s="40">
        <f t="shared" si="33"/>
        <v>1.3551009872878621E-2</v>
      </c>
      <c r="L39" s="22">
        <f t="shared" si="34"/>
        <v>1.5990191649996773E-2</v>
      </c>
      <c r="M39" s="24">
        <f t="shared" si="35"/>
        <v>1.5990191649996773E-2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0.81642761531874108</v>
      </c>
      <c r="AA39" s="147">
        <f t="shared" ref="AA39:AA64" si="40">$J39*Z39</f>
        <v>1011.5538153799203</v>
      </c>
      <c r="AB39" s="122">
        <f>AB8</f>
        <v>0.18357238468125889</v>
      </c>
      <c r="AC39" s="147">
        <f t="shared" ref="AC39:AC64" si="41">$J39*AB39</f>
        <v>227.44618462007975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1239</v>
      </c>
      <c r="AJ39" s="148">
        <f t="shared" si="38"/>
        <v>1239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7188.9999999999991</v>
      </c>
      <c r="J40" s="38">
        <f t="shared" si="32"/>
        <v>7188.9999999999982</v>
      </c>
      <c r="K40" s="40">
        <f t="shared" si="33"/>
        <v>0.33135445570110345</v>
      </c>
      <c r="L40" s="22">
        <f t="shared" si="34"/>
        <v>9.2779247596308956E-2</v>
      </c>
      <c r="M40" s="24">
        <f t="shared" si="35"/>
        <v>9.2779247596308942E-2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0.81642761531874108</v>
      </c>
      <c r="AA40" s="147">
        <f t="shared" si="40"/>
        <v>5869.298126526428</v>
      </c>
      <c r="AB40" s="122">
        <f>AB9</f>
        <v>0.18357238468125892</v>
      </c>
      <c r="AC40" s="147">
        <f t="shared" si="41"/>
        <v>1319.70187347357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7188.9999999999982</v>
      </c>
      <c r="AJ40" s="148">
        <f t="shared" si="38"/>
        <v>7188.9999999999982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5.1622894753823319E-2</v>
      </c>
      <c r="L41" s="22">
        <f t="shared" si="34"/>
        <v>2.1681615796605793E-2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0.81642761531874108</v>
      </c>
      <c r="AA41" s="147">
        <f t="shared" si="40"/>
        <v>0</v>
      </c>
      <c r="AB41" s="122">
        <f>AB11</f>
        <v>0.18357238468125894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9.2921210556881975E-3</v>
      </c>
      <c r="L43" s="22">
        <f t="shared" si="34"/>
        <v>2.6017938955926949E-3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1.290572368845583E-2</v>
      </c>
      <c r="L44" s="22">
        <f t="shared" si="34"/>
        <v>3.6136026327676317E-3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6.4528618442279148E-3</v>
      </c>
      <c r="L45" s="22">
        <f t="shared" si="34"/>
        <v>1.8068013163838159E-3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708</v>
      </c>
      <c r="J46" s="38">
        <f t="shared" si="32"/>
        <v>708</v>
      </c>
      <c r="K46" s="40">
        <f t="shared" si="33"/>
        <v>1.9358585532683745E-2</v>
      </c>
      <c r="L46" s="22">
        <f t="shared" si="34"/>
        <v>9.1372523714267281E-3</v>
      </c>
      <c r="M46" s="24">
        <f t="shared" si="35"/>
        <v>9.1372523714267281E-3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177</v>
      </c>
      <c r="AB46" s="156">
        <f>Poor!AB46</f>
        <v>0.25</v>
      </c>
      <c r="AC46" s="147">
        <f t="shared" si="41"/>
        <v>177</v>
      </c>
      <c r="AD46" s="156">
        <f>Poor!AD46</f>
        <v>0.25</v>
      </c>
      <c r="AE46" s="147">
        <f t="shared" si="42"/>
        <v>177</v>
      </c>
      <c r="AF46" s="122">
        <f t="shared" si="29"/>
        <v>0.25</v>
      </c>
      <c r="AG46" s="147">
        <f t="shared" si="36"/>
        <v>177</v>
      </c>
      <c r="AH46" s="123">
        <f t="shared" si="37"/>
        <v>1</v>
      </c>
      <c r="AI46" s="112">
        <f t="shared" si="37"/>
        <v>708</v>
      </c>
      <c r="AJ46" s="148">
        <f t="shared" si="38"/>
        <v>354</v>
      </c>
      <c r="AK46" s="147">
        <f t="shared" si="39"/>
        <v>354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0.10995676582564368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39152.399999999994</v>
      </c>
      <c r="J65" s="39">
        <f>SUM(J37:J64)</f>
        <v>39152.399999999994</v>
      </c>
      <c r="K65" s="40">
        <f>SUM(K37:K64)</f>
        <v>1</v>
      </c>
      <c r="L65" s="22">
        <f>SUM(L37:L64)</f>
        <v>0.53499386978124797</v>
      </c>
      <c r="M65" s="24">
        <f>SUM(M37:M64)</f>
        <v>0.50529005613989808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12597.251941906348</v>
      </c>
      <c r="AB65" s="137"/>
      <c r="AC65" s="153">
        <f>SUM(AC37:AC64)</f>
        <v>11371.865472208832</v>
      </c>
      <c r="AD65" s="137"/>
      <c r="AE65" s="153">
        <f>SUM(AE37:AE64)</f>
        <v>9466.8825858848159</v>
      </c>
      <c r="AF65" s="137"/>
      <c r="AG65" s="153">
        <f>SUM(AG37:AG64)</f>
        <v>5716.4</v>
      </c>
      <c r="AH65" s="137"/>
      <c r="AI65" s="153">
        <f>SUM(AI37:AI64)</f>
        <v>39152.399999999994</v>
      </c>
      <c r="AJ65" s="153">
        <f>SUM(AJ37:AJ64)</f>
        <v>23969.117414115182</v>
      </c>
      <c r="AK65" s="153">
        <f>SUM(AK37:AK64)</f>
        <v>15183.282585884815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15712.041407528201</v>
      </c>
      <c r="J71" s="51">
        <f t="shared" si="44"/>
        <v>15712.041407528201</v>
      </c>
      <c r="K71" s="40">
        <f t="shared" ref="K71:K72" si="47">B71/B$76</f>
        <v>0.21069884493772992</v>
      </c>
      <c r="L71" s="22">
        <f t="shared" si="45"/>
        <v>0.23247907862848552</v>
      </c>
      <c r="M71" s="24">
        <f t="shared" ref="M71:M72" si="48">J71/B$76</f>
        <v>0.20277526498713558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0.40281344776408334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15712.041407528201</v>
      </c>
      <c r="J74" s="51">
        <f t="shared" si="44"/>
        <v>11410.611822362265</v>
      </c>
      <c r="K74" s="40">
        <f>B74/B$76</f>
        <v>0.14906630941568857</v>
      </c>
      <c r="L74" s="22">
        <f t="shared" si="45"/>
        <v>4.420717216359716E-2</v>
      </c>
      <c r="M74" s="24">
        <f>J74/B$76</f>
        <v>0.14726220329563483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5511.7758240908834</v>
      </c>
      <c r="AD74" s="156"/>
      <c r="AE74" s="147">
        <f>AE30*$I$84/4</f>
        <v>6764.065065057408</v>
      </c>
      <c r="AF74" s="156"/>
      <c r="AG74" s="147">
        <f>AG30*$I$84/4</f>
        <v>3436.200518379911</v>
      </c>
      <c r="AH74" s="155"/>
      <c r="AI74" s="147">
        <f>SUM(AA74,AC74,AE74,AG74)</f>
        <v>15712.041407528202</v>
      </c>
      <c r="AJ74" s="148">
        <f>(AA74+AC74)</f>
        <v>5511.7758240908843</v>
      </c>
      <c r="AK74" s="147">
        <f>(AE74+AG74)</f>
        <v>10200.265583437318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6737.1622937883985</v>
      </c>
      <c r="AB75" s="158"/>
      <c r="AC75" s="149">
        <f>AA75+AC65-SUM(AC70,AC74)</f>
        <v>6737.1622937883985</v>
      </c>
      <c r="AD75" s="158"/>
      <c r="AE75" s="149">
        <f>AC75+AE65-SUM(AE70,AE74)</f>
        <v>3579.8901664978566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6737.1622937883949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39152.399999999994</v>
      </c>
      <c r="J76" s="51">
        <f t="shared" si="44"/>
        <v>39152.399999999994</v>
      </c>
      <c r="K76" s="40">
        <f>SUM(K70:K75)</f>
        <v>1.0531008100330597</v>
      </c>
      <c r="L76" s="22">
        <f>SUM(L70:L75)</f>
        <v>0.57920104194484501</v>
      </c>
      <c r="M76" s="24">
        <f>SUM(M70:M75)</f>
        <v>0.65255225943553286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12597.251941906348</v>
      </c>
      <c r="AB76" s="137"/>
      <c r="AC76" s="153">
        <f>AC65</f>
        <v>11371.865472208832</v>
      </c>
      <c r="AD76" s="137"/>
      <c r="AE76" s="153">
        <f>AE65</f>
        <v>9466.8825858848159</v>
      </c>
      <c r="AF76" s="137"/>
      <c r="AG76" s="153">
        <f>AG65</f>
        <v>5716.4</v>
      </c>
      <c r="AH76" s="137"/>
      <c r="AI76" s="153">
        <f>SUM(AA76,AC76,AE76,AG76)</f>
        <v>39152.399999999994</v>
      </c>
      <c r="AJ76" s="154">
        <f>SUM(AA76,AC76)</f>
        <v>23969.117414115179</v>
      </c>
      <c r="AK76" s="154">
        <f>SUM(AE76,AG76)</f>
        <v>15183.282585884815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14963.250414834063</v>
      </c>
      <c r="K77" s="40"/>
      <c r="L77" s="22">
        <f>-(L131*G$37*F$9/F$7)/B$130</f>
        <v>-0.24862463702652118</v>
      </c>
      <c r="M77" s="24">
        <f>-J77/B$76</f>
        <v>-0.19311157533502049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2815.3159729795439</v>
      </c>
      <c r="AH77" s="110"/>
      <c r="AI77" s="154">
        <f>SUM(AA77,AC77,AE77,AG77)</f>
        <v>2815.3159729795439</v>
      </c>
      <c r="AJ77" s="153">
        <f>SUM(AA77,AC77)</f>
        <v>0</v>
      </c>
      <c r="AK77" s="160">
        <f>SUM(AE77,AG77)</f>
        <v>2815.3159729795439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6737.1622937883985</v>
      </c>
      <c r="AD78" s="112"/>
      <c r="AE78" s="112">
        <f>AC75</f>
        <v>6737.1622937883985</v>
      </c>
      <c r="AF78" s="112"/>
      <c r="AG78" s="112">
        <f>AE75</f>
        <v>3579.8901664978566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6737.1622937883994</v>
      </c>
      <c r="AB79" s="112"/>
      <c r="AC79" s="112">
        <f>AA79-AA74+AC65-AC70</f>
        <v>12248.938117879283</v>
      </c>
      <c r="AD79" s="112"/>
      <c r="AE79" s="112">
        <f>AC79-AC74+AE65-AE70</f>
        <v>10343.955231555268</v>
      </c>
      <c r="AF79" s="112"/>
      <c r="AG79" s="112">
        <f>AE79-AE74+AG65-AG70</f>
        <v>3436.200518379911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0.3575757575757576</v>
      </c>
      <c r="I91" s="22">
        <f t="shared" ref="I91" si="52">(D91*H91)</f>
        <v>0.19217468757892167</v>
      </c>
      <c r="J91" s="24">
        <f>IF(I$32&lt;=1+I$131,I91,L91+J$33*(I91-L91))</f>
        <v>0.19217468757892167</v>
      </c>
      <c r="K91" s="22">
        <f t="shared" ref="K91" si="53">(B91)</f>
        <v>0.53743768560206906</v>
      </c>
      <c r="L91" s="22">
        <f t="shared" ref="L91" si="54">(K91*H91)</f>
        <v>0.19217468757892167</v>
      </c>
      <c r="M91" s="227">
        <f t="shared" si="49"/>
        <v>0.19217468757892167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0.3575757575757576</v>
      </c>
      <c r="I92" s="22">
        <f t="shared" ref="I92:I118" si="58">(D92*H92)</f>
        <v>9.2243850037882408E-2</v>
      </c>
      <c r="J92" s="24">
        <f t="shared" ref="J92:J118" si="59">IF(I$32&lt;=1+I$131,I92,L92+J$33*(I92-L92))</f>
        <v>9.2243850037882408E-2</v>
      </c>
      <c r="K92" s="22">
        <f t="shared" ref="K92:K118" si="60">(B92)</f>
        <v>0.25797008908899316</v>
      </c>
      <c r="L92" s="22">
        <f t="shared" ref="L92:L118" si="61">(K92*H92)</f>
        <v>9.2243850037882408E-2</v>
      </c>
      <c r="M92" s="227">
        <f t="shared" ref="M92:M118" si="62">(J92)</f>
        <v>9.2243850037882408E-2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0.7151515151515152</v>
      </c>
      <c r="I93" s="22">
        <f t="shared" si="58"/>
        <v>4.4840760435081728E-2</v>
      </c>
      <c r="J93" s="24">
        <f t="shared" si="59"/>
        <v>4.4840760435081728E-2</v>
      </c>
      <c r="K93" s="22">
        <f t="shared" si="60"/>
        <v>6.270106332024139E-2</v>
      </c>
      <c r="L93" s="22">
        <f t="shared" si="61"/>
        <v>4.4840760435081728E-2</v>
      </c>
      <c r="M93" s="227">
        <f t="shared" si="62"/>
        <v>4.4840760435081728E-2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0.16969696969696968</v>
      </c>
      <c r="I94" s="22">
        <f t="shared" si="58"/>
        <v>0.26017774557530465</v>
      </c>
      <c r="J94" s="24">
        <f t="shared" si="59"/>
        <v>0.26017774557530465</v>
      </c>
      <c r="K94" s="22">
        <f t="shared" si="60"/>
        <v>1.5331902864259026</v>
      </c>
      <c r="L94" s="22">
        <f t="shared" si="61"/>
        <v>0.26017774557530465</v>
      </c>
      <c r="M94" s="227">
        <f t="shared" si="62"/>
        <v>0.26017774557530465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0.23886119360091959</v>
      </c>
      <c r="L95" s="22">
        <f t="shared" si="61"/>
        <v>6.0801031098415906E-2</v>
      </c>
      <c r="M95" s="227">
        <f t="shared" si="6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4.2995014848165529E-2</v>
      </c>
      <c r="L97" s="22">
        <f t="shared" si="61"/>
        <v>7.2961237318099068E-3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5.9715298400229898E-2</v>
      </c>
      <c r="L98" s="22">
        <f t="shared" si="61"/>
        <v>1.0133505183069314E-2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2.9857649200114949E-2</v>
      </c>
      <c r="L99" s="22">
        <f t="shared" si="61"/>
        <v>5.0667525915346571E-3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0.28606060606060607</v>
      </c>
      <c r="I100" s="22">
        <f t="shared" si="58"/>
        <v>2.5623291677189557E-2</v>
      </c>
      <c r="J100" s="24">
        <f t="shared" si="59"/>
        <v>2.5623291677189557E-2</v>
      </c>
      <c r="K100" s="22">
        <f t="shared" si="60"/>
        <v>8.9572947600344843E-2</v>
      </c>
      <c r="L100" s="22">
        <f t="shared" si="61"/>
        <v>2.5623291677189557E-2</v>
      </c>
      <c r="M100" s="227">
        <f t="shared" si="62"/>
        <v>2.5623291677189557E-2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0.50877434236995878</v>
      </c>
      <c r="L102" s="22">
        <f t="shared" si="61"/>
        <v>0</v>
      </c>
      <c r="M102" s="227">
        <f t="shared" si="6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1.4169680297485825</v>
      </c>
      <c r="J119" s="24">
        <f>SUM(J91:J118)</f>
        <v>1.4169680297485825</v>
      </c>
      <c r="K119" s="22">
        <f>SUM(K91:K118)</f>
        <v>4.627039896541814</v>
      </c>
      <c r="L119" s="22">
        <f>SUM(L91:L118)</f>
        <v>1.5002654423534123</v>
      </c>
      <c r="M119" s="57">
        <f t="shared" si="49"/>
        <v>1.4169680297485825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0.56863590371352413</v>
      </c>
      <c r="J125" s="237">
        <f>IF(SUMPRODUCT($B$124:$B125,$H$124:$H125)&lt;J$119,($B125*$H125),IF(SUMPRODUCT($B$124:$B124,$H$124:$H124)&lt;J$119,J$119-SUMPRODUCT($B$124:$B124,$H$124:$H124),0))</f>
        <v>0.56863590371352413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0.65193331631835394</v>
      </c>
      <c r="M125" s="57">
        <f t="shared" ref="M125:M126" si="65">(J125)</f>
        <v>0.56863590371352413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0.56863590371352413</v>
      </c>
      <c r="J128" s="228">
        <f>(J30)</f>
        <v>0.41296247872821445</v>
      </c>
      <c r="K128" s="22">
        <f>(B128)</f>
        <v>0.68973576089663757</v>
      </c>
      <c r="L128" s="22">
        <f>IF(L124=L119,0,(L119-L124)/(B119-B124)*K128)</f>
        <v>0.12396869655409502</v>
      </c>
      <c r="M128" s="57">
        <f t="shared" si="63"/>
        <v>0.41296247872821445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1.4169680297485825</v>
      </c>
      <c r="J130" s="228">
        <f>(J119)</f>
        <v>1.4169680297485825</v>
      </c>
      <c r="K130" s="22">
        <f>(B130)</f>
        <v>4.627039896541814</v>
      </c>
      <c r="L130" s="22">
        <f>(L119)</f>
        <v>1.5002654423534123</v>
      </c>
      <c r="M130" s="57">
        <f t="shared" si="63"/>
        <v>1.4169680297485825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0.54153634155101815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177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177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1856.1161945004123</v>
      </c>
      <c r="T7" s="222">
        <f>IF($B$81=0,0,(SUMIF($N$6:$N$28,$U7,M$6:M$28)+SUMIF($N$91:$N$118,$U7,M$91:M$118))*$I$83*Poor!$B$81/$B$81)</f>
        <v>3546.4046646377906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13089.999999999998</v>
      </c>
      <c r="T8" s="222">
        <f>IF($B$81=0,0,(SUMIF($N$6:$N$28,$U8,M$6:M$28)+SUMIF($N$91:$N$118,$U8,M$91:M$118))*$I$83*Poor!$B$81/$B$81)</f>
        <v>11693.041417812092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0.3</v>
      </c>
      <c r="H10" s="24">
        <f t="shared" si="1"/>
        <v>0.3</v>
      </c>
      <c r="I10" s="22">
        <f t="shared" si="2"/>
        <v>0.18926630136986297</v>
      </c>
      <c r="J10" s="24">
        <f t="shared" si="3"/>
        <v>8.9772196752635897E-2</v>
      </c>
      <c r="K10" s="22">
        <f t="shared" si="4"/>
        <v>0.12617753424657532</v>
      </c>
      <c r="L10" s="22">
        <f t="shared" si="5"/>
        <v>3.7853260273972594E-2</v>
      </c>
      <c r="M10" s="224">
        <f t="shared" si="6"/>
        <v>8.9772196752635897E-2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0.35908878701054359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0.35908878701054359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8.9772196752635897E-2</v>
      </c>
      <c r="AJ10" s="120">
        <f t="shared" si="14"/>
        <v>0.17954439350527179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13540.5</v>
      </c>
      <c r="T11" s="222">
        <f>IF($B$81=0,0,(SUMIF($N$6:$N$28,$U11,M$6:M$28)+SUMIF($N$91:$N$118,$U11,M$91:M$118))*$I$83*Poor!$B$81/$B$81)</f>
        <v>13945.117360574799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0.2</v>
      </c>
      <c r="H12" s="24">
        <f t="shared" si="1"/>
        <v>0.2</v>
      </c>
      <c r="I12" s="22">
        <f t="shared" si="2"/>
        <v>1.086204510862045E-2</v>
      </c>
      <c r="J12" s="24">
        <f t="shared" si="3"/>
        <v>5.1520510707372489E-3</v>
      </c>
      <c r="K12" s="22">
        <f t="shared" si="4"/>
        <v>1.086204510862045E-2</v>
      </c>
      <c r="L12" s="22">
        <f t="shared" si="5"/>
        <v>2.1724090217240901E-3</v>
      </c>
      <c r="M12" s="224">
        <f t="shared" si="6"/>
        <v>5.1520510707372489E-3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2.0608204282948996E-2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1.3807496869575829E-2</v>
      </c>
      <c r="AF12" s="122">
        <f>1-SUM(Z12,AB12,AD12)</f>
        <v>0.32999999999999996</v>
      </c>
      <c r="AG12" s="121">
        <f>$M12*AF12*4</f>
        <v>6.8007074133731677E-3</v>
      </c>
      <c r="AH12" s="123">
        <f t="shared" si="12"/>
        <v>1</v>
      </c>
      <c r="AI12" s="183">
        <f t="shared" si="13"/>
        <v>5.1520510707372489E-3</v>
      </c>
      <c r="AJ12" s="120">
        <f t="shared" si="14"/>
        <v>0</v>
      </c>
      <c r="AK12" s="119">
        <f t="shared" si="15"/>
        <v>1.0304102141474498E-2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0.2</v>
      </c>
      <c r="H13" s="24">
        <f t="shared" si="1"/>
        <v>0.2</v>
      </c>
      <c r="I13" s="22">
        <f t="shared" si="2"/>
        <v>2.4750933997509342E-2</v>
      </c>
      <c r="J13" s="24">
        <f t="shared" si="3"/>
        <v>1.3908309968567116E-2</v>
      </c>
      <c r="K13" s="22">
        <f t="shared" si="4"/>
        <v>4.1251556662515572E-2</v>
      </c>
      <c r="L13" s="22">
        <f t="shared" si="5"/>
        <v>8.2503113325031151E-3</v>
      </c>
      <c r="M13" s="225">
        <f t="shared" si="6"/>
        <v>1.3908309968567116E-2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5.5633239874268464E-2</v>
      </c>
      <c r="Z13" s="156">
        <f>Poor!Z13</f>
        <v>1</v>
      </c>
      <c r="AA13" s="121">
        <f>$M13*Z13*4</f>
        <v>5.5633239874268464E-2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1.3908309968567116E-2</v>
      </c>
      <c r="AJ13" s="120">
        <f t="shared" si="14"/>
        <v>2.7816619937134232E-2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2.8780960287809599E-3</v>
      </c>
      <c r="J14" s="24">
        <f>IF(I$32&lt;=1+I131,I14,B14*H14+J$33*(I14-B14*H14))</f>
        <v>1.696090893550361E-3</v>
      </c>
      <c r="K14" s="22">
        <f t="shared" si="4"/>
        <v>5.3964300539642998E-3</v>
      </c>
      <c r="L14" s="22">
        <f t="shared" si="5"/>
        <v>1.0792860107928599E-3</v>
      </c>
      <c r="M14" s="225">
        <f t="shared" si="6"/>
        <v>1.696090893550361E-3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11328</v>
      </c>
      <c r="T14" s="222">
        <f>IF($B$81=0,0,(SUMIF($N$6:$N$28,$U14,M$6:M$28)+SUMIF($N$91:$N$118,$U14,M$91:M$118))*$I$83*Poor!$B$81/$B$81)</f>
        <v>11328</v>
      </c>
      <c r="U14" s="223">
        <v>8</v>
      </c>
      <c r="V14" s="56"/>
      <c r="W14" s="110"/>
      <c r="X14" s="118"/>
      <c r="Y14" s="183">
        <f>M14*4</f>
        <v>6.7843635742014441E-3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6.7843635742014441E-3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1.696090893550361E-3</v>
      </c>
      <c r="AJ14" s="120">
        <f t="shared" si="14"/>
        <v>3.392181787100722E-3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84816.213941813679</v>
      </c>
      <c r="T23" s="179">
        <f>SUM(T7:T22)</f>
        <v>85514.161190337938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0.22429821282222664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0.22429821282222664</v>
      </c>
      <c r="N29" s="229"/>
      <c r="P29" s="22"/>
      <c r="V29" s="56"/>
      <c r="W29" s="110"/>
      <c r="X29" s="118"/>
      <c r="Y29" s="183">
        <f t="shared" si="9"/>
        <v>0.89719285128890658</v>
      </c>
      <c r="Z29" s="156">
        <f>Poor!Z29</f>
        <v>0.25</v>
      </c>
      <c r="AA29" s="121">
        <f t="shared" si="16"/>
        <v>0.22429821282222664</v>
      </c>
      <c r="AB29" s="156">
        <f>Poor!AB29</f>
        <v>0.25</v>
      </c>
      <c r="AC29" s="121">
        <f t="shared" si="7"/>
        <v>0.22429821282222664</v>
      </c>
      <c r="AD29" s="156">
        <f>Poor!AD29</f>
        <v>0.25</v>
      </c>
      <c r="AE29" s="121">
        <f t="shared" si="8"/>
        <v>0.22429821282222664</v>
      </c>
      <c r="AF29" s="122">
        <f t="shared" si="10"/>
        <v>0.25</v>
      </c>
      <c r="AG29" s="121">
        <f t="shared" si="11"/>
        <v>0.22429821282222664</v>
      </c>
      <c r="AH29" s="123">
        <f t="shared" si="12"/>
        <v>1</v>
      </c>
      <c r="AI29" s="183">
        <f t="shared" si="13"/>
        <v>0.22429821282222664</v>
      </c>
      <c r="AJ29" s="120">
        <f t="shared" si="14"/>
        <v>0.22429821282222664</v>
      </c>
      <c r="AK29" s="119">
        <f t="shared" si="15"/>
        <v>0.22429821282222664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1.8797344275907091</v>
      </c>
      <c r="J30" s="231">
        <f>IF(I$32&lt;=1,I30,1-SUM(J6:J29))</f>
        <v>0.47774074594317784</v>
      </c>
      <c r="K30" s="22">
        <f t="shared" si="4"/>
        <v>0.78202263511830628</v>
      </c>
      <c r="L30" s="22">
        <f>IF(L124=L119,0,IF(K30="",0,(L119-L124)/(B119-B124)*K30))</f>
        <v>0.21511055159859577</v>
      </c>
      <c r="M30" s="175">
        <f t="shared" si="6"/>
        <v>0.47774074594317784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1.9109629837727113</v>
      </c>
      <c r="Z30" s="122">
        <f>IF($Y30=0,0,AA30/($Y$30))</f>
        <v>7.3474943236653309E-2</v>
      </c>
      <c r="AA30" s="187">
        <f>IF(AA79*4/$I$83+SUM(AA6:AA29)&lt;1,AA79*4/$I$83,1-SUM(AA6:AA29))</f>
        <v>0.14040789676004561</v>
      </c>
      <c r="AB30" s="122">
        <f>IF($Y30=0,0,AC30/($Y$30))</f>
        <v>0.3242469745933802</v>
      </c>
      <c r="AC30" s="187">
        <f>IF(AC79*4/$I$83+SUM(AC6:AC29)&lt;1,AC79*4/$I$83,1-SUM(AC6:AC29))</f>
        <v>0.61962396604824033</v>
      </c>
      <c r="AD30" s="122">
        <f>IF($Y30=0,0,AE30/($Y$30))</f>
        <v>0.31219002696353787</v>
      </c>
      <c r="AE30" s="187">
        <f>IF(AE79*4/$I$83+SUM(AE6:AE29)&lt;1,AE79*4/$I$83,1-SUM(AE6:AE29))</f>
        <v>0.59658358543032552</v>
      </c>
      <c r="AF30" s="122">
        <f>IF($Y30=0,0,AG30/($Y$30))</f>
        <v>0.29008805520642855</v>
      </c>
      <c r="AG30" s="187">
        <f>IF(AG79*4/$I$83+SUM(AG6:AG29)&lt;1,AG79*4/$I$83,1-SUM(AG6:AG29))</f>
        <v>0.55434753553409977</v>
      </c>
      <c r="AH30" s="123">
        <f t="shared" si="12"/>
        <v>0.99999999999999989</v>
      </c>
      <c r="AI30" s="183">
        <f t="shared" si="13"/>
        <v>0.47774074594317784</v>
      </c>
      <c r="AJ30" s="120">
        <f t="shared" si="14"/>
        <v>0.38001593140414297</v>
      </c>
      <c r="AK30" s="119">
        <f t="shared" si="15"/>
        <v>0.57546556048221265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0.32398024749475129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2.5195609705865847</v>
      </c>
      <c r="J32" s="17"/>
      <c r="L32" s="22">
        <f>SUM(L6:L30)</f>
        <v>0.67601975250524871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16143.131515354675</v>
      </c>
      <c r="T32" s="234">
        <f t="shared" si="24"/>
        <v>15445.184266830416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0.34289606828372776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8850</v>
      </c>
      <c r="J37" s="38">
        <f>J91*I$83</f>
        <v>7686.9260408621985</v>
      </c>
      <c r="K37" s="40">
        <f t="shared" ref="K37:K52" si="28">(B37/B$65)</f>
        <v>8.7236563751753815E-2</v>
      </c>
      <c r="L37" s="22">
        <f t="shared" ref="L37:L52" si="29">(K37*H37)</f>
        <v>5.1469572613534749E-2</v>
      </c>
      <c r="M37" s="24">
        <f t="shared" ref="M37:M52" si="30">J37/B$65</f>
        <v>5.5881751134890981E-2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7686.9260408621985</v>
      </c>
      <c r="AH37" s="123">
        <f>SUM(Z37,AB37,AD37,AF37)</f>
        <v>1</v>
      </c>
      <c r="AI37" s="112">
        <f>SUM(AA37,AC37,AE37,AG37)</f>
        <v>7686.9260408621985</v>
      </c>
      <c r="AJ37" s="148">
        <f>(AA37+AC37)</f>
        <v>0</v>
      </c>
      <c r="AK37" s="147">
        <f>(AE37+AG37)</f>
        <v>7686.9260408621985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2950</v>
      </c>
      <c r="J38" s="38">
        <f t="shared" ref="J38:J64" si="33">J92*I$83</f>
        <v>3337.6913197126005</v>
      </c>
      <c r="K38" s="40">
        <f t="shared" si="28"/>
        <v>4.3618281875876908E-2</v>
      </c>
      <c r="L38" s="22">
        <f t="shared" si="29"/>
        <v>2.5734786306767374E-2</v>
      </c>
      <c r="M38" s="24">
        <f t="shared" si="30"/>
        <v>2.4264060132981966E-2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3337.6913197126005</v>
      </c>
      <c r="AH38" s="123">
        <f t="shared" ref="AH38:AI58" si="35">SUM(Z38,AB38,AD38,AF38)</f>
        <v>1</v>
      </c>
      <c r="AI38" s="112">
        <f t="shared" si="35"/>
        <v>3337.6913197126005</v>
      </c>
      <c r="AJ38" s="148">
        <f t="shared" ref="AJ38:AJ64" si="36">(AA38+AC38)</f>
        <v>0</v>
      </c>
      <c r="AK38" s="147">
        <f t="shared" ref="AK38:AK64" si="37">(AE38+AG38)</f>
        <v>3337.6913197126005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2920.5</v>
      </c>
      <c r="J39" s="38">
        <f t="shared" si="33"/>
        <v>2920.5</v>
      </c>
      <c r="K39" s="40">
        <f t="shared" si="28"/>
        <v>1.7992541273799224E-2</v>
      </c>
      <c r="L39" s="22">
        <f t="shared" si="29"/>
        <v>2.1231198703083081E-2</v>
      </c>
      <c r="M39" s="24">
        <f t="shared" si="30"/>
        <v>2.1231198703083085E-2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2920.5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2920.5</v>
      </c>
      <c r="AJ39" s="148">
        <f t="shared" si="36"/>
        <v>2920.5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8400</v>
      </c>
      <c r="J40" s="38">
        <f t="shared" si="33"/>
        <v>8399.9999999999982</v>
      </c>
      <c r="K40" s="40">
        <f t="shared" si="28"/>
        <v>0.21809140937938454</v>
      </c>
      <c r="L40" s="22">
        <f t="shared" si="29"/>
        <v>6.1065594626227661E-2</v>
      </c>
      <c r="M40" s="24">
        <f t="shared" si="30"/>
        <v>6.1065594626227661E-2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8399.9999999999982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8399.9999999999982</v>
      </c>
      <c r="AJ40" s="148">
        <f t="shared" si="36"/>
        <v>8399.9999999999982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1324.7215263400049</v>
      </c>
      <c r="K41" s="40">
        <f t="shared" si="28"/>
        <v>3.4894625500701527E-2</v>
      </c>
      <c r="L41" s="22">
        <f t="shared" si="29"/>
        <v>1.465574271029464E-2</v>
      </c>
      <c r="M41" s="24">
        <f t="shared" si="30"/>
        <v>9.6303461571567057E-3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1324.7215263400049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1324.7215263400049</v>
      </c>
      <c r="AJ41" s="148">
        <f t="shared" si="36"/>
        <v>1324.7215263400049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615.99999999999989</v>
      </c>
      <c r="J42" s="38">
        <f t="shared" si="33"/>
        <v>615.99999999999989</v>
      </c>
      <c r="K42" s="40">
        <f t="shared" si="28"/>
        <v>1.5993370021154866E-2</v>
      </c>
      <c r="L42" s="22">
        <f t="shared" si="29"/>
        <v>4.4781436059233622E-3</v>
      </c>
      <c r="M42" s="24">
        <f t="shared" si="30"/>
        <v>4.4781436059233622E-3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153.99999999999997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307.99999999999994</v>
      </c>
      <c r="AF42" s="122">
        <f t="shared" si="31"/>
        <v>0.25</v>
      </c>
      <c r="AG42" s="147">
        <f t="shared" si="34"/>
        <v>153.99999999999997</v>
      </c>
      <c r="AH42" s="123">
        <f t="shared" si="35"/>
        <v>1</v>
      </c>
      <c r="AI42" s="112">
        <f t="shared" si="35"/>
        <v>615.99999999999989</v>
      </c>
      <c r="AJ42" s="148">
        <f t="shared" si="36"/>
        <v>153.99999999999997</v>
      </c>
      <c r="AK42" s="147">
        <f t="shared" si="37"/>
        <v>461.99999999999989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662.3607631700022</v>
      </c>
      <c r="K43" s="40">
        <f t="shared" si="28"/>
        <v>2.6170969125526144E-2</v>
      </c>
      <c r="L43" s="22">
        <f t="shared" si="29"/>
        <v>7.3278713551473192E-3</v>
      </c>
      <c r="M43" s="24">
        <f t="shared" si="30"/>
        <v>4.8151730785783511E-3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165.59019079250055</v>
      </c>
      <c r="AB43" s="156">
        <f>Poor!AB43</f>
        <v>0.25</v>
      </c>
      <c r="AC43" s="147">
        <f t="shared" si="39"/>
        <v>165.59019079250055</v>
      </c>
      <c r="AD43" s="156">
        <f>Poor!AD43</f>
        <v>0.25</v>
      </c>
      <c r="AE43" s="147">
        <f t="shared" si="40"/>
        <v>165.59019079250055</v>
      </c>
      <c r="AF43" s="122">
        <f t="shared" si="31"/>
        <v>0.25</v>
      </c>
      <c r="AG43" s="147">
        <f t="shared" si="34"/>
        <v>165.59019079250055</v>
      </c>
      <c r="AH43" s="123">
        <f t="shared" si="35"/>
        <v>1</v>
      </c>
      <c r="AI43" s="112">
        <f t="shared" si="35"/>
        <v>662.3607631700022</v>
      </c>
      <c r="AJ43" s="148">
        <f t="shared" si="36"/>
        <v>331.1803815850011</v>
      </c>
      <c r="AK43" s="147">
        <f t="shared" si="37"/>
        <v>331.1803815850011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459.97275220139051</v>
      </c>
      <c r="K44" s="40">
        <f t="shared" si="28"/>
        <v>1.8174284114948713E-2</v>
      </c>
      <c r="L44" s="22">
        <f t="shared" si="29"/>
        <v>5.088799552185639E-3</v>
      </c>
      <c r="M44" s="24">
        <f t="shared" si="30"/>
        <v>3.3438701934571887E-3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114.99318805034763</v>
      </c>
      <c r="AB44" s="156">
        <f>Poor!AB44</f>
        <v>0.25</v>
      </c>
      <c r="AC44" s="147">
        <f t="shared" si="39"/>
        <v>114.99318805034763</v>
      </c>
      <c r="AD44" s="156">
        <f>Poor!AD44</f>
        <v>0.25</v>
      </c>
      <c r="AE44" s="147">
        <f t="shared" si="40"/>
        <v>114.99318805034763</v>
      </c>
      <c r="AF44" s="122">
        <f t="shared" si="31"/>
        <v>0.25</v>
      </c>
      <c r="AG44" s="147">
        <f t="shared" si="34"/>
        <v>114.99318805034763</v>
      </c>
      <c r="AH44" s="123">
        <f t="shared" si="35"/>
        <v>1</v>
      </c>
      <c r="AI44" s="112">
        <f t="shared" si="35"/>
        <v>459.97275220139051</v>
      </c>
      <c r="AJ44" s="148">
        <f t="shared" si="36"/>
        <v>229.98637610069525</v>
      </c>
      <c r="AK44" s="147">
        <f t="shared" si="37"/>
        <v>229.98637610069525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229.98637610069525</v>
      </c>
      <c r="K45" s="40">
        <f t="shared" si="28"/>
        <v>9.0871420574743563E-3</v>
      </c>
      <c r="L45" s="22">
        <f t="shared" si="29"/>
        <v>2.5443997760928195E-3</v>
      </c>
      <c r="M45" s="24">
        <f t="shared" si="30"/>
        <v>1.6719350967285944E-3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57.496594025173813</v>
      </c>
      <c r="AB45" s="156">
        <f>Poor!AB45</f>
        <v>0.25</v>
      </c>
      <c r="AC45" s="147">
        <f t="shared" si="39"/>
        <v>57.496594025173813</v>
      </c>
      <c r="AD45" s="156">
        <f>Poor!AD45</f>
        <v>0.25</v>
      </c>
      <c r="AE45" s="147">
        <f t="shared" si="40"/>
        <v>57.496594025173813</v>
      </c>
      <c r="AF45" s="122">
        <f t="shared" si="31"/>
        <v>0.25</v>
      </c>
      <c r="AG45" s="147">
        <f t="shared" si="34"/>
        <v>57.496594025173813</v>
      </c>
      <c r="AH45" s="123">
        <f t="shared" si="35"/>
        <v>1</v>
      </c>
      <c r="AI45" s="112">
        <f t="shared" si="35"/>
        <v>229.98637610069525</v>
      </c>
      <c r="AJ45" s="148">
        <f t="shared" si="36"/>
        <v>114.99318805034763</v>
      </c>
      <c r="AK45" s="147">
        <f t="shared" si="37"/>
        <v>114.99318805034763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11328</v>
      </c>
      <c r="J46" s="38">
        <f t="shared" si="33"/>
        <v>11328</v>
      </c>
      <c r="K46" s="40">
        <f t="shared" si="28"/>
        <v>0.17447312750350763</v>
      </c>
      <c r="L46" s="22">
        <f t="shared" si="29"/>
        <v>8.2351316181655601E-2</v>
      </c>
      <c r="M46" s="24">
        <f t="shared" si="30"/>
        <v>8.2351316181655601E-2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2832</v>
      </c>
      <c r="AB46" s="156">
        <f>Poor!AB46</f>
        <v>0.25</v>
      </c>
      <c r="AC46" s="147">
        <f t="shared" si="39"/>
        <v>2832</v>
      </c>
      <c r="AD46" s="156">
        <f>Poor!AD46</f>
        <v>0.25</v>
      </c>
      <c r="AE46" s="147">
        <f t="shared" si="40"/>
        <v>2832</v>
      </c>
      <c r="AF46" s="122">
        <f t="shared" si="31"/>
        <v>0.25</v>
      </c>
      <c r="AG46" s="147">
        <f t="shared" si="34"/>
        <v>2832</v>
      </c>
      <c r="AH46" s="123">
        <f t="shared" si="35"/>
        <v>1</v>
      </c>
      <c r="AI46" s="112">
        <f t="shared" si="35"/>
        <v>11328</v>
      </c>
      <c r="AJ46" s="148">
        <f t="shared" si="36"/>
        <v>5664</v>
      </c>
      <c r="AK46" s="147">
        <f t="shared" si="37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6.1937960263745213E-2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75379.508000000002</v>
      </c>
      <c r="J65" s="39">
        <f>SUM(J37:J64)</f>
        <v>77281.166778386891</v>
      </c>
      <c r="K65" s="40">
        <f>SUM(K37:K64)</f>
        <v>1</v>
      </c>
      <c r="L65" s="22">
        <f>SUM(L37:L64)</f>
        <v>0.56902598922628433</v>
      </c>
      <c r="M65" s="24">
        <f>SUM(M37:M64)</f>
        <v>0.56181195270605555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26048.053499208025</v>
      </c>
      <c r="AB65" s="137"/>
      <c r="AC65" s="153">
        <f>SUM(AC37:AC64)</f>
        <v>13248.831972868022</v>
      </c>
      <c r="AD65" s="137"/>
      <c r="AE65" s="153">
        <f>SUM(AE37:AE64)</f>
        <v>13556.831972868022</v>
      </c>
      <c r="AF65" s="137"/>
      <c r="AG65" s="153">
        <f>SUM(AG37:AG64)</f>
        <v>24427.449333442819</v>
      </c>
      <c r="AH65" s="137"/>
      <c r="AI65" s="153">
        <f>SUM(AI37:AI64)</f>
        <v>77281.166778386891</v>
      </c>
      <c r="AJ65" s="153">
        <f>SUM(AJ37:AJ64)</f>
        <v>39296.88547207605</v>
      </c>
      <c r="AK65" s="153">
        <f>SUM(AK37:AK64)</f>
        <v>37984.281306310848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21375.620913507184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5.2458253669387965E-2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51939.149407528188</v>
      </c>
      <c r="J74" s="51">
        <f>J128*I$83</f>
        <v>13200.507272407913</v>
      </c>
      <c r="K74" s="40">
        <f>B74/B$76</f>
        <v>9.5203084875859878E-2</v>
      </c>
      <c r="L74" s="22">
        <f>(L128*G$37*F$9/F$7)/B$130</f>
        <v>4.3209312429197663E-2</v>
      </c>
      <c r="M74" s="24">
        <f>J74/B$76</f>
        <v>9.5963907852075231E-2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969.90652253520057</v>
      </c>
      <c r="AB74" s="156"/>
      <c r="AC74" s="147">
        <f>AC30*$I$83/4</f>
        <v>4280.2245461761786</v>
      </c>
      <c r="AD74" s="156"/>
      <c r="AE74" s="147">
        <f>AE30*$I$83/4</f>
        <v>4121.0667213054039</v>
      </c>
      <c r="AF74" s="156"/>
      <c r="AG74" s="147">
        <f>AG30*$I$83/4</f>
        <v>3829.3094823911283</v>
      </c>
      <c r="AH74" s="155"/>
      <c r="AI74" s="147">
        <f>SUM(AA74,AC74,AE74,AG74)</f>
        <v>13200.507272407913</v>
      </c>
      <c r="AJ74" s="148">
        <f>(AA74+AC74)</f>
        <v>5250.1310687113792</v>
      </c>
      <c r="AK74" s="147">
        <f>(AE74+AG74)</f>
        <v>7950.3762036965327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0.38503337506193319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33956.107531488618</v>
      </c>
      <c r="AB75" s="158"/>
      <c r="AC75" s="149">
        <f>AA75+AC65-SUM(AC70,AC74)</f>
        <v>37064.625310062511</v>
      </c>
      <c r="AD75" s="158"/>
      <c r="AE75" s="149">
        <f>AC75+AE65-SUM(AE70,AE74)</f>
        <v>40640.300913507177</v>
      </c>
      <c r="AF75" s="158"/>
      <c r="AG75" s="149">
        <f>IF(SUM(AG6:AG29)+((AG65-AG70-$J$75)*4/I$83)&lt;1,0,AG65-AG70-$J$75-(1-SUM(AG6:AG29))*I$83/4)</f>
        <v>14738.050202933742</v>
      </c>
      <c r="AH75" s="134"/>
      <c r="AI75" s="149">
        <f>AI76-SUM(AI70,AI74)</f>
        <v>40640.300913507184</v>
      </c>
      <c r="AJ75" s="151">
        <f>AJ76-SUM(AJ70,AJ74)</f>
        <v>22326.575107128767</v>
      </c>
      <c r="AK75" s="149">
        <f>AJ75+AK76-SUM(AK70,AK74)</f>
        <v>40640.300913507177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75379.507999999987</v>
      </c>
      <c r="J76" s="51">
        <f>J130*I$83</f>
        <v>77281.166778386891</v>
      </c>
      <c r="K76" s="40">
        <f>SUM(K70:K75)</f>
        <v>0.65441235269742726</v>
      </c>
      <c r="L76" s="22">
        <f>SUM(L70:L75)</f>
        <v>0.21361400715554235</v>
      </c>
      <c r="M76" s="24">
        <f>SUM(M70:M75)</f>
        <v>0.26636860257841988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26048.053499208025</v>
      </c>
      <c r="AB76" s="137"/>
      <c r="AC76" s="153">
        <f>AC65</f>
        <v>13248.831972868022</v>
      </c>
      <c r="AD76" s="137"/>
      <c r="AE76" s="153">
        <f>AE65</f>
        <v>13556.831972868022</v>
      </c>
      <c r="AF76" s="137"/>
      <c r="AG76" s="153">
        <f>AG65</f>
        <v>24427.449333442819</v>
      </c>
      <c r="AH76" s="137"/>
      <c r="AI76" s="153">
        <f>SUM(AA76,AC76,AE76,AG76)</f>
        <v>77281.166778386891</v>
      </c>
      <c r="AJ76" s="154">
        <f>SUM(AA76,AC76)</f>
        <v>39296.885472076043</v>
      </c>
      <c r="AK76" s="154">
        <f>SUM(AE76,AG76)</f>
        <v>37984.281306310841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14738.050202933742</v>
      </c>
      <c r="AB78" s="112"/>
      <c r="AC78" s="112">
        <f>IF(AA75&lt;0,0,AA75)</f>
        <v>33956.107531488618</v>
      </c>
      <c r="AD78" s="112"/>
      <c r="AE78" s="112">
        <f>AC75</f>
        <v>37064.625310062511</v>
      </c>
      <c r="AF78" s="112"/>
      <c r="AG78" s="112">
        <f>AE75</f>
        <v>40640.300913507177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34926.014054023821</v>
      </c>
      <c r="AB79" s="112"/>
      <c r="AC79" s="112">
        <f>AA79-AA74+AC65-AC70</f>
        <v>41344.849856238689</v>
      </c>
      <c r="AD79" s="112"/>
      <c r="AE79" s="112">
        <f>AC79-AC74+AE65-AE70</f>
        <v>44761.367634812581</v>
      </c>
      <c r="AF79" s="112"/>
      <c r="AG79" s="112">
        <f>AE79-AE74+AG65-AG70</f>
        <v>59207.660598832044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0.3575757575757576</v>
      </c>
      <c r="I91" s="22">
        <f t="shared" ref="I91" si="52">(D91*H91)</f>
        <v>0.32029114596486946</v>
      </c>
      <c r="J91" s="24">
        <f>IF(I$32&lt;=1+I$131,I91,L91+J$33*(I91-L91))</f>
        <v>0.27819823170338426</v>
      </c>
      <c r="K91" s="22">
        <f t="shared" ref="K91" si="53">(B91)</f>
        <v>0.71658358080275875</v>
      </c>
      <c r="L91" s="22">
        <f t="shared" ref="L91" si="54">(K91*H91)</f>
        <v>0.25623291677189558</v>
      </c>
      <c r="M91" s="227">
        <f t="shared" si="50"/>
        <v>0.27819823170338426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0.3575757575757576</v>
      </c>
      <c r="I92" s="22">
        <f t="shared" ref="I92:I118" si="59">(D92*H92)</f>
        <v>0.10676371532162317</v>
      </c>
      <c r="J92" s="24">
        <f t="shared" ref="J92:J118" si="60">IF(I$32&lt;=1+I$131,I92,L92+J$33*(I92-L92))</f>
        <v>0.12079468674211824</v>
      </c>
      <c r="K92" s="22">
        <f t="shared" ref="K92:K118" si="61">(B92)</f>
        <v>0.35829179040137937</v>
      </c>
      <c r="L92" s="22">
        <f t="shared" ref="L92:L118" si="62">(K92*H92)</f>
        <v>0.12811645838594779</v>
      </c>
      <c r="M92" s="227">
        <f t="shared" ref="M92:M118" si="63">(J92)</f>
        <v>0.12079468674211824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0.7151515151515152</v>
      </c>
      <c r="I93" s="22">
        <f t="shared" si="59"/>
        <v>0.10569607816840693</v>
      </c>
      <c r="J93" s="24">
        <f t="shared" si="60"/>
        <v>0.10569607816840693</v>
      </c>
      <c r="K93" s="22">
        <f t="shared" si="61"/>
        <v>0.14779536354056899</v>
      </c>
      <c r="L93" s="22">
        <f t="shared" si="62"/>
        <v>0.10569607816840693</v>
      </c>
      <c r="M93" s="227">
        <f t="shared" si="63"/>
        <v>0.10569607816840693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0.16969696969696968</v>
      </c>
      <c r="I94" s="22">
        <f t="shared" si="59"/>
        <v>0.30400515549207946</v>
      </c>
      <c r="J94" s="24">
        <f t="shared" si="60"/>
        <v>0.30400515549207946</v>
      </c>
      <c r="K94" s="22">
        <f t="shared" si="61"/>
        <v>1.7914589520068969</v>
      </c>
      <c r="L94" s="22">
        <f t="shared" si="62"/>
        <v>0.30400515549207946</v>
      </c>
      <c r="M94" s="227">
        <f t="shared" si="63"/>
        <v>0.30400515549207946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4.7943115904606912E-2</v>
      </c>
      <c r="K95" s="22">
        <f t="shared" si="61"/>
        <v>0.2866334323211035</v>
      </c>
      <c r="L95" s="22">
        <f t="shared" si="62"/>
        <v>7.2961237318099087E-2</v>
      </c>
      <c r="M95" s="227">
        <f t="shared" si="63"/>
        <v>4.7943115904606912E-2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0.16969696969696968</v>
      </c>
      <c r="I96" s="22">
        <f t="shared" si="59"/>
        <v>2.2293711402752495E-2</v>
      </c>
      <c r="J96" s="24">
        <f t="shared" si="60"/>
        <v>2.2293711402752495E-2</v>
      </c>
      <c r="K96" s="22">
        <f t="shared" si="61"/>
        <v>0.13137365648050578</v>
      </c>
      <c r="L96" s="22">
        <f t="shared" si="62"/>
        <v>2.2293711402752495E-2</v>
      </c>
      <c r="M96" s="227">
        <f t="shared" si="63"/>
        <v>2.2293711402752495E-2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2.3971557952303449E-2</v>
      </c>
      <c r="K97" s="22">
        <f t="shared" si="61"/>
        <v>0.21497507424082762</v>
      </c>
      <c r="L97" s="22">
        <f t="shared" si="62"/>
        <v>3.648061865904953E-2</v>
      </c>
      <c r="M97" s="227">
        <f t="shared" si="63"/>
        <v>2.3971557952303449E-2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1.6646915244655176E-2</v>
      </c>
      <c r="K98" s="22">
        <f t="shared" si="61"/>
        <v>0.14928824600057475</v>
      </c>
      <c r="L98" s="22">
        <f t="shared" si="62"/>
        <v>2.5333762957673287E-2</v>
      </c>
      <c r="M98" s="227">
        <f t="shared" si="63"/>
        <v>1.6646915244655176E-2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8.3234576223275882E-3</v>
      </c>
      <c r="K99" s="22">
        <f t="shared" si="61"/>
        <v>7.4644123000287374E-2</v>
      </c>
      <c r="L99" s="22">
        <f t="shared" si="62"/>
        <v>1.2666881478836644E-2</v>
      </c>
      <c r="M99" s="227">
        <f t="shared" si="63"/>
        <v>8.3234576223275882E-3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0.28606060606060607</v>
      </c>
      <c r="I100" s="22">
        <f t="shared" si="59"/>
        <v>0.40997266683503292</v>
      </c>
      <c r="J100" s="24">
        <f t="shared" si="60"/>
        <v>0.40997266683503292</v>
      </c>
      <c r="K100" s="22">
        <f t="shared" si="61"/>
        <v>1.4331671616055175</v>
      </c>
      <c r="L100" s="22">
        <f t="shared" si="62"/>
        <v>0.40997266683503292</v>
      </c>
      <c r="M100" s="227">
        <f t="shared" si="63"/>
        <v>0.40997266683503292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0.50877434236995878</v>
      </c>
      <c r="L102" s="22">
        <f t="shared" si="62"/>
        <v>0</v>
      </c>
      <c r="M102" s="227">
        <f t="shared" si="63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2.7280665536257676</v>
      </c>
      <c r="J119" s="24">
        <f>SUM(J91:J118)</f>
        <v>2.7968896575086708</v>
      </c>
      <c r="K119" s="22">
        <f>SUM(K91:K118)</f>
        <v>8.2142573020404246</v>
      </c>
      <c r="L119" s="22">
        <f>SUM(L91:L118)</f>
        <v>2.8328035679107773</v>
      </c>
      <c r="M119" s="57">
        <f t="shared" si="50"/>
        <v>2.7968896575086708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0.77360701899410689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1.0721511237407952</v>
      </c>
      <c r="M126" s="57">
        <f t="shared" si="92"/>
        <v>0.77360701899410689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1.8797344275907091</v>
      </c>
      <c r="J128" s="228">
        <f>(J30)</f>
        <v>0.47774074594317784</v>
      </c>
      <c r="K128" s="22">
        <f>(B128)</f>
        <v>0.78202263511830628</v>
      </c>
      <c r="L128" s="22">
        <f>IF(L124=L119,0,(L119-L124)/(B119-B124)*K128)</f>
        <v>0.21511055159859577</v>
      </c>
      <c r="M128" s="57">
        <f t="shared" si="90"/>
        <v>0.47774074594317784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3.162763212631754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2.7280665536257676</v>
      </c>
      <c r="J130" s="228">
        <f>(J119)</f>
        <v>2.7968896575086708</v>
      </c>
      <c r="K130" s="22">
        <f>(B130)</f>
        <v>8.2142573020404246</v>
      </c>
      <c r="L130" s="22">
        <f>(L119)</f>
        <v>2.8328035679107773</v>
      </c>
      <c r="M130" s="57">
        <f t="shared" si="90"/>
        <v>2.7968896575086708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2256.5617837296745</v>
      </c>
      <c r="G72" s="109">
        <f>Poor!T7</f>
        <v>2670.1080137789122</v>
      </c>
      <c r="H72" s="109">
        <f>Middle!T7</f>
        <v>5326.9452950210252</v>
      </c>
      <c r="I72" s="109">
        <f>Rich!T7</f>
        <v>3546.4046646377906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7188.9999999999982</v>
      </c>
      <c r="I73" s="109">
        <f>Rich!T8</f>
        <v>11693.041417812092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627.89272388059715</v>
      </c>
      <c r="G74" s="109">
        <f>Poor!T9</f>
        <v>1060.6944962686568</v>
      </c>
      <c r="H74" s="109">
        <f>Middle!T9</f>
        <v>1031.6809701492539</v>
      </c>
      <c r="I74" s="109">
        <f>Rich!T9</f>
        <v>1031.6809701492539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2122.23</v>
      </c>
      <c r="H76" s="109">
        <f>Middle!T11</f>
        <v>9097.7999999999993</v>
      </c>
      <c r="I76" s="109">
        <f>Rich!T11</f>
        <v>13945.117360574799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708</v>
      </c>
      <c r="I79" s="109">
        <f>Rich!T14</f>
        <v>11328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18787.763284774283</v>
      </c>
      <c r="G88" s="109">
        <f>Poor!T23</f>
        <v>18523.14128721158</v>
      </c>
      <c r="H88" s="109">
        <f>Middle!T23</f>
        <v>49165.935042334291</v>
      </c>
      <c r="I88" s="109">
        <f>Rich!T23</f>
        <v>85514.161190337938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26076.742172394068</v>
      </c>
      <c r="G98" s="239">
        <f t="shared" si="0"/>
        <v>26341.364169956771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45341.422172394072</v>
      </c>
      <c r="G99" s="239">
        <f t="shared" si="0"/>
        <v>45606.044169956775</v>
      </c>
      <c r="H99" s="239">
        <f t="shared" si="0"/>
        <v>14963.250414834059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82171.582172394075</v>
      </c>
      <c r="G100" s="239">
        <f t="shared" si="0"/>
        <v>82436.204169956778</v>
      </c>
      <c r="H100" s="239">
        <f t="shared" si="0"/>
        <v>51793.410414834063</v>
      </c>
      <c r="I100" s="239">
        <f t="shared" si="0"/>
        <v>15445.184266830416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2016-06-02T07:49:30Z</dcterms:modified>
  <cp:category/>
</cp:coreProperties>
</file>