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E51" i="7"/>
  <c r="E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E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<sst xmlns="http://schemas.openxmlformats.org/spreadsheetml/2006/main" count="790" uniqueCount="145">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</sst>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0.0206889444582814</c:v>
                </c:pt>
                <c:pt idx="2" formatCode="0.0%">
                  <c:v>0.0206889444582814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0.0120129354919054</c:v>
                </c:pt>
                <c:pt idx="2" formatCode="0.0%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0.00094502801992528</c:v>
                </c:pt>
                <c:pt idx="2" formatCode="0.0%">
                  <c:v>0.00094502801992528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0.000946331506849315</c:v>
                </c:pt>
                <c:pt idx="2" formatCode="0.0%">
                  <c:v>0.000946331506849315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0.00036425902864259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0.00603775143212951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0.00325298196762142</c:v>
                </c:pt>
                <c:pt idx="2" formatCode="0.0%">
                  <c:v>0.00325298196762142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0.000437110834371108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0.000930261519302615</c:v>
                </c:pt>
                <c:pt idx="2" formatCode="0.0%">
                  <c:v>0.000930261519302615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0.000428393524283935</c:v>
                </c:pt>
                <c:pt idx="2" formatCode="0.0%">
                  <c:v>0.000428393524283935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0.0045224886448302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0.0408696545488863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0.120916574289846</c:v>
                </c:pt>
                <c:pt idx="2" formatCode="0.0%">
                  <c:v>0.562137366331048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864392"/>
        <c:axId val="1775867736"/>
      </c:barChart>
      <c:catAx>
        <c:axId val="177586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86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86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86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6.65814023472765E-5</c:v>
                </c:pt>
                <c:pt idx="2">
                  <c:v>6.65814023472765E-5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0.000133162804694553</c:v>
                </c:pt>
                <c:pt idx="2">
                  <c:v>0.000133162804694553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0.0665814023472765</c:v>
                </c:pt>
                <c:pt idx="2">
                  <c:v>0.0499360517604574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0.00832267529340957</c:v>
                </c:pt>
                <c:pt idx="2">
                  <c:v>0.0166453505868191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0.000105326512187782</c:v>
                </c:pt>
                <c:pt idx="2">
                  <c:v>0.00052663256093891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0.000184321396328619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0.000263316280469455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0.00106906409870599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0.00460803490821547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0.000368642792657237</c:v>
                </c:pt>
                <c:pt idx="2">
                  <c:v>0.000368642792657237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032152"/>
        <c:axId val="1777035176"/>
      </c:barChart>
      <c:catAx>
        <c:axId val="17770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03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03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03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3.66399888216983E-5</c:v>
                </c:pt>
                <c:pt idx="2">
                  <c:v>3.66399888216983E-5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0.000122133296072328</c:v>
                </c:pt>
                <c:pt idx="2">
                  <c:v>0.000122133296072328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0.122133296072328</c:v>
                </c:pt>
                <c:pt idx="2">
                  <c:v>0.120871651621341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0.0457999860271229</c:v>
                </c:pt>
                <c:pt idx="2">
                  <c:v>0.0461784793624189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0.059163179916318</c:v>
                </c:pt>
                <c:pt idx="2">
                  <c:v>0.05753342182862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0.00121719284899201</c:v>
                </c:pt>
                <c:pt idx="2">
                  <c:v>0.00121719284899201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5.79615642377149E-5</c:v>
                </c:pt>
                <c:pt idx="2">
                  <c:v>6.43481937749135E-5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0.000365157854697604</c:v>
                </c:pt>
                <c:pt idx="2">
                  <c:v>0.000355098913176516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0.000144903910594287</c:v>
                </c:pt>
                <c:pt idx="2">
                  <c:v>0.000140912267133538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0.000669456066945606</c:v>
                </c:pt>
                <c:pt idx="2">
                  <c:v>0.000651014674156945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0.00181129888242859</c:v>
                </c:pt>
                <c:pt idx="2">
                  <c:v>0.00176140333916922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0.000710029161912007</c:v>
                </c:pt>
                <c:pt idx="2">
                  <c:v>0.000710029161912007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174680"/>
        <c:axId val="1777177736"/>
      </c:barChart>
      <c:catAx>
        <c:axId val="177717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7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17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74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0.0267210144927536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122952"/>
        <c:axId val="-2025119928"/>
      </c:barChart>
      <c:catAx>
        <c:axId val="-202512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11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11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12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795.6066046673917</c:v>
                </c:pt>
                <c:pt idx="5">
                  <c:v>640.0576802716832</c:v>
                </c:pt>
                <c:pt idx="6">
                  <c:v>892.4846880301045</c:v>
                </c:pt>
                <c:pt idx="7">
                  <c:v>1194.316315133201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0.0</c:v>
                </c:pt>
                <c:pt idx="6">
                  <c:v>47.59999999999998</c:v>
                </c:pt>
                <c:pt idx="7">
                  <c:v>7540.064771132833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222.2075342465754</c:v>
                </c:pt>
                <c:pt idx="5">
                  <c:v>646.3650080580177</c:v>
                </c:pt>
                <c:pt idx="6">
                  <c:v>796.3112731668011</c:v>
                </c:pt>
                <c:pt idx="7">
                  <c:v>758.7207896857374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1180.0</c:v>
                </c:pt>
                <c:pt idx="6">
                  <c:v>354</c:v>
                </c:pt>
                <c:pt idx="7">
                  <c:v>20174.59211574275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1461.307049044897</c:v>
                </c:pt>
                <c:pt idx="5">
                  <c:v>1756.993736459807</c:v>
                </c:pt>
                <c:pt idx="6">
                  <c:v>278.8235790628788</c:v>
                </c:pt>
                <c:pt idx="7">
                  <c:v>186.8105388205151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440568"/>
        <c:axId val="17704438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40568"/>
        <c:axId val="1770443896"/>
      </c:lineChart>
      <c:catAx>
        <c:axId val="177044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443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44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44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483688"/>
        <c:axId val="1774480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483688"/>
        <c:axId val="1774480440"/>
      </c:lineChart>
      <c:catAx>
        <c:axId val="177448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8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8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8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390984"/>
        <c:axId val="17743876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90984"/>
        <c:axId val="1774387688"/>
      </c:lineChart>
      <c:catAx>
        <c:axId val="1774390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8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8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9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0.0540634424218155</c:v>
                </c:pt>
                <c:pt idx="2">
                  <c:v>0.251339250357358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-0.267409907288879</c:v>
                </c:pt>
                <c:pt idx="2">
                  <c:v>-0.177947363702244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314936"/>
        <c:axId val="1774311576"/>
      </c:barChart>
      <c:catAx>
        <c:axId val="177431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1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1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1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0.0440646346655707</c:v>
                </c:pt>
                <c:pt idx="2">
                  <c:v>0.208729762837485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0.108280430225661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0.0440646346655707</c:v>
                </c:pt>
                <c:pt idx="2">
                  <c:v>0.208729762837485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-0.107813210059222</c:v>
                </c:pt>
                <c:pt idx="2">
                  <c:v>-0.0704108038746316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252984"/>
        <c:axId val="1774249560"/>
      </c:barChart>
      <c:catAx>
        <c:axId val="17742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4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24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5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0.0325496125370631</c:v>
                </c:pt>
                <c:pt idx="2">
                  <c:v>0.0428814233850467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0.204488643938818</c:v>
                </c:pt>
                <c:pt idx="2">
                  <c:v>0.191567922995953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0.0325496125370631</c:v>
                </c:pt>
                <c:pt idx="2">
                  <c:v>0.0428814233850467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197528"/>
        <c:axId val="1774194008"/>
      </c:barChart>
      <c:catAx>
        <c:axId val="177419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9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19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9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0.148345080821367</c:v>
                </c:pt>
                <c:pt idx="2">
                  <c:v>0.17506609531412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0.0358029552731782</c:v>
                </c:pt>
                <c:pt idx="2">
                  <c:v>0.17506609531412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-0.346898148148148</c:v>
                </c:pt>
                <c:pt idx="2">
                  <c:v>-0.346898148148148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793112"/>
        <c:axId val="1777796488"/>
      </c:barChart>
      <c:catAx>
        <c:axId val="177779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79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79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79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0.0184198344209215</c:v>
                </c:pt>
                <c:pt idx="2" formatCode="0.0%">
                  <c:v>0.0184198344209215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0.00801644458281444</c:v>
                </c:pt>
                <c:pt idx="2" formatCode="0.0%">
                  <c:v>0.00801644458281444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0.0173178665753425</c:v>
                </c:pt>
                <c:pt idx="2" formatCode="0.0%">
                  <c:v>0.0173178665753425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0.00318155088418431</c:v>
                </c:pt>
                <c:pt idx="2" formatCode="0.0%">
                  <c:v>0.00176752826899128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0.00775991835616438</c:v>
                </c:pt>
                <c:pt idx="2" formatCode="0.0%">
                  <c:v>0.00775991835616438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0.000586569115815691</c:v>
                </c:pt>
                <c:pt idx="2" formatCode="0.0%">
                  <c:v>0.000586569115815691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0.000233125778331258</c:v>
                </c:pt>
                <c:pt idx="2" formatCode="0.0%">
                  <c:v>0.000305977584059776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0.00754718929016189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0.00440109325031133</c:v>
                </c:pt>
                <c:pt idx="2" formatCode="0.0%">
                  <c:v>0.00440109325031133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5.09962640099626E-5</c:v>
                </c:pt>
                <c:pt idx="2" formatCode="0.0%">
                  <c:v>0.000473536737235367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0.00542652552926525</c:v>
                </c:pt>
                <c:pt idx="2" formatCode="0.0%">
                  <c:v>0.005977837323081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0.0145143242404358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0.121957305560384</c:v>
                </c:pt>
                <c:pt idx="2" formatCode="0.0%">
                  <c:v>0.577699546566478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006408"/>
        <c:axId val="1776009720"/>
      </c:barChart>
      <c:catAx>
        <c:axId val="177600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00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00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00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272424"/>
        <c:axId val="-1991269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272424"/>
        <c:axId val="-1991269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272424"/>
        <c:axId val="-1991269080"/>
      </c:scatterChart>
      <c:catAx>
        <c:axId val="-1991272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269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1269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2724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915400"/>
        <c:axId val="17779187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15400"/>
        <c:axId val="1777918776"/>
      </c:lineChart>
      <c:catAx>
        <c:axId val="177791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9187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7918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91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99496"/>
        <c:axId val="17781028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06456"/>
        <c:axId val="1778109352"/>
      </c:scatterChart>
      <c:valAx>
        <c:axId val="17780994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02840"/>
        <c:crosses val="autoZero"/>
        <c:crossBetween val="midCat"/>
      </c:valAx>
      <c:valAx>
        <c:axId val="1778102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099496"/>
        <c:crosses val="autoZero"/>
        <c:crossBetween val="midCat"/>
      </c:valAx>
      <c:valAx>
        <c:axId val="17781064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78109352"/>
        <c:crosses val="autoZero"/>
        <c:crossBetween val="midCat"/>
      </c:valAx>
      <c:valAx>
        <c:axId val="17781093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064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89704"/>
        <c:axId val="17781954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189704"/>
        <c:axId val="1778195448"/>
      </c:lineChart>
      <c:catAx>
        <c:axId val="177818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95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8195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897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0.0271125280199253</c:v>
                </c:pt>
                <c:pt idx="2" formatCode="0.0%">
                  <c:v>0.0271125280199253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0.0123831257783313</c:v>
                </c:pt>
                <c:pt idx="2" formatCode="0.0%">
                  <c:v>0.0123831257783313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0.0156144698630137</c:v>
                </c:pt>
                <c:pt idx="2" formatCode="0.0%">
                  <c:v>0.0225258633199484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0.0039886699875467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0.00397693860523039</c:v>
                </c:pt>
                <c:pt idx="2" formatCode="0.0%">
                  <c:v>0.0039282488036393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0.0120657267123288</c:v>
                </c:pt>
                <c:pt idx="2" formatCode="0.0%">
                  <c:v>0.0120657267123288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0.000146642278953923</c:v>
                </c:pt>
                <c:pt idx="2" formatCode="0.0%">
                  <c:v>0.000146642278953923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0.00038247198007472</c:v>
                </c:pt>
                <c:pt idx="2" formatCode="0.0%">
                  <c:v>0.000391502743615629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0.0132075812577833</c:v>
                </c:pt>
                <c:pt idx="2" formatCode="0.0%">
                  <c:v>0.0132595565437738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0.00017302303860523</c:v>
                </c:pt>
                <c:pt idx="2" formatCode="0.0%">
                  <c:v>0.00018957943843023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0.00484511207970112</c:v>
                </c:pt>
                <c:pt idx="2" formatCode="0.0%">
                  <c:v>0.00487180557592247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0.000803237858032378</c:v>
                </c:pt>
                <c:pt idx="2" formatCode="0.0%">
                  <c:v>0.000803237858032378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0.00972453169521937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0.0257825770110029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0.131574803035502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0.402143577303399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0.204630840844059</c:v>
                </c:pt>
                <c:pt idx="2" formatCode="0.0%">
                  <c:v>0.269584214370619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137656"/>
        <c:axId val="1776141000"/>
      </c:barChart>
      <c:catAx>
        <c:axId val="177613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141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14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13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0.00667385305105853</c:v>
                </c:pt>
                <c:pt idx="2" formatCode="0.0%">
                  <c:v>0.00667385305105853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0.00300323387297634</c:v>
                </c:pt>
                <c:pt idx="2" formatCode="0.0%">
                  <c:v>0.00300323387297634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0.012409195516812</c:v>
                </c:pt>
                <c:pt idx="2" formatCode="0.0%">
                  <c:v>0.012409195516812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0.00189266301369863</c:v>
                </c:pt>
                <c:pt idx="2" formatCode="0.0%">
                  <c:v>0.00189266301369863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0.00483020114570361</c:v>
                </c:pt>
                <c:pt idx="2" formatCode="0.0%">
                  <c:v>0.00483020114570361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0.00478379701120797</c:v>
                </c:pt>
                <c:pt idx="2" formatCode="0.0%">
                  <c:v>0.00478379701120797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0.0024186799501868</c:v>
                </c:pt>
                <c:pt idx="2" formatCode="0.0%">
                  <c:v>0.0024186799501868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0.0617271928538539</c:v>
                </c:pt>
                <c:pt idx="2" formatCode="0.0%">
                  <c:v>0.301828118521866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269704"/>
        <c:axId val="1775640280"/>
      </c:barChart>
      <c:catAx>
        <c:axId val="177626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64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64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269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0.0140684822316314</c:v>
                </c:pt>
                <c:pt idx="1">
                  <c:v>0.0140684822316314</c:v>
                </c:pt>
                <c:pt idx="2">
                  <c:v>0.0273094066849315</c:v>
                </c:pt>
                <c:pt idx="3">
                  <c:v>0.0273094066849315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0.0480517419676214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0.00378011207970112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0.0454239123287671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0.0283638754669987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0.00989815830635118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0.00253616843835616</c:v>
                </c:pt>
                <c:pt idx="3">
                  <c:v>0.0012491575890411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0.00603775143212951</c:v>
                </c:pt>
                <c:pt idx="1">
                  <c:v>0.00603775143212951</c:v>
                </c:pt>
                <c:pt idx="2">
                  <c:v>0.00603775143212951</c:v>
                </c:pt>
                <c:pt idx="3">
                  <c:v>0.00603775143212951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0.0130119278704857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0.000514217185554172</c:v>
                </c:pt>
                <c:pt idx="1">
                  <c:v>0.000308600249066002</c:v>
                </c:pt>
                <c:pt idx="2">
                  <c:v>0.000411408717310087</c:v>
                </c:pt>
                <c:pt idx="3">
                  <c:v>0.000514217185554172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-0.700395957961715</c:v>
                </c:pt>
                <c:pt idx="1">
                  <c:v>-0.700887362674653</c:v>
                </c:pt>
                <c:pt idx="2">
                  <c:v>-0.700887362674653</c:v>
                </c:pt>
                <c:pt idx="3">
                  <c:v>-0.455185006205699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550104"/>
        <c:axId val="1775546712"/>
      </c:barChart>
      <c:catAx>
        <c:axId val="1775550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46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54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5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0.0045382200747198</c:v>
                </c:pt>
                <c:pt idx="1">
                  <c:v>0.0045382200747198</c:v>
                </c:pt>
                <c:pt idx="2">
                  <c:v>0.00880948602739726</c:v>
                </c:pt>
                <c:pt idx="3">
                  <c:v>0.00880948602739726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0.00756022415940224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0.0496367820672478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0.00989815830635118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0.00507233687671233</c:v>
                </c:pt>
                <c:pt idx="3">
                  <c:v>0.00249831517808219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0.00291407222914072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0.00483020114570361</c:v>
                </c:pt>
                <c:pt idx="1">
                  <c:v>0.00483020114570361</c:v>
                </c:pt>
                <c:pt idx="2">
                  <c:v>0.00483020114570361</c:v>
                </c:pt>
                <c:pt idx="3">
                  <c:v>0.00483020114570361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-0.0448620709025473</c:v>
                </c:pt>
                <c:pt idx="1">
                  <c:v>-0.0448620709025473</c:v>
                </c:pt>
                <c:pt idx="2">
                  <c:v>-0.0448620709025473</c:v>
                </c:pt>
                <c:pt idx="3">
                  <c:v>-0.0448620709025473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443000"/>
        <c:axId val="1775439608"/>
      </c:barChart>
      <c:catAx>
        <c:axId val="1775443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39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43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4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0.0125254874062266</c:v>
                </c:pt>
                <c:pt idx="1">
                  <c:v>0.0125254874062266</c:v>
                </c:pt>
                <c:pt idx="2">
                  <c:v>0.0243141814356164</c:v>
                </c:pt>
                <c:pt idx="3">
                  <c:v>0.0243141814356164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0.0320657783312578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0.0692714663013698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0.0207965811945205</c:v>
                </c:pt>
                <c:pt idx="3">
                  <c:v>0.010243092230137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0.00234627646326276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0.0012239103362391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0.00754718929016189</c:v>
                </c:pt>
                <c:pt idx="1">
                  <c:v>0.00754718929016189</c:v>
                </c:pt>
                <c:pt idx="2">
                  <c:v>0.00754718929016189</c:v>
                </c:pt>
                <c:pt idx="3">
                  <c:v>0.00754718929016189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0.0176043730012453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0.000557068617683686</c:v>
                </c:pt>
                <c:pt idx="1">
                  <c:v>0.000334316936488169</c:v>
                </c:pt>
                <c:pt idx="2">
                  <c:v>0.000445692777085928</c:v>
                </c:pt>
                <c:pt idx="3">
                  <c:v>0.000557068617683686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0.54874175133398</c:v>
                </c:pt>
                <c:pt idx="1">
                  <c:v>0.658494226850792</c:v>
                </c:pt>
                <c:pt idx="2">
                  <c:v>0.627021486122523</c:v>
                </c:pt>
                <c:pt idx="3">
                  <c:v>0.559794548785537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332632"/>
        <c:axId val="1775329240"/>
      </c:barChart>
      <c:catAx>
        <c:axId val="1775332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29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32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0.0184365190535492</c:v>
                </c:pt>
                <c:pt idx="1">
                  <c:v>0.0184365190535492</c:v>
                </c:pt>
                <c:pt idx="2">
                  <c:v>0.0357885369863014</c:v>
                </c:pt>
                <c:pt idx="3">
                  <c:v>0.0357885369863014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0.049532503113325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0.0901034532797938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0.0159546799501868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0.0157129952145572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0.0323361475890411</c:v>
                </c:pt>
                <c:pt idx="3">
                  <c:v>0.015926759260274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0.000586569115815691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0.00156601097446252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0.0132595565437738</c:v>
                </c:pt>
                <c:pt idx="1">
                  <c:v>0.0132595565437738</c:v>
                </c:pt>
                <c:pt idx="2">
                  <c:v>0.0132595565437738</c:v>
                </c:pt>
                <c:pt idx="3">
                  <c:v>0.0132595565437738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0.000223021251369323</c:v>
                </c:pt>
                <c:pt idx="1">
                  <c:v>0.000133843083531743</c:v>
                </c:pt>
                <c:pt idx="2">
                  <c:v>0.000178432167450533</c:v>
                </c:pt>
                <c:pt idx="3">
                  <c:v>0.000223021251369323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0.263149606071003</c:v>
                </c:pt>
                <c:pt idx="3">
                  <c:v>0.263149606071003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0.402143577303399</c:v>
                </c:pt>
                <c:pt idx="1">
                  <c:v>0.402143577303399</c:v>
                </c:pt>
                <c:pt idx="2">
                  <c:v>0.402143577303399</c:v>
                </c:pt>
                <c:pt idx="3">
                  <c:v>0.402143577303399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0.308740738639417</c:v>
                </c:pt>
                <c:pt idx="1">
                  <c:v>0.479154106506471</c:v>
                </c:pt>
                <c:pt idx="2">
                  <c:v>0.167837756804218</c:v>
                </c:pt>
                <c:pt idx="3">
                  <c:v>0.184202556049066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702920"/>
        <c:axId val="1776706296"/>
      </c:barChart>
      <c:catAx>
        <c:axId val="177670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06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670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0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5.49284301175375E-5</c:v>
                </c:pt>
                <c:pt idx="2">
                  <c:v>5.49284301175375E-5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0.0171651344117305</c:v>
                </c:pt>
                <c:pt idx="2">
                  <c:v>0.0171651344117305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0.0102990806470383</c:v>
                </c:pt>
                <c:pt idx="2">
                  <c:v>0.0102990806470383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0.000228092633538927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0.0205981612940766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886856"/>
        <c:axId val="1776889912"/>
      </c:barChart>
      <c:catAx>
        <c:axId val="17768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8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88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8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6.6738530510585294E-3</v>
      </c>
      <c r="J6" s="24">
        <f t="shared" ref="J6:J13" si="3">IF(I$32&lt;=1+I$131,I6,B6*H6+J$33*(I6-B6*H6))</f>
        <v>6.6738530510585294E-3</v>
      </c>
      <c r="K6" s="22">
        <f t="shared" ref="K6:K31" si="4">B6</f>
        <v>3.3369265255292643E-2</v>
      </c>
      <c r="L6" s="22">
        <f t="shared" ref="L6:L29" si="5">IF(K6="","",K6*H6)</f>
        <v>6.6738530510585294E-3</v>
      </c>
      <c r="M6" s="177">
        <f t="shared" ref="M6:M31" si="6">J6</f>
        <v>6.6738530510585294E-3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2.6695412204234117E-2</v>
      </c>
      <c r="Z6" s="156">
        <f>Poor!Z6</f>
        <v>0.17</v>
      </c>
      <c r="AA6" s="121">
        <f>$M6*Z6*4</f>
        <v>4.5382200747198006E-3</v>
      </c>
      <c r="AB6" s="156">
        <f>Poor!AB6</f>
        <v>0.17</v>
      </c>
      <c r="AC6" s="121">
        <f t="shared" ref="AC6:AC29" si="7">$M6*AB6*4</f>
        <v>4.5382200747198006E-3</v>
      </c>
      <c r="AD6" s="156">
        <f>Poor!AD6</f>
        <v>0.33</v>
      </c>
      <c r="AE6" s="121">
        <f t="shared" ref="AE6:AE29" si="8">$M6*AD6*4</f>
        <v>8.8094860273972599E-3</v>
      </c>
      <c r="AF6" s="122">
        <f>1-SUM(Z6,AB6,AD6)</f>
        <v>0.32999999999999996</v>
      </c>
      <c r="AG6" s="121">
        <f>$M6*AF6*4</f>
        <v>8.8094860273972581E-3</v>
      </c>
      <c r="AH6" s="123">
        <f>SUM(Z6,AB6,AD6,AF6)</f>
        <v>1</v>
      </c>
      <c r="AI6" s="183">
        <f>SUM(AA6,AC6,AE6,AG6)/4</f>
        <v>6.6738530510585294E-3</v>
      </c>
      <c r="AJ6" s="120">
        <f>(AA6+AC6)/2</f>
        <v>4.5382200747198006E-3</v>
      </c>
      <c r="AK6" s="119">
        <f>(AE6+AG6)/2</f>
        <v>8.8094860273972599E-3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3.0032338729763389E-3</v>
      </c>
      <c r="J7" s="24">
        <f t="shared" si="3"/>
        <v>3.0032338729763389E-3</v>
      </c>
      <c r="K7" s="22">
        <f t="shared" si="4"/>
        <v>1.5016169364881694E-2</v>
      </c>
      <c r="L7" s="22">
        <f t="shared" si="5"/>
        <v>3.0032338729763389E-3</v>
      </c>
      <c r="M7" s="177">
        <f t="shared" si="6"/>
        <v>3.0032338729763389E-3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795.60660466739171</v>
      </c>
      <c r="T7" s="223">
        <f>IF($B$81=0,0,(SUMIF($N$6:$N$28,$U7,M$6:M$28)+SUMIF($N$91:$N$118,$U7,M$91:M$118))*$I$83*Poor!$B$81/$B$81)</f>
        <v>795.60660466739171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1.2012935491905356E-2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1.2012935491905356E-2</v>
      </c>
      <c r="AH7" s="123">
        <f t="shared" ref="AH7:AH30" si="12">SUM(Z7,AB7,AD7,AF7)</f>
        <v>1</v>
      </c>
      <c r="AI7" s="183">
        <f t="shared" ref="AI7:AI30" si="13">SUM(AA7,AC7,AE7,AG7)/4</f>
        <v>3.0032338729763389E-3</v>
      </c>
      <c r="AJ7" s="120">
        <f t="shared" ref="AJ7:AJ31" si="14">(AA7+AC7)/2</f>
        <v>0</v>
      </c>
      <c r="AK7" s="119">
        <f t="shared" ref="AK7:AK31" si="15">(AE7+AG7)/2</f>
        <v>6.0064677459526778E-3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1.8900560398505606E-3</v>
      </c>
      <c r="J8" s="24">
        <f t="shared" si="3"/>
        <v>1.8900560398505606E-3</v>
      </c>
      <c r="K8" s="22">
        <f t="shared" si="4"/>
        <v>9.4502801992528019E-3</v>
      </c>
      <c r="L8" s="22">
        <f t="shared" si="5"/>
        <v>1.8900560398505606E-3</v>
      </c>
      <c r="M8" s="225">
        <f t="shared" si="6"/>
        <v>1.8900560398505606E-3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7.5602241594022422E-3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7.5602241594022422E-3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1.8900560398505606E-3</v>
      </c>
      <c r="AJ8" s="120">
        <f t="shared" si="14"/>
        <v>3.7801120797011211E-3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1.0646229452054791E-2</v>
      </c>
      <c r="J9" s="24">
        <f t="shared" si="3"/>
        <v>1.0646229452054791E-2</v>
      </c>
      <c r="K9" s="22">
        <f t="shared" si="4"/>
        <v>3.5487431506849305E-2</v>
      </c>
      <c r="L9" s="22">
        <f t="shared" si="5"/>
        <v>1.0646229452054791E-2</v>
      </c>
      <c r="M9" s="225">
        <f t="shared" si="6"/>
        <v>1.0646229452054791E-2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222.20753424657536</v>
      </c>
      <c r="T9" s="223">
        <f>IF($B$81=0,0,(SUMIF($N$6:$N$28,$U9,M$6:M$28)+SUMIF($N$91:$N$118,$U9,M$91:M$118))*$I$83*Poor!$B$81/$B$81)</f>
        <v>222.20753424657536</v>
      </c>
      <c r="U9" s="224">
        <v>3</v>
      </c>
      <c r="V9" s="56"/>
      <c r="W9" s="115"/>
      <c r="X9" s="118">
        <f>Poor!X9</f>
        <v>1</v>
      </c>
      <c r="Y9" s="183">
        <f t="shared" si="9"/>
        <v>4.2584917808219165E-2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4.2584917808219165E-2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1.0646229452054791E-2</v>
      </c>
      <c r="AJ9" s="120">
        <f t="shared" si="14"/>
        <v>2.1292458904109583E-2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0.2</v>
      </c>
      <c r="H10" s="24">
        <f t="shared" si="1"/>
        <v>0.2</v>
      </c>
      <c r="I10" s="22">
        <f t="shared" si="2"/>
        <v>1.2409195516811956E-2</v>
      </c>
      <c r="J10" s="24">
        <f t="shared" si="3"/>
        <v>1.2409195516811956E-2</v>
      </c>
      <c r="K10" s="22">
        <f t="shared" si="4"/>
        <v>6.2045977584059775E-2</v>
      </c>
      <c r="L10" s="22">
        <f t="shared" si="5"/>
        <v>1.2409195516811956E-2</v>
      </c>
      <c r="M10" s="225">
        <f t="shared" si="6"/>
        <v>1.2409195516811956E-2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4.9636782067247823E-2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4.9636782067247823E-2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1.2409195516811956E-2</v>
      </c>
      <c r="AJ10" s="120">
        <f t="shared" si="14"/>
        <v>2.4818391033623911E-2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9.8981583063511829E-3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9.8981583063511829E-3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4.9490791531755915E-3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0.2</v>
      </c>
      <c r="H12" s="24">
        <f t="shared" si="1"/>
        <v>0.2</v>
      </c>
      <c r="I12" s="22">
        <f t="shared" si="2"/>
        <v>1.8926630136986301E-3</v>
      </c>
      <c r="J12" s="24">
        <f t="shared" si="3"/>
        <v>1.8926630136986301E-3</v>
      </c>
      <c r="K12" s="22">
        <f t="shared" si="4"/>
        <v>9.4633150684931503E-3</v>
      </c>
      <c r="L12" s="22">
        <f t="shared" si="5"/>
        <v>1.8926630136986301E-3</v>
      </c>
      <c r="M12" s="225">
        <f t="shared" si="6"/>
        <v>1.8926630136986301E-3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1461.3070490448974</v>
      </c>
      <c r="U12" s="224">
        <v>6</v>
      </c>
      <c r="V12" s="56"/>
      <c r="W12" s="117"/>
      <c r="X12" s="118">
        <v>1</v>
      </c>
      <c r="Y12" s="183">
        <f t="shared" si="9"/>
        <v>7.5706520547945202E-3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5.0723368767123288E-3</v>
      </c>
      <c r="AF12" s="122">
        <f>1-SUM(Z12,AB12,AD12)</f>
        <v>0.32999999999999996</v>
      </c>
      <c r="AG12" s="121">
        <f>$M12*AF12*4</f>
        <v>2.4983151780821914E-3</v>
      </c>
      <c r="AH12" s="123">
        <f t="shared" si="12"/>
        <v>1</v>
      </c>
      <c r="AI12" s="183">
        <f t="shared" si="13"/>
        <v>1.8926630136986301E-3</v>
      </c>
      <c r="AJ12" s="120">
        <f t="shared" si="14"/>
        <v>0</v>
      </c>
      <c r="AK12" s="119">
        <f t="shared" si="15"/>
        <v>3.7853260273972601E-3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0.2</v>
      </c>
      <c r="F14" s="22"/>
      <c r="H14" s="24">
        <f t="shared" si="1"/>
        <v>0.2</v>
      </c>
      <c r="I14" s="22">
        <f t="shared" si="2"/>
        <v>7.2851805728518055E-4</v>
      </c>
      <c r="J14" s="24">
        <f>IF(I$32&lt;=1+I131,I14,B14*H14+J$33*(I14-B14*H14))</f>
        <v>7.2851805728518055E-4</v>
      </c>
      <c r="K14" s="22">
        <f t="shared" si="4"/>
        <v>3.6425902864259028E-3</v>
      </c>
      <c r="L14" s="22">
        <f t="shared" si="5"/>
        <v>7.2851805728518055E-4</v>
      </c>
      <c r="M14" s="226">
        <f t="shared" si="6"/>
        <v>7.2851805728518055E-4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2.9140722291407222E-3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2.9140722291407222E-3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7.2851805728518055E-4</v>
      </c>
      <c r="AJ14" s="120">
        <f t="shared" si="14"/>
        <v>1.4570361145703611E-3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0.2</v>
      </c>
      <c r="F15" s="22"/>
      <c r="H15" s="24">
        <f t="shared" si="1"/>
        <v>0.2</v>
      </c>
      <c r="I15" s="22">
        <f t="shared" si="2"/>
        <v>4.8302011457036116E-3</v>
      </c>
      <c r="J15" s="24">
        <f t="shared" ref="J15:J25" si="17">IF(I$32&lt;=1+I131,I15,B15*H15+J$33*(I15-B15*H15))</f>
        <v>4.8302011457036116E-3</v>
      </c>
      <c r="K15" s="22">
        <f t="shared" si="4"/>
        <v>2.4151005728518058E-2</v>
      </c>
      <c r="L15" s="22">
        <f t="shared" si="5"/>
        <v>4.8302011457036116E-3</v>
      </c>
      <c r="M15" s="227">
        <f t="shared" si="6"/>
        <v>4.8302011457036116E-3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1.9320804582814446E-2</v>
      </c>
      <c r="Z15" s="156">
        <f>Poor!Z15</f>
        <v>0.25</v>
      </c>
      <c r="AA15" s="121">
        <f t="shared" si="16"/>
        <v>4.8302011457036116E-3</v>
      </c>
      <c r="AB15" s="156">
        <f>Poor!AB15</f>
        <v>0.25</v>
      </c>
      <c r="AC15" s="121">
        <f t="shared" si="7"/>
        <v>4.8302011457036116E-3</v>
      </c>
      <c r="AD15" s="156">
        <f>Poor!AD15</f>
        <v>0.25</v>
      </c>
      <c r="AE15" s="121">
        <f t="shared" si="8"/>
        <v>4.8302011457036116E-3</v>
      </c>
      <c r="AF15" s="122">
        <f t="shared" si="10"/>
        <v>0.25</v>
      </c>
      <c r="AG15" s="121">
        <f t="shared" si="11"/>
        <v>4.8302011457036116E-3</v>
      </c>
      <c r="AH15" s="123">
        <f t="shared" si="12"/>
        <v>1</v>
      </c>
      <c r="AI15" s="183">
        <f t="shared" si="13"/>
        <v>4.8302011457036116E-3</v>
      </c>
      <c r="AJ15" s="120">
        <f t="shared" si="14"/>
        <v>4.8302011457036116E-3</v>
      </c>
      <c r="AK15" s="119">
        <f t="shared" si="15"/>
        <v>4.8302011457036116E-3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4.7837970112079705E-3</v>
      </c>
      <c r="J16" s="24">
        <f t="shared" si="17"/>
        <v>4.7837970112079705E-3</v>
      </c>
      <c r="K16" s="22">
        <f t="shared" ref="K16:K25" si="21">B16</f>
        <v>2.391898505603985E-2</v>
      </c>
      <c r="L16" s="22">
        <f t="shared" ref="L16:L25" si="22">IF(K16="","",K16*H16)</f>
        <v>4.7837970112079705E-3</v>
      </c>
      <c r="M16" s="227">
        <f t="shared" ref="M16:M25" si="23">J16</f>
        <v>4.7837970112079705E-3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9.106475716064758E-4</v>
      </c>
      <c r="J17" s="24">
        <f t="shared" si="17"/>
        <v>9.106475716064758E-4</v>
      </c>
      <c r="K17" s="22">
        <f t="shared" si="21"/>
        <v>4.5532378580323786E-3</v>
      </c>
      <c r="L17" s="22">
        <f t="shared" si="22"/>
        <v>9.106475716064758E-4</v>
      </c>
      <c r="M17" s="227">
        <f t="shared" si="23"/>
        <v>9.106475716064758E-4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0.2</v>
      </c>
      <c r="F18" s="22"/>
      <c r="H18" s="24">
        <f t="shared" si="19"/>
        <v>0.2</v>
      </c>
      <c r="I18" s="22">
        <f t="shared" si="20"/>
        <v>2.4186799501867994E-3</v>
      </c>
      <c r="J18" s="24">
        <f t="shared" si="17"/>
        <v>2.4186799501867994E-3</v>
      </c>
      <c r="K18" s="22">
        <f t="shared" si="21"/>
        <v>1.2093399750933997E-2</v>
      </c>
      <c r="L18" s="22">
        <f t="shared" si="22"/>
        <v>2.4186799501867994E-3</v>
      </c>
      <c r="M18" s="227">
        <f t="shared" si="23"/>
        <v>2.4186799501867994E-3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7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0.03</v>
      </c>
      <c r="K21" s="22">
        <f t="shared" si="21"/>
        <v>0.01</v>
      </c>
      <c r="L21" s="22">
        <f t="shared" si="22"/>
        <v>0.01</v>
      </c>
      <c r="M21" s="227">
        <f t="shared" si="23"/>
        <v>0.03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22410.018930449514</v>
      </c>
      <c r="T23" s="179">
        <f>SUM(T7:T22)</f>
        <v>23679.223629812779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0.30182811852186575</v>
      </c>
      <c r="J30" s="232">
        <f>IF(I$32&lt;=1,I30,1-SUM(J6:J29))</f>
        <v>0.30182811852186575</v>
      </c>
      <c r="K30" s="22">
        <f t="shared" si="4"/>
        <v>0.47410426400996258</v>
      </c>
      <c r="L30" s="22">
        <f>IF(L124=L119,0,IF(K30="",0,(L119-L124)/(B119-B124)*K30))</f>
        <v>6.1727192853853932E-2</v>
      </c>
      <c r="M30" s="175">
        <f t="shared" si="6"/>
        <v>0.30182811852186575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6834.1017509941339</v>
      </c>
      <c r="T30" s="235">
        <f t="shared" si="24"/>
        <v>5564.8970516308691</v>
      </c>
      <c r="U30" s="56"/>
      <c r="V30" s="56"/>
      <c r="W30" s="110"/>
      <c r="X30" s="118"/>
      <c r="Y30" s="183">
        <f>M30*4</f>
        <v>1.207312474087463</v>
      </c>
      <c r="Z30" s="122">
        <f>IF($Y30=0,0,AA30/($Y$30))</f>
        <v>-3.7158624519684456E-2</v>
      </c>
      <c r="AA30" s="187">
        <f>IF(AA79*4/$I$83+SUM(AA6:AA29)&lt;1,AA79*4/$I$83,1-SUM(AA6:AA29))</f>
        <v>-4.4862070902547312E-2</v>
      </c>
      <c r="AB30" s="122">
        <f>IF($Y30=0,0,AC30/($Y$30))</f>
        <v>-3.7158624519684456E-2</v>
      </c>
      <c r="AC30" s="187">
        <f>IF(AC79*4/$I$83+SUM(AC6:AC29)&lt;1,AC79*4/$I$83,1-SUM(AC6:AC29))</f>
        <v>-4.4862070902547312E-2</v>
      </c>
      <c r="AD30" s="122">
        <f>IF($Y30=0,0,AE30/($Y$30))</f>
        <v>-3.7158624519684456E-2</v>
      </c>
      <c r="AE30" s="187">
        <f>IF(AE79*4/$I$83+SUM(AE6:AE29)&lt;1,AE79*4/$I$83,1-SUM(AE6:AE29))</f>
        <v>-4.4862070902547312E-2</v>
      </c>
      <c r="AF30" s="122">
        <f>IF($Y30=0,0,AG30/($Y$30))</f>
        <v>-3.7158624519684456E-2</v>
      </c>
      <c r="AG30" s="187">
        <f>IF(AG79*4/$I$83+SUM(AG6:AG29)&lt;1,AG79*4/$I$83,1-SUM(AG6:AG29))</f>
        <v>-4.4862070902547312E-2</v>
      </c>
      <c r="AH30" s="123">
        <f t="shared" si="12"/>
        <v>-0.14863449807873783</v>
      </c>
      <c r="AI30" s="183">
        <f t="shared" si="13"/>
        <v>-4.4862070902547312E-2</v>
      </c>
      <c r="AJ30" s="120">
        <f t="shared" si="14"/>
        <v>-4.4862070902547312E-2</v>
      </c>
      <c r="AK30" s="119">
        <f t="shared" si="15"/>
        <v>-4.4862070902547312E-2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0.28968396590949896</v>
      </c>
      <c r="K31" s="22" t="str">
        <f t="shared" si="4"/>
        <v/>
      </c>
      <c r="L31" s="22">
        <f>(1-SUM(L6:L30))</f>
        <v>0.43225895493420274</v>
      </c>
      <c r="M31" s="242">
        <f t="shared" si="6"/>
        <v>0.28968396590949896</v>
      </c>
      <c r="N31" s="167">
        <f>M31*I83</f>
        <v>5564.8970516308682</v>
      </c>
      <c r="P31" s="22"/>
      <c r="Q31" s="239" t="s">
        <v>142</v>
      </c>
      <c r="R31" s="235">
        <f t="shared" si="24"/>
        <v>0</v>
      </c>
      <c r="S31" s="235">
        <f t="shared" si="24"/>
        <v>18323.3684176608</v>
      </c>
      <c r="T31" s="235">
        <f>IF(T25&gt;T$23,T25-T$23,0)</f>
        <v>17054.163718297536</v>
      </c>
      <c r="U31" s="243"/>
      <c r="V31" s="56"/>
      <c r="W31" s="129" t="s">
        <v>84</v>
      </c>
      <c r="X31" s="130"/>
      <c r="Y31" s="121">
        <f>M31*4</f>
        <v>1.1587358636379959</v>
      </c>
      <c r="Z31" s="131"/>
      <c r="AA31" s="132">
        <f>1-AA32+IF($Y32&lt;0,$Y32/4,0)</f>
        <v>0.60593869816081125</v>
      </c>
      <c r="AB31" s="131"/>
      <c r="AC31" s="133">
        <f>1-AC32+IF($Y32&lt;0,$Y32/4,0)</f>
        <v>0.71270470827289079</v>
      </c>
      <c r="AD31" s="134"/>
      <c r="AE31" s="133">
        <f>1-AE32+IF($Y32&lt;0,$Y32/4,0)</f>
        <v>0.70627517767264181</v>
      </c>
      <c r="AF31" s="134"/>
      <c r="AG31" s="133">
        <f>1-AG32+IF($Y32&lt;0,$Y32/4,0)</f>
        <v>0.69683626387936659</v>
      </c>
      <c r="AH31" s="123"/>
      <c r="AI31" s="182">
        <f>SUM(AA31,AC31,AE31,AG31)/4</f>
        <v>0.68043871199642758</v>
      </c>
      <c r="AJ31" s="135">
        <f t="shared" si="14"/>
        <v>0.65932170321685102</v>
      </c>
      <c r="AK31" s="136">
        <f t="shared" si="15"/>
        <v>0.70155572077600414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0.71031603409050104</v>
      </c>
      <c r="J32" s="17"/>
      <c r="L32" s="22">
        <f>SUM(L6:L30)</f>
        <v>0.56774104506579726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38784.568417660805</v>
      </c>
      <c r="T32" s="235">
        <f t="shared" si="24"/>
        <v>37515.363718297536</v>
      </c>
      <c r="U32" s="56"/>
      <c r="V32" s="56"/>
      <c r="W32" s="110"/>
      <c r="X32" s="118"/>
      <c r="Y32" s="115">
        <f>SUM(Y6:Y31)</f>
        <v>3.8237417733499375</v>
      </c>
      <c r="Z32" s="137"/>
      <c r="AA32" s="138">
        <f>SUM(AA6:AA30)</f>
        <v>0.3940613018391888</v>
      </c>
      <c r="AB32" s="137"/>
      <c r="AC32" s="139">
        <f>SUM(AC6:AC30)</f>
        <v>0.28729529172710916</v>
      </c>
      <c r="AD32" s="137"/>
      <c r="AE32" s="139">
        <f>SUM(AE6:AE30)</f>
        <v>0.29372482232735819</v>
      </c>
      <c r="AF32" s="137"/>
      <c r="AG32" s="139">
        <f>SUM(AG6:AG30)</f>
        <v>0.30316373612063341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3.354923258589571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11489.266666666665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884.99999999999989</v>
      </c>
      <c r="K49" s="40">
        <f t="shared" si="33"/>
        <v>0</v>
      </c>
      <c r="L49" s="22">
        <f t="shared" si="34"/>
        <v>0</v>
      </c>
      <c r="M49" s="24">
        <f t="shared" si="35"/>
        <v>2.672101449275362E-2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221.24999999999997</v>
      </c>
      <c r="AB49" s="156">
        <f>Poor!AB49</f>
        <v>0.25</v>
      </c>
      <c r="AC49" s="147">
        <f t="shared" si="41"/>
        <v>221.24999999999997</v>
      </c>
      <c r="AD49" s="156">
        <f>Poor!AD49</f>
        <v>0.25</v>
      </c>
      <c r="AE49" s="147">
        <f t="shared" si="42"/>
        <v>221.24999999999997</v>
      </c>
      <c r="AF49" s="122">
        <f t="shared" si="29"/>
        <v>0.25</v>
      </c>
      <c r="AG49" s="147">
        <f t="shared" si="36"/>
        <v>221.24999999999997</v>
      </c>
      <c r="AH49" s="123">
        <f t="shared" si="37"/>
        <v>1</v>
      </c>
      <c r="AI49" s="112">
        <f t="shared" si="37"/>
        <v>884.99999999999989</v>
      </c>
      <c r="AJ49" s="148">
        <f t="shared" si="38"/>
        <v>442.49999999999994</v>
      </c>
      <c r="AK49" s="147">
        <f t="shared" si="39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0.47463768115942029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20147.400000000001</v>
      </c>
      <c r="J65" s="39">
        <f>SUM(J37:J64)</f>
        <v>20147.400000000001</v>
      </c>
      <c r="K65" s="40">
        <f>SUM(K37:K64)</f>
        <v>1</v>
      </c>
      <c r="L65" s="22">
        <f>SUM(L37:L64)</f>
        <v>0.58159420289855068</v>
      </c>
      <c r="M65" s="24">
        <f>SUM(M37:M64)</f>
        <v>0.60831521739130434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3371.85</v>
      </c>
      <c r="AB65" s="137"/>
      <c r="AC65" s="153">
        <f>SUM(AC37:AC64)</f>
        <v>3371.85</v>
      </c>
      <c r="AD65" s="137"/>
      <c r="AE65" s="153">
        <f>SUM(AE37:AE64)</f>
        <v>3371.85</v>
      </c>
      <c r="AF65" s="137"/>
      <c r="AG65" s="153">
        <f>SUM(AG37:AG64)</f>
        <v>3371.85</v>
      </c>
      <c r="AH65" s="137"/>
      <c r="AI65" s="153">
        <f>SUM(AI37:AI64)</f>
        <v>13487.4</v>
      </c>
      <c r="AJ65" s="153">
        <f>SUM(AJ37:AJ64)</f>
        <v>6743.7</v>
      </c>
      <c r="AK65" s="153">
        <f>SUM(AK37:AK64)</f>
        <v>6743.7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5798.1890768036674</v>
      </c>
      <c r="J71" s="51">
        <f t="shared" si="44"/>
        <v>5798.1890768036674</v>
      </c>
      <c r="K71" s="40">
        <f t="shared" ref="K71:K72" si="47">B71/B$76</f>
        <v>0.29398148148148151</v>
      </c>
      <c r="L71" s="22">
        <f t="shared" si="45"/>
        <v>0.14834508082136677</v>
      </c>
      <c r="M71" s="24">
        <f t="shared" ref="M71:M72" si="48">J71/B$76</f>
        <v>0.1750660953141204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0.52355072463768115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5798.1890768036674</v>
      </c>
      <c r="J74" s="51">
        <f t="shared" si="44"/>
        <v>5798.1890768036674</v>
      </c>
      <c r="K74" s="40">
        <f>B74/B$76</f>
        <v>0.16666034092811241</v>
      </c>
      <c r="L74" s="22">
        <f t="shared" si="45"/>
        <v>3.5802955273178193E-2</v>
      </c>
      <c r="M74" s="24">
        <f>J74/B$76</f>
        <v>0.1750660953141204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-215.45273079908338</v>
      </c>
      <c r="AB74" s="156"/>
      <c r="AC74" s="147">
        <f>AC30*$I$83/4</f>
        <v>-215.45273079908338</v>
      </c>
      <c r="AD74" s="156"/>
      <c r="AE74" s="147">
        <f>AE30*$I$83/4</f>
        <v>-215.45273079908338</v>
      </c>
      <c r="AF74" s="156"/>
      <c r="AG74" s="147">
        <f>AG30*$I$83/4</f>
        <v>-215.45273079908338</v>
      </c>
      <c r="AH74" s="155"/>
      <c r="AI74" s="147">
        <f>SUM(AA74,AC74,AE74,AG74)</f>
        <v>-861.81092319633353</v>
      </c>
      <c r="AJ74" s="148">
        <f>(AA74+AC74)</f>
        <v>-430.90546159816677</v>
      </c>
      <c r="AK74" s="147">
        <f>(AE74+AG74)</f>
        <v>-430.90546159816677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20147.400000000001</v>
      </c>
      <c r="J76" s="51">
        <f t="shared" si="44"/>
        <v>20147.400000000001</v>
      </c>
      <c r="K76" s="40">
        <f>SUM(K70:K75)</f>
        <v>1.3163011332100669</v>
      </c>
      <c r="L76" s="22">
        <f>SUM(L70:L75)</f>
        <v>0.61739715817172902</v>
      </c>
      <c r="M76" s="24">
        <f>SUM(M70:M75)</f>
        <v>0.78338131270542477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3371.85</v>
      </c>
      <c r="AB76" s="137"/>
      <c r="AC76" s="153">
        <f>AC65</f>
        <v>3371.85</v>
      </c>
      <c r="AD76" s="137"/>
      <c r="AE76" s="153">
        <f>AE65</f>
        <v>3371.85</v>
      </c>
      <c r="AF76" s="137"/>
      <c r="AG76" s="153">
        <f>AG65</f>
        <v>3371.85</v>
      </c>
      <c r="AH76" s="137"/>
      <c r="AI76" s="153">
        <f>SUM(AA76,AC76,AE76,AG76)</f>
        <v>13487.4</v>
      </c>
      <c r="AJ76" s="154">
        <f>SUM(AA76,AC76)</f>
        <v>6743.7</v>
      </c>
      <c r="AK76" s="154">
        <f>SUM(AE76,AG76)</f>
        <v>6743.7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11489.266666666665</v>
      </c>
      <c r="K77" s="40"/>
      <c r="L77" s="22">
        <f>-(L131*G$37*F$9/F$7)/B$130</f>
        <v>-0.34689814814814818</v>
      </c>
      <c r="M77" s="24">
        <f>-J77/B$76</f>
        <v>-0.34689814814814807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2910.0561919930333</v>
      </c>
      <c r="AB77" s="112"/>
      <c r="AC77" s="111">
        <f>AC31*$I$83/4</f>
        <v>3422.806227209619</v>
      </c>
      <c r="AD77" s="112"/>
      <c r="AE77" s="111">
        <f>AE31*$I$83/4</f>
        <v>3391.9280288181744</v>
      </c>
      <c r="AF77" s="112"/>
      <c r="AG77" s="111">
        <f>AG31*$I$83/4</f>
        <v>3346.5970908649106</v>
      </c>
      <c r="AH77" s="110"/>
      <c r="AI77" s="154">
        <f>SUM(AA77,AC77,AE77,AG77)</f>
        <v>13071.387538885738</v>
      </c>
      <c r="AJ77" s="153">
        <f>SUM(AA77,AC77)</f>
        <v>6332.8624192026527</v>
      </c>
      <c r="AK77" s="160">
        <f>SUM(AE77,AG77)</f>
        <v>6738.525119683085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-215.45273079908338</v>
      </c>
      <c r="AB79" s="112"/>
      <c r="AC79" s="112">
        <f>AA79-AA74+AC65-AC70</f>
        <v>-215.45273079908338</v>
      </c>
      <c r="AD79" s="112"/>
      <c r="AE79" s="112">
        <f>AC79-AC74+AE65-AE70</f>
        <v>-215.45273079908338</v>
      </c>
      <c r="AF79" s="112"/>
      <c r="AG79" s="112">
        <f>AE79-AE74+AG65-AG70</f>
        <v>-215.45273079908338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4.606919183792875E-2</v>
      </c>
      <c r="K103" s="22">
        <f t="shared" si="56"/>
        <v>0</v>
      </c>
      <c r="L103" s="22">
        <f t="shared" si="57"/>
        <v>0</v>
      </c>
      <c r="M103" s="229">
        <f t="shared" si="49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1.3502177377312949</v>
      </c>
      <c r="L105" s="22">
        <f t="shared" si="57"/>
        <v>0</v>
      </c>
      <c r="M105" s="229">
        <f t="shared" si="49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1.0487846730344472</v>
      </c>
      <c r="J119" s="24">
        <f>SUM(J91:J118)</f>
        <v>1.0487846730344472</v>
      </c>
      <c r="K119" s="22">
        <f>SUM(K91:K118)</f>
        <v>2.8447335543041019</v>
      </c>
      <c r="L119" s="22">
        <f>SUM(L91:L118)</f>
        <v>1.0027154811965184</v>
      </c>
      <c r="M119" s="57">
        <f t="shared" si="49"/>
        <v>1.0487846730344472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0.30182811852186575</v>
      </c>
      <c r="J125" s="238">
        <f>IF(SUMPRODUCT($B$124:$B125,$H$124:$H125)&lt;J$119,($B125*$H125),IF(SUMPRODUCT($B$124:$B124,$H$124:$H124)&lt;J$119,J$119-SUMPRODUCT($B$124:$B124,$H$124:$H124),0))</f>
        <v>0.30182811852186575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0.25575892668393696</v>
      </c>
      <c r="M125" s="241">
        <f t="shared" si="66"/>
        <v>0.30182811852186575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0.30182811852186575</v>
      </c>
      <c r="J128" s="229">
        <f>(J30)</f>
        <v>0.30182811852186575</v>
      </c>
      <c r="K128" s="29">
        <f>(B128)</f>
        <v>0.47410426400996258</v>
      </c>
      <c r="L128" s="29">
        <f>IF(L124=L119,0,(L119-L124)/(B119-B124)*K128)</f>
        <v>6.1727192853853932E-2</v>
      </c>
      <c r="M128" s="241">
        <f t="shared" si="66"/>
        <v>0.30182811852186575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1.0487846730344472</v>
      </c>
      <c r="J130" s="229">
        <f>(J119)</f>
        <v>1.0487846730344472</v>
      </c>
      <c r="K130" s="29">
        <f>(B130)</f>
        <v>2.8447335543041019</v>
      </c>
      <c r="L130" s="29">
        <f>(L119)</f>
        <v>1.0027154811965184</v>
      </c>
      <c r="M130" s="241">
        <f t="shared" si="66"/>
        <v>1.0487846730344472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0.59808048603817721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2.0688944458281441E-2</v>
      </c>
      <c r="J6" s="24">
        <f t="shared" ref="J6:J13" si="3">IF(I$32&lt;=1+I$131,I6,B6*H6+J$33*(I6-B6*H6))</f>
        <v>2.0688944458281441E-2</v>
      </c>
      <c r="K6" s="22">
        <f t="shared" ref="K6:K31" si="4">B6</f>
        <v>0.10344472229140719</v>
      </c>
      <c r="L6" s="22">
        <f t="shared" ref="L6:L29" si="5">IF(K6="","",K6*H6)</f>
        <v>2.0688944458281441E-2</v>
      </c>
      <c r="M6" s="225">
        <f t="shared" ref="M6:M31" si="6">J6</f>
        <v>2.0688944458281441E-2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8.2755777833125765E-2</v>
      </c>
      <c r="Z6" s="116">
        <v>0.17</v>
      </c>
      <c r="AA6" s="121">
        <f>$M6*Z6*4</f>
        <v>1.4068482231631381E-2</v>
      </c>
      <c r="AB6" s="116">
        <v>0.17</v>
      </c>
      <c r="AC6" s="121">
        <f t="shared" ref="AC6:AC29" si="7">$M6*AB6*4</f>
        <v>1.4068482231631381E-2</v>
      </c>
      <c r="AD6" s="116">
        <v>0.33</v>
      </c>
      <c r="AE6" s="121">
        <f t="shared" ref="AE6:AE29" si="8">$M6*AD6*4</f>
        <v>2.7309406684931505E-2</v>
      </c>
      <c r="AF6" s="122">
        <f>1-SUM(Z6,AB6,AD6)</f>
        <v>0.32999999999999996</v>
      </c>
      <c r="AG6" s="121">
        <f>$M6*AF6*4</f>
        <v>2.7309406684931498E-2</v>
      </c>
      <c r="AH6" s="123">
        <f>SUM(Z6,AB6,AD6,AF6)</f>
        <v>1</v>
      </c>
      <c r="AI6" s="183">
        <f>SUM(AA6,AC6,AE6,AG6)/4</f>
        <v>2.0688944458281441E-2</v>
      </c>
      <c r="AJ6" s="120">
        <f>(AA6+AC6)/2</f>
        <v>1.4068482231631381E-2</v>
      </c>
      <c r="AK6" s="119">
        <f>(AE6+AG6)/2</f>
        <v>2.7309406684931502E-2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1.2012935491905356E-2</v>
      </c>
      <c r="J7" s="24">
        <f t="shared" si="3"/>
        <v>1.2012935491905356E-2</v>
      </c>
      <c r="K7" s="22">
        <f t="shared" si="4"/>
        <v>6.0064677459526775E-2</v>
      </c>
      <c r="L7" s="22">
        <f t="shared" si="5"/>
        <v>1.2012935491905356E-2</v>
      </c>
      <c r="M7" s="225">
        <f t="shared" si="6"/>
        <v>1.2012935491905356E-2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638.65817996578323</v>
      </c>
      <c r="T7" s="223">
        <f>IF($B$81=0,0,(SUMIF($N$6:$N$28,$U7,M$6:M$28)+SUMIF($N$91:$N$118,$U7,M$91:M$118))*$I$83*Poor!$B$81/$B$81)</f>
        <v>640.05768027168324</v>
      </c>
      <c r="U7" s="224">
        <v>1</v>
      </c>
      <c r="V7" s="56"/>
      <c r="W7" s="115"/>
      <c r="X7" s="124">
        <v>4</v>
      </c>
      <c r="Y7" s="183">
        <f t="shared" ref="Y7:Y29" si="9">M7*4</f>
        <v>4.8051741967621422E-2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4.8051741967621422E-2</v>
      </c>
      <c r="AH7" s="123">
        <f t="shared" ref="AH7:AH30" si="12">SUM(Z7,AB7,AD7,AF7)</f>
        <v>1</v>
      </c>
      <c r="AI7" s="183">
        <f t="shared" ref="AI7:AI30" si="13">SUM(AA7,AC7,AE7,AG7)/4</f>
        <v>1.2012935491905356E-2</v>
      </c>
      <c r="AJ7" s="120">
        <f t="shared" ref="AJ7:AJ31" si="14">(AA7+AC7)/2</f>
        <v>0</v>
      </c>
      <c r="AK7" s="119">
        <f t="shared" ref="AK7:AK31" si="15">(AE7+AG7)/2</f>
        <v>2.4025870983810711E-2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9.4502801992528028E-4</v>
      </c>
      <c r="J8" s="24">
        <f t="shared" si="3"/>
        <v>9.4502801992528028E-4</v>
      </c>
      <c r="K8" s="22">
        <f t="shared" si="4"/>
        <v>4.7251400996264009E-3</v>
      </c>
      <c r="L8" s="22">
        <f t="shared" si="5"/>
        <v>9.4502801992528028E-4</v>
      </c>
      <c r="M8" s="225">
        <f t="shared" si="6"/>
        <v>9.4502801992528028E-4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9.7999999999999972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3.7801120797011211E-3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3.7801120797011211E-3</v>
      </c>
      <c r="AH8" s="123">
        <f t="shared" si="12"/>
        <v>1</v>
      </c>
      <c r="AI8" s="183">
        <f t="shared" si="13"/>
        <v>9.4502801992528028E-4</v>
      </c>
      <c r="AJ8" s="120">
        <f t="shared" si="14"/>
        <v>0</v>
      </c>
      <c r="AK8" s="119">
        <f t="shared" si="15"/>
        <v>1.8900560398505606E-3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646.36500805801768</v>
      </c>
      <c r="T9" s="223">
        <f>IF($B$81=0,0,(SUMIF($N$6:$N$28,$U9,M$6:M$28)+SUMIF($N$91:$N$118,$U9,M$91:M$118))*$I$83*Poor!$B$81/$B$81)</f>
        <v>646.36500805801768</v>
      </c>
      <c r="U9" s="224">
        <v>3</v>
      </c>
      <c r="V9" s="56"/>
      <c r="W9" s="115"/>
      <c r="X9" s="124">
        <v>1</v>
      </c>
      <c r="Y9" s="183">
        <f t="shared" si="9"/>
        <v>4.5423912328767121E-2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4.5423912328767121E-2</v>
      </c>
      <c r="AH9" s="123">
        <f t="shared" si="12"/>
        <v>1</v>
      </c>
      <c r="AI9" s="183">
        <f t="shared" si="13"/>
        <v>1.135597808219178E-2</v>
      </c>
      <c r="AJ9" s="120">
        <f t="shared" si="14"/>
        <v>0</v>
      </c>
      <c r="AK9" s="119">
        <f t="shared" si="15"/>
        <v>2.2711956164383561E-2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0.2</v>
      </c>
      <c r="H10" s="24">
        <f t="shared" si="1"/>
        <v>0.2</v>
      </c>
      <c r="I10" s="22">
        <f t="shared" si="2"/>
        <v>7.0909688667496881E-3</v>
      </c>
      <c r="J10" s="24">
        <f t="shared" si="3"/>
        <v>7.0909688667496881E-3</v>
      </c>
      <c r="K10" s="22">
        <f t="shared" si="4"/>
        <v>3.5454844333748438E-2</v>
      </c>
      <c r="L10" s="22">
        <f t="shared" si="5"/>
        <v>7.0909688667496881E-3</v>
      </c>
      <c r="M10" s="225">
        <f t="shared" si="6"/>
        <v>7.0909688667496881E-3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2.36</v>
      </c>
      <c r="T10" s="223">
        <f>IF($B$81=0,0,(SUMIF($N$6:$N$28,$U10,M$6:M$28)+SUMIF($N$91:$N$118,$U10,M$91:M$118))*$I$83*Poor!$B$81/$B$81)</f>
        <v>2.36</v>
      </c>
      <c r="U10" s="224">
        <v>4</v>
      </c>
      <c r="V10" s="56"/>
      <c r="W10" s="115"/>
      <c r="X10" s="124">
        <v>1</v>
      </c>
      <c r="Y10" s="183">
        <f t="shared" si="9"/>
        <v>2.8363875466998752E-2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2.8363875466998752E-2</v>
      </c>
      <c r="AH10" s="123">
        <f t="shared" si="12"/>
        <v>1</v>
      </c>
      <c r="AI10" s="183">
        <f t="shared" si="13"/>
        <v>7.0909688667496881E-3</v>
      </c>
      <c r="AJ10" s="120">
        <f t="shared" si="14"/>
        <v>0</v>
      </c>
      <c r="AK10" s="119">
        <f t="shared" si="15"/>
        <v>1.4181937733499376E-2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1180</v>
      </c>
      <c r="T11" s="223">
        <f>IF($B$81=0,0,(SUMIF($N$6:$N$28,$U11,M$6:M$28)+SUMIF($N$91:$N$118,$U11,M$91:M$118))*$I$83*Poor!$B$81/$B$81)</f>
        <v>1180</v>
      </c>
      <c r="U11" s="224">
        <v>5</v>
      </c>
      <c r="V11" s="56"/>
      <c r="W11" s="115"/>
      <c r="X11" s="124">
        <v>1</v>
      </c>
      <c r="Y11" s="183">
        <f t="shared" si="9"/>
        <v>9.8981583063511829E-3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9.8981583063511829E-3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0</v>
      </c>
      <c r="AK11" s="119">
        <f t="shared" si="15"/>
        <v>4.9490791531755915E-3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0.2</v>
      </c>
      <c r="H12" s="24">
        <f t="shared" si="1"/>
        <v>0.2</v>
      </c>
      <c r="I12" s="22">
        <f t="shared" si="2"/>
        <v>9.4633150684931503E-4</v>
      </c>
      <c r="J12" s="24">
        <f t="shared" si="3"/>
        <v>9.4633150684931503E-4</v>
      </c>
      <c r="K12" s="22">
        <f t="shared" si="4"/>
        <v>4.7316575342465752E-3</v>
      </c>
      <c r="L12" s="22">
        <f t="shared" si="5"/>
        <v>9.4633150684931503E-4</v>
      </c>
      <c r="M12" s="225">
        <f t="shared" si="6"/>
        <v>9.4633150684931503E-4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1756.9937364598075</v>
      </c>
      <c r="U12" s="224">
        <v>6</v>
      </c>
      <c r="V12" s="56"/>
      <c r="W12" s="117"/>
      <c r="X12" s="118"/>
      <c r="Y12" s="183">
        <f t="shared" si="9"/>
        <v>3.7853260273972601E-3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2.5361684383561644E-3</v>
      </c>
      <c r="AF12" s="122">
        <f>1-SUM(Z12,AB12,AD12)</f>
        <v>0.32999999999999996</v>
      </c>
      <c r="AG12" s="121">
        <f>$M12*AF12*4</f>
        <v>1.2491575890410957E-3</v>
      </c>
      <c r="AH12" s="123">
        <f t="shared" si="12"/>
        <v>1</v>
      </c>
      <c r="AI12" s="183">
        <f t="shared" si="13"/>
        <v>9.4633150684931503E-4</v>
      </c>
      <c r="AJ12" s="120">
        <f t="shared" si="14"/>
        <v>0</v>
      </c>
      <c r="AK12" s="119">
        <f t="shared" si="15"/>
        <v>1.8926630136986301E-3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0.2</v>
      </c>
      <c r="F14" s="22"/>
      <c r="H14" s="24">
        <f t="shared" si="1"/>
        <v>0.2</v>
      </c>
      <c r="I14" s="22">
        <f t="shared" si="2"/>
        <v>3.6425902864259028E-4</v>
      </c>
      <c r="J14" s="24">
        <f>IF(I$32&lt;=1+I131,I14,B14*H14+J$33*(I14-B14*H14))</f>
        <v>3.6425902864259028E-4</v>
      </c>
      <c r="K14" s="22">
        <f t="shared" si="4"/>
        <v>1.8212951432129514E-3</v>
      </c>
      <c r="L14" s="22">
        <f t="shared" si="5"/>
        <v>3.6425902864259028E-4</v>
      </c>
      <c r="M14" s="226">
        <f t="shared" si="6"/>
        <v>3.6425902864259028E-4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1.4570361145703611E-3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3.6425902864259028E-4</v>
      </c>
      <c r="AJ14" s="120">
        <f t="shared" si="14"/>
        <v>7.2851805728518055E-4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0.2</v>
      </c>
      <c r="F15" s="22"/>
      <c r="H15" s="24">
        <f t="shared" si="1"/>
        <v>0.2</v>
      </c>
      <c r="I15" s="22">
        <f t="shared" si="2"/>
        <v>6.0377514321295154E-3</v>
      </c>
      <c r="J15" s="24">
        <f>IF(I$32&lt;=1+I131,I15,B15*H15+J$33*(I15-B15*H15))</f>
        <v>6.0377514321295154E-3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6.0377514321295154E-3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2.4151005728518062E-2</v>
      </c>
      <c r="Z15" s="116">
        <v>0.25</v>
      </c>
      <c r="AA15" s="121">
        <f t="shared" si="16"/>
        <v>6.0377514321295154E-3</v>
      </c>
      <c r="AB15" s="116">
        <v>0.25</v>
      </c>
      <c r="AC15" s="121">
        <f t="shared" si="7"/>
        <v>6.0377514321295154E-3</v>
      </c>
      <c r="AD15" s="116">
        <v>0.25</v>
      </c>
      <c r="AE15" s="121">
        <f t="shared" si="8"/>
        <v>6.0377514321295154E-3</v>
      </c>
      <c r="AF15" s="122">
        <f t="shared" si="10"/>
        <v>0.25</v>
      </c>
      <c r="AG15" s="121">
        <f t="shared" si="11"/>
        <v>6.0377514321295154E-3</v>
      </c>
      <c r="AH15" s="123">
        <f t="shared" si="12"/>
        <v>1</v>
      </c>
      <c r="AI15" s="183">
        <f t="shared" si="13"/>
        <v>6.0377514321295154E-3</v>
      </c>
      <c r="AJ15" s="120">
        <f t="shared" si="14"/>
        <v>6.0377514321295154E-3</v>
      </c>
      <c r="AK15" s="119">
        <f t="shared" si="15"/>
        <v>6.0377514321295154E-3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0.2</v>
      </c>
      <c r="F16" s="22"/>
      <c r="H16" s="24">
        <f t="shared" si="1"/>
        <v>0.2</v>
      </c>
      <c r="I16" s="22">
        <f t="shared" si="2"/>
        <v>3.252981967621419E-3</v>
      </c>
      <c r="J16" s="24">
        <f>IF(I$32&lt;=1+I131,I16,B16*H16+J$33*(I16-B16*H16))</f>
        <v>3.252981967621419E-3</v>
      </c>
      <c r="K16" s="22">
        <f t="shared" si="4"/>
        <v>1.6264909838107095E-2</v>
      </c>
      <c r="L16" s="22">
        <f t="shared" si="5"/>
        <v>3.252981967621419E-3</v>
      </c>
      <c r="M16" s="225">
        <f t="shared" si="6"/>
        <v>3.252981967621419E-3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1.3011927870485676E-2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1.3011927870485676E-2</v>
      </c>
      <c r="AH16" s="123">
        <f t="shared" si="12"/>
        <v>1</v>
      </c>
      <c r="AI16" s="183">
        <f t="shared" si="13"/>
        <v>3.252981967621419E-3</v>
      </c>
      <c r="AJ16" s="120">
        <f t="shared" si="14"/>
        <v>0</v>
      </c>
      <c r="AK16" s="119">
        <f t="shared" si="15"/>
        <v>6.5059639352428381E-3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0.2</v>
      </c>
      <c r="F17" s="22"/>
      <c r="H17" s="24">
        <f t="shared" si="1"/>
        <v>0.2</v>
      </c>
      <c r="I17" s="22">
        <f t="shared" si="2"/>
        <v>4.3711083437110833E-4</v>
      </c>
      <c r="J17" s="24">
        <f t="shared" ref="J17:J25" si="17">IF(I$32&lt;=1+I131,I17,B17*H17+J$33*(I17-B17*H17))</f>
        <v>4.3711083437110833E-4</v>
      </c>
      <c r="K17" s="22">
        <f t="shared" si="4"/>
        <v>1.8212951432129514E-3</v>
      </c>
      <c r="L17" s="22">
        <f t="shared" si="5"/>
        <v>3.6425902864259028E-4</v>
      </c>
      <c r="M17" s="226">
        <f t="shared" si="6"/>
        <v>4.3711083437110833E-4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1.7484433374844333E-3</v>
      </c>
      <c r="Z17" s="116">
        <v>0.29409999999999997</v>
      </c>
      <c r="AA17" s="121">
        <f t="shared" si="16"/>
        <v>5.1421718555417183E-4</v>
      </c>
      <c r="AB17" s="116">
        <v>0.17649999999999999</v>
      </c>
      <c r="AC17" s="121">
        <f t="shared" si="7"/>
        <v>3.0860024906600249E-4</v>
      </c>
      <c r="AD17" s="116">
        <v>0.23530000000000001</v>
      </c>
      <c r="AE17" s="121">
        <f t="shared" si="8"/>
        <v>4.1140871731008718E-4</v>
      </c>
      <c r="AF17" s="122">
        <f t="shared" si="10"/>
        <v>0.29410000000000003</v>
      </c>
      <c r="AG17" s="121">
        <f t="shared" si="11"/>
        <v>5.1421718555417194E-4</v>
      </c>
      <c r="AH17" s="123">
        <f t="shared" si="12"/>
        <v>1</v>
      </c>
      <c r="AI17" s="183">
        <f t="shared" si="13"/>
        <v>4.3711083437110833E-4</v>
      </c>
      <c r="AJ17" s="120">
        <f t="shared" si="14"/>
        <v>4.1140871731008713E-4</v>
      </c>
      <c r="AK17" s="119">
        <f t="shared" si="15"/>
        <v>4.6281295143212953E-4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9.3026151930261528E-4</v>
      </c>
      <c r="J18" s="24">
        <f t="shared" si="17"/>
        <v>9.3026151930261528E-4</v>
      </c>
      <c r="K18" s="22">
        <f t="shared" ref="K18:K20" si="21">B18</f>
        <v>4.6513075965130763E-3</v>
      </c>
      <c r="L18" s="22">
        <f t="shared" ref="L18:L20" si="22">IF(K18="","",K18*H18)</f>
        <v>9.3026151930261528E-4</v>
      </c>
      <c r="M18" s="226">
        <f t="shared" ref="M18:M20" si="23">J18</f>
        <v>9.3026151930261528E-4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3.7210460772104611E-3</v>
      </c>
      <c r="Z18" s="116">
        <v>1.2941</v>
      </c>
      <c r="AA18" s="121">
        <f t="shared" ref="AA18:AA20" si="25">$M18*Z18*4</f>
        <v>4.8154057285180575E-3</v>
      </c>
      <c r="AB18" s="116">
        <v>1.1765000000000001</v>
      </c>
      <c r="AC18" s="121">
        <f t="shared" ref="AC18:AC20" si="26">$M18*AB18*4</f>
        <v>4.3778107098381078E-3</v>
      </c>
      <c r="AD18" s="116">
        <v>1.2353000000000001</v>
      </c>
      <c r="AE18" s="121">
        <f t="shared" ref="AE18:AE20" si="27">$M18*AD18*4</f>
        <v>4.5966082191780831E-3</v>
      </c>
      <c r="AF18" s="122">
        <f t="shared" ref="AF18:AF20" si="28">1-SUM(Z18,AB18,AD18)</f>
        <v>-2.7059000000000002</v>
      </c>
      <c r="AG18" s="121">
        <f t="shared" ref="AG18:AG20" si="29">$M18*AF18*4</f>
        <v>-1.0068778580323788E-2</v>
      </c>
      <c r="AH18" s="123">
        <f t="shared" ref="AH18:AH20" si="30">SUM(Z18,AB18,AD18,AF18)</f>
        <v>1</v>
      </c>
      <c r="AI18" s="183">
        <f t="shared" ref="AI18:AI20" si="31">SUM(AA18,AC18,AE18,AG18)/4</f>
        <v>9.3026151930261517E-4</v>
      </c>
      <c r="AJ18" s="120">
        <f t="shared" ref="AJ18:AJ20" si="32">(AA18+AC18)/2</f>
        <v>4.5966082191780822E-3</v>
      </c>
      <c r="AK18" s="119">
        <f t="shared" ref="AK18:AK20" si="33">(AE18+AG18)/2</f>
        <v>-2.7360851805728523E-3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0.2</v>
      </c>
      <c r="F19" s="22"/>
      <c r="H19" s="24">
        <f t="shared" si="19"/>
        <v>0.2</v>
      </c>
      <c r="I19" s="22">
        <f t="shared" si="20"/>
        <v>4.2839352428393528E-4</v>
      </c>
      <c r="J19" s="24">
        <f t="shared" si="17"/>
        <v>4.2839352428393528E-4</v>
      </c>
      <c r="K19" s="22">
        <f t="shared" si="21"/>
        <v>2.1419676214196764E-3</v>
      </c>
      <c r="L19" s="22">
        <f t="shared" si="22"/>
        <v>4.2839352428393528E-4</v>
      </c>
      <c r="M19" s="226">
        <f t="shared" si="23"/>
        <v>4.2839352428393528E-4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1.7135740971357411E-3</v>
      </c>
      <c r="Z19" s="116">
        <v>2.2940999999999998</v>
      </c>
      <c r="AA19" s="121">
        <f t="shared" si="25"/>
        <v>3.9311103362391032E-3</v>
      </c>
      <c r="AB19" s="116">
        <v>2.1764999999999999</v>
      </c>
      <c r="AC19" s="121">
        <f t="shared" si="26"/>
        <v>3.7295940224159403E-3</v>
      </c>
      <c r="AD19" s="116">
        <v>2.2353000000000001</v>
      </c>
      <c r="AE19" s="121">
        <f t="shared" si="27"/>
        <v>3.8303521793275224E-3</v>
      </c>
      <c r="AF19" s="122">
        <f t="shared" si="28"/>
        <v>-5.7058999999999997</v>
      </c>
      <c r="AG19" s="121">
        <f t="shared" si="29"/>
        <v>-9.7774824408468249E-3</v>
      </c>
      <c r="AH19" s="123">
        <f t="shared" si="30"/>
        <v>1</v>
      </c>
      <c r="AI19" s="183">
        <f t="shared" si="31"/>
        <v>4.2839352428393528E-4</v>
      </c>
      <c r="AJ19" s="120">
        <f t="shared" si="32"/>
        <v>3.830352179327522E-3</v>
      </c>
      <c r="AK19" s="119">
        <f t="shared" si="33"/>
        <v>-2.9735651307596514E-3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4.5224886448302012E-3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4.5224886448302012E-3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1.8089954579320805E-2</v>
      </c>
      <c r="Z20" s="116">
        <v>3.2940999999999998</v>
      </c>
      <c r="AA20" s="121">
        <f t="shared" si="25"/>
        <v>5.9590119379740659E-2</v>
      </c>
      <c r="AB20" s="116">
        <v>3.1764999999999999</v>
      </c>
      <c r="AC20" s="121">
        <f t="shared" si="26"/>
        <v>5.7462740721212532E-2</v>
      </c>
      <c r="AD20" s="116">
        <v>3.2353000000000001</v>
      </c>
      <c r="AE20" s="121">
        <f t="shared" si="27"/>
        <v>5.8526430050476599E-2</v>
      </c>
      <c r="AF20" s="122">
        <f t="shared" si="28"/>
        <v>-8.7058999999999997</v>
      </c>
      <c r="AG20" s="121">
        <f t="shared" si="29"/>
        <v>-0.15748933557210898</v>
      </c>
      <c r="AH20" s="123">
        <f t="shared" si="30"/>
        <v>1</v>
      </c>
      <c r="AI20" s="183">
        <f t="shared" si="31"/>
        <v>4.5224886448302082E-3</v>
      </c>
      <c r="AJ20" s="120">
        <f t="shared" si="32"/>
        <v>5.8526430050476599E-2</v>
      </c>
      <c r="AK20" s="119">
        <f t="shared" si="33"/>
        <v>-4.948145276081619E-2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4.0869654548886344E-2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4.0869654548886344E-2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0.16347861819554538</v>
      </c>
      <c r="Z21" s="116">
        <v>4.2941000000000003</v>
      </c>
      <c r="AA21" s="121">
        <f t="shared" ref="AA21:AA25" si="41">$M21*Z21*4</f>
        <v>0.70199353439349144</v>
      </c>
      <c r="AB21" s="116">
        <v>4.1764999999999999</v>
      </c>
      <c r="AC21" s="121">
        <f t="shared" ref="AC21:AC25" si="42">$M21*AB21*4</f>
        <v>0.68276844889369526</v>
      </c>
      <c r="AD21" s="116">
        <v>4.2352999999999996</v>
      </c>
      <c r="AE21" s="121">
        <f t="shared" ref="AE21:AE25" si="43">$M21*AD21*4</f>
        <v>0.69238099164359324</v>
      </c>
      <c r="AF21" s="122">
        <f t="shared" ref="AF21:AF25" si="44">1-SUM(Z21,AB21,AD21)</f>
        <v>-11.7059</v>
      </c>
      <c r="AG21" s="121">
        <f t="shared" ref="AG21:AG25" si="45">$M21*AF21*4</f>
        <v>-1.9136643567352345</v>
      </c>
      <c r="AH21" s="123">
        <f t="shared" ref="AH21:AH25" si="46">SUM(Z21,AB21,AD21,AF21)</f>
        <v>1</v>
      </c>
      <c r="AI21" s="183">
        <f t="shared" ref="AI21:AI25" si="47">SUM(AA21,AC21,AE21,AG21)/4</f>
        <v>4.0869654548886358E-2</v>
      </c>
      <c r="AJ21" s="120">
        <f t="shared" ref="AJ21:AJ25" si="48">(AA21+AC21)/2</f>
        <v>0.69238099164359335</v>
      </c>
      <c r="AK21" s="119">
        <f t="shared" ref="AK21:AK25" si="49">(AE21+AG21)/2</f>
        <v>-0.61064168254582063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32008.949636251455</v>
      </c>
      <c r="T23" s="179">
        <f>SUM(T7:T22)</f>
        <v>33087.878866643427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0.76222644340740653</v>
      </c>
      <c r="J30" s="232">
        <f>IF(I$32&lt;=1,I30,1-SUM(J6:J29))</f>
        <v>0.56213736633104794</v>
      </c>
      <c r="K30" s="22">
        <f t="shared" si="4"/>
        <v>0.47410426400996258</v>
      </c>
      <c r="L30" s="22">
        <f>IF(L124=L119,0,IF(K30="",0,(L119-L124)/(B119-B124)*K30))</f>
        <v>0.1209165742898457</v>
      </c>
      <c r="M30" s="175">
        <f t="shared" si="6"/>
        <v>0.56213736633104794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2.2485494653241918</v>
      </c>
      <c r="Z30" s="122">
        <f>IF($Y30=0,0,AA30/($Y$30))</f>
        <v>-0.31148790309611135</v>
      </c>
      <c r="AA30" s="187">
        <f>IF(AA79*4/$I$83+SUM(AA6:AA29)&lt;1,AA79*4/$I$83,1-SUM(AA6:AA29))</f>
        <v>-0.70039595796171483</v>
      </c>
      <c r="AB30" s="122">
        <f>IF($Y30=0,0,AC30/($Y$30))</f>
        <v>-0.31170644608149645</v>
      </c>
      <c r="AC30" s="187">
        <f>IF(AC79*4/$I$83+SUM(AC6:AC29)&lt;1,AC79*4/$I$83,1-SUM(AC6:AC29))</f>
        <v>-0.70088736267465279</v>
      </c>
      <c r="AD30" s="122">
        <f>IF($Y30=0,0,AE30/($Y$30))</f>
        <v>-0.31170644608149645</v>
      </c>
      <c r="AE30" s="187">
        <f>IF(AE79*4/$I$83+SUM(AE6:AE29)&lt;1,AE79*4/$I$83,1-SUM(AE6:AE29))</f>
        <v>-0.70088736267465279</v>
      </c>
      <c r="AF30" s="122">
        <f>IF($Y30=0,0,AG30/($Y$30))</f>
        <v>-0.20243495338897144</v>
      </c>
      <c r="AG30" s="187">
        <f>IF(AG79*4/$I$83+SUM(AG6:AG29)&lt;1,AG79*4/$I$83,1-SUM(AG6:AG29))</f>
        <v>-0.45518500620569941</v>
      </c>
      <c r="AH30" s="123">
        <f t="shared" si="12"/>
        <v>-1.1373357486480757</v>
      </c>
      <c r="AI30" s="183">
        <f t="shared" si="13"/>
        <v>-0.63933892237917989</v>
      </c>
      <c r="AJ30" s="120">
        <f t="shared" si="14"/>
        <v>-0.70064166031818376</v>
      </c>
      <c r="AK30" s="119">
        <f t="shared" si="15"/>
        <v>-0.57803618444017613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0.28502829373482363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8724.43771185886</v>
      </c>
      <c r="T31" s="235">
        <f>IF(T25&gt;T$23,T25-T$23,0)</f>
        <v>7645.508481466888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0.47034443521760594</v>
      </c>
      <c r="AB31" s="131"/>
      <c r="AC31" s="133">
        <f>1-AC32+IF($Y32&lt;0,$Y32/4,0)</f>
        <v>0.4942244126816453</v>
      </c>
      <c r="AD31" s="134"/>
      <c r="AE31" s="133">
        <f>1-AE32+IF($Y32&lt;0,$Y32/4,0)</f>
        <v>0.46748155147172366</v>
      </c>
      <c r="AF31" s="134"/>
      <c r="AG31" s="133">
        <f>1-AG32+IF($Y32&lt;0,$Y32/4,0)</f>
        <v>3.3738547554699365</v>
      </c>
      <c r="AH31" s="123"/>
      <c r="AI31" s="182">
        <f>SUM(AA31,AC31,AE31,AG31)/4</f>
        <v>1.2014762887102277</v>
      </c>
      <c r="AJ31" s="135">
        <f t="shared" si="14"/>
        <v>0.48228442394962562</v>
      </c>
      <c r="AK31" s="136">
        <f t="shared" si="15"/>
        <v>1.9206681534708301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1.2046969338826421</v>
      </c>
      <c r="J32" s="17"/>
      <c r="L32" s="22">
        <f>SUM(L6:L30)</f>
        <v>0.71497170626517637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29185.637711858864</v>
      </c>
      <c r="T32" s="235">
        <f t="shared" si="50"/>
        <v>28106.708481466892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0.52965556478239406</v>
      </c>
      <c r="AB32" s="137"/>
      <c r="AC32" s="139">
        <f>SUM(AC6:AC30)</f>
        <v>0.5057755873183547</v>
      </c>
      <c r="AD32" s="137"/>
      <c r="AE32" s="139">
        <f>SUM(AE6:AE30)</f>
        <v>0.53251844852827634</v>
      </c>
      <c r="AF32" s="137"/>
      <c r="AG32" s="139">
        <f>SUM(AG6:AG30)</f>
        <v>-2.3738547554699365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0.69565515162954483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7645.5084814668935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2.36</v>
      </c>
      <c r="J38" s="38">
        <f t="shared" si="53"/>
        <v>2.36</v>
      </c>
      <c r="K38" s="40">
        <f t="shared" si="54"/>
        <v>2.327475852438031E-4</v>
      </c>
      <c r="L38" s="22">
        <f t="shared" si="55"/>
        <v>5.4928430117537527E-5</v>
      </c>
      <c r="M38" s="24">
        <f t="shared" si="56"/>
        <v>5.4928430117537527E-5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2.36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2.36</v>
      </c>
      <c r="AJ38" s="148">
        <f t="shared" ref="AJ38:AJ64" si="62">(AA38+AC38)</f>
        <v>2.36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737.5</v>
      </c>
      <c r="J39" s="38">
        <f t="shared" si="53"/>
        <v>737.50000000000011</v>
      </c>
      <c r="K39" s="40">
        <f t="shared" si="54"/>
        <v>2.9093448155475387E-2</v>
      </c>
      <c r="L39" s="22">
        <f t="shared" si="55"/>
        <v>1.7165134411730478E-2</v>
      </c>
      <c r="M39" s="24">
        <f t="shared" si="56"/>
        <v>1.7165134411730482E-2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737.50000000000011</v>
      </c>
      <c r="AH39" s="123">
        <f t="shared" si="61"/>
        <v>1</v>
      </c>
      <c r="AI39" s="112">
        <f t="shared" si="61"/>
        <v>737.50000000000011</v>
      </c>
      <c r="AJ39" s="148">
        <f t="shared" si="62"/>
        <v>0</v>
      </c>
      <c r="AK39" s="147">
        <f t="shared" si="63"/>
        <v>737.50000000000011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442.5</v>
      </c>
      <c r="J40" s="38">
        <f t="shared" si="53"/>
        <v>442.49999999999994</v>
      </c>
      <c r="K40" s="40">
        <f t="shared" si="54"/>
        <v>1.7456068893285232E-2</v>
      </c>
      <c r="L40" s="22">
        <f t="shared" si="55"/>
        <v>1.0299080647038286E-2</v>
      </c>
      <c r="M40" s="24">
        <f t="shared" si="56"/>
        <v>1.0299080647038286E-2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442.49999999999994</v>
      </c>
      <c r="AH40" s="123">
        <f t="shared" si="61"/>
        <v>1</v>
      </c>
      <c r="AI40" s="112">
        <f t="shared" si="61"/>
        <v>442.49999999999994</v>
      </c>
      <c r="AJ40" s="148">
        <f t="shared" si="62"/>
        <v>0</v>
      </c>
      <c r="AK40" s="147">
        <f t="shared" si="63"/>
        <v>442.49999999999994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8.1461654835331089E-4</v>
      </c>
      <c r="L46" s="22">
        <f t="shared" si="55"/>
        <v>2.2809263353892702E-4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884.99999999999989</v>
      </c>
      <c r="K49" s="40">
        <f t="shared" si="54"/>
        <v>0</v>
      </c>
      <c r="L49" s="22">
        <f t="shared" si="55"/>
        <v>0</v>
      </c>
      <c r="M49" s="24">
        <f t="shared" si="56"/>
        <v>2.0598161294076572E-2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221.24999999999997</v>
      </c>
      <c r="AB49" s="116">
        <v>0.25</v>
      </c>
      <c r="AC49" s="147">
        <f t="shared" si="65"/>
        <v>221.24999999999997</v>
      </c>
      <c r="AD49" s="116">
        <v>0.25</v>
      </c>
      <c r="AE49" s="147">
        <f t="shared" si="66"/>
        <v>221.24999999999997</v>
      </c>
      <c r="AF49" s="122">
        <f t="shared" si="57"/>
        <v>0.25</v>
      </c>
      <c r="AG49" s="147">
        <f t="shared" si="60"/>
        <v>221.24999999999997</v>
      </c>
      <c r="AH49" s="123">
        <f t="shared" si="61"/>
        <v>1</v>
      </c>
      <c r="AI49" s="112">
        <f t="shared" si="61"/>
        <v>884.99999999999989</v>
      </c>
      <c r="AJ49" s="148">
        <f t="shared" si="62"/>
        <v>442.49999999999994</v>
      </c>
      <c r="AK49" s="147">
        <f t="shared" si="63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0</v>
      </c>
      <c r="F51" s="26">
        <v>1.18</v>
      </c>
      <c r="G51" s="22">
        <f t="shared" si="59"/>
        <v>1.65</v>
      </c>
      <c r="H51" s="24">
        <f t="shared" si="69"/>
        <v>0</v>
      </c>
      <c r="I51" s="39">
        <f t="shared" si="70"/>
        <v>0</v>
      </c>
      <c r="J51" s="38">
        <f t="shared" si="71"/>
        <v>0</v>
      </c>
      <c r="K51" s="40">
        <f t="shared" si="72"/>
        <v>0.36587920400325846</v>
      </c>
      <c r="L51" s="22">
        <f t="shared" si="73"/>
        <v>0</v>
      </c>
      <c r="M51" s="24">
        <f t="shared" si="74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28991.760000000002</v>
      </c>
      <c r="J65" s="39">
        <f>SUM(J37:J64)</f>
        <v>28991.760000000002</v>
      </c>
      <c r="K65" s="40">
        <f>SUM(K37:K64)</f>
        <v>1</v>
      </c>
      <c r="L65" s="22">
        <f>SUM(L37:L64)</f>
        <v>0.65440614453625034</v>
      </c>
      <c r="M65" s="24">
        <f>SUM(M37:M64)</f>
        <v>0.67477621319678815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223.60999999999999</v>
      </c>
      <c r="AB65" s="137"/>
      <c r="AC65" s="153">
        <f>SUM(AC37:AC64)</f>
        <v>221.24999999999997</v>
      </c>
      <c r="AD65" s="137"/>
      <c r="AE65" s="153">
        <f>SUM(AE37:AE64)</f>
        <v>221.24999999999997</v>
      </c>
      <c r="AF65" s="137"/>
      <c r="AG65" s="153">
        <f>SUM(AG37:AG64)</f>
        <v>1401.25</v>
      </c>
      <c r="AH65" s="137"/>
      <c r="AI65" s="153">
        <f>SUM(AI37:AI64)</f>
        <v>2067.36</v>
      </c>
      <c r="AJ65" s="153">
        <f>SUM(AJ37:AJ64)</f>
        <v>444.85999999999996</v>
      </c>
      <c r="AK65" s="153">
        <f>SUM(AK37:AK64)</f>
        <v>1622.5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0.40358431281275459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14642.549076803669</v>
      </c>
      <c r="J74" s="51">
        <f t="shared" si="76"/>
        <v>10798.790891603892</v>
      </c>
      <c r="K74" s="40">
        <f>B74/B$76</f>
        <v>0.12847179079574264</v>
      </c>
      <c r="L74" s="22">
        <f t="shared" si="77"/>
        <v>5.4063442421815509E-2</v>
      </c>
      <c r="M74" s="24">
        <f>J74/B$76</f>
        <v>0.25133925035735816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-3363.6927307990832</v>
      </c>
      <c r="AB74" s="156"/>
      <c r="AC74" s="147">
        <f>AC30*$I$83/4</f>
        <v>-3366.0527307990833</v>
      </c>
      <c r="AD74" s="156"/>
      <c r="AE74" s="147">
        <f>AE30*$I$83/4</f>
        <v>-3366.0527307990833</v>
      </c>
      <c r="AF74" s="156"/>
      <c r="AG74" s="147">
        <f>AG30*$I$83/4</f>
        <v>-2186.0527307990833</v>
      </c>
      <c r="AH74" s="155"/>
      <c r="AI74" s="147">
        <f>SUM(AA74,AC74,AE74,AG74)</f>
        <v>-12281.850923196333</v>
      </c>
      <c r="AJ74" s="148">
        <f>(AA74+AC74)</f>
        <v>-6729.745461598166</v>
      </c>
      <c r="AK74" s="147">
        <f>(AE74+AG74)</f>
        <v>-5552.1054615981666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-6.2527760746888816E-13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28991.760000000002</v>
      </c>
      <c r="J76" s="51">
        <f t="shared" si="76"/>
        <v>28991.760000000002</v>
      </c>
      <c r="K76" s="40">
        <f>SUM(K70:K75)</f>
        <v>1.0183147569397746</v>
      </c>
      <c r="L76" s="22">
        <f>SUM(L70:L75)</f>
        <v>0.65544776896348889</v>
      </c>
      <c r="M76" s="24">
        <f>SUM(M70:M75)</f>
        <v>0.85272357689903155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223.60999999999999</v>
      </c>
      <c r="AB76" s="137"/>
      <c r="AC76" s="153">
        <f>AC65</f>
        <v>221.24999999999997</v>
      </c>
      <c r="AD76" s="137"/>
      <c r="AE76" s="153">
        <f>AE65</f>
        <v>221.24999999999997</v>
      </c>
      <c r="AF76" s="137"/>
      <c r="AG76" s="153">
        <f>AG65</f>
        <v>1401.25</v>
      </c>
      <c r="AH76" s="137"/>
      <c r="AI76" s="153">
        <f>SUM(AA76,AC76,AE76,AG76)</f>
        <v>2067.3599999999997</v>
      </c>
      <c r="AJ76" s="154">
        <f>SUM(AA76,AC76)</f>
        <v>444.85999999999996</v>
      </c>
      <c r="AK76" s="154">
        <f>SUM(AE76,AG76)</f>
        <v>1622.5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7645.5084814668935</v>
      </c>
      <c r="K77" s="40"/>
      <c r="L77" s="22">
        <f>-(L131*G$37*F$9/F$7)/B$130</f>
        <v>-0.26740990728887853</v>
      </c>
      <c r="M77" s="24">
        <f>-J77/B$76</f>
        <v>-0.17794736370224354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2258.8567791245623</v>
      </c>
      <c r="AB77" s="112"/>
      <c r="AC77" s="111">
        <f>AC31*$I$83/4</f>
        <v>2373.5417736542222</v>
      </c>
      <c r="AD77" s="112"/>
      <c r="AE77" s="111">
        <f>AE31*$I$83/4</f>
        <v>2245.1076117633288</v>
      </c>
      <c r="AF77" s="112"/>
      <c r="AG77" s="111">
        <f>AG31*$I$83/4</f>
        <v>16203.135650258113</v>
      </c>
      <c r="AH77" s="110"/>
      <c r="AI77" s="154">
        <f>SUM(AA77,AC77,AE77,AG77)</f>
        <v>23080.641814800227</v>
      </c>
      <c r="AJ77" s="153">
        <f>SUM(AA77,AC77)</f>
        <v>4632.3985527787845</v>
      </c>
      <c r="AK77" s="160">
        <f>SUM(AE77,AG77)</f>
        <v>18448.243262021442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-3363.6927307990832</v>
      </c>
      <c r="AB79" s="112"/>
      <c r="AC79" s="112">
        <f>AA79-AA74+AC65-AC70</f>
        <v>-3366.0527307990833</v>
      </c>
      <c r="AD79" s="112"/>
      <c r="AE79" s="112">
        <f>AC79-AC74+AE65-AE70</f>
        <v>-3366.0527307990833</v>
      </c>
      <c r="AF79" s="112"/>
      <c r="AG79" s="112">
        <f>AE79-AE74+AG65-AG70</f>
        <v>-2186.0527307990833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0.14303030303030304</v>
      </c>
      <c r="I92" s="22">
        <f t="shared" ref="I92:I118" si="89">(D92*H92)</f>
        <v>1.2285117823447668E-4</v>
      </c>
      <c r="J92" s="24">
        <f t="shared" ref="J92:J118" si="90">IF(I$32&lt;=1+I$131,I92,L92+J$33*(I92-L92))</f>
        <v>1.2285117823447668E-4</v>
      </c>
      <c r="K92" s="22">
        <f t="shared" ref="K92:K118" si="91">IF(B92="",0,B92)</f>
        <v>8.5891713596138348E-4</v>
      </c>
      <c r="L92" s="22">
        <f t="shared" ref="L92:L118" si="92">(K92*H92)</f>
        <v>1.2285117823447668E-4</v>
      </c>
      <c r="M92" s="228">
        <f t="shared" ref="M92:M118" si="93">(J92)</f>
        <v>1.2285117823447668E-4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0.3575757575757576</v>
      </c>
      <c r="I93" s="22">
        <f t="shared" si="89"/>
        <v>3.8390993198273965E-2</v>
      </c>
      <c r="J93" s="24">
        <f t="shared" si="90"/>
        <v>3.8390993198273965E-2</v>
      </c>
      <c r="K93" s="22">
        <f t="shared" si="91"/>
        <v>0.10736464199517294</v>
      </c>
      <c r="L93" s="22">
        <f t="shared" si="92"/>
        <v>3.8390993198273965E-2</v>
      </c>
      <c r="M93" s="228">
        <f t="shared" si="93"/>
        <v>3.8390993198273965E-2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0.3575757575757576</v>
      </c>
      <c r="I94" s="22">
        <f t="shared" si="89"/>
        <v>2.3034595918964375E-2</v>
      </c>
      <c r="J94" s="24">
        <f t="shared" si="90"/>
        <v>2.3034595918964375E-2</v>
      </c>
      <c r="K94" s="22">
        <f t="shared" si="91"/>
        <v>6.4418785197103756E-2</v>
      </c>
      <c r="L94" s="22">
        <f t="shared" si="92"/>
        <v>2.3034595918964375E-2</v>
      </c>
      <c r="M94" s="228">
        <f t="shared" si="93"/>
        <v>2.3034595918964375E-2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0</v>
      </c>
      <c r="K100" s="22">
        <f t="shared" si="91"/>
        <v>3.0062099758648422E-3</v>
      </c>
      <c r="L100" s="22">
        <f t="shared" si="92"/>
        <v>5.1014472317706405E-4</v>
      </c>
      <c r="M100" s="228">
        <f t="shared" si="93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4.606919183792875E-2</v>
      </c>
      <c r="K103" s="22">
        <f t="shared" si="91"/>
        <v>0</v>
      </c>
      <c r="L103" s="22">
        <f t="shared" si="92"/>
        <v>0</v>
      </c>
      <c r="M103" s="228">
        <f t="shared" si="93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</v>
      </c>
      <c r="I105" s="22">
        <f t="shared" si="89"/>
        <v>0</v>
      </c>
      <c r="J105" s="24">
        <f t="shared" si="90"/>
        <v>0</v>
      </c>
      <c r="K105" s="22">
        <f t="shared" si="91"/>
        <v>1.3502177377312949</v>
      </c>
      <c r="L105" s="22">
        <f t="shared" si="92"/>
        <v>0</v>
      </c>
      <c r="M105" s="228">
        <f t="shared" si="9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1.509182997919988</v>
      </c>
      <c r="J119" s="24">
        <f>SUM(J91:J118)</f>
        <v>1.509182997919988</v>
      </c>
      <c r="K119" s="22">
        <f>SUM(K91:K118)</f>
        <v>3.6903374746580844</v>
      </c>
      <c r="L119" s="22">
        <f>SUM(L91:L118)</f>
        <v>1.4636239508052362</v>
      </c>
      <c r="M119" s="57">
        <f t="shared" si="81"/>
        <v>1.509182997919988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0.76222644340740653</v>
      </c>
      <c r="J128" s="229">
        <f>(J30)</f>
        <v>0.56213736633104794</v>
      </c>
      <c r="K128" s="29">
        <f>(B128)</f>
        <v>0.47410426400996258</v>
      </c>
      <c r="L128" s="29">
        <f>IF(L124=L119,0,(L119-L124)/(B119-B124)*K128)</f>
        <v>0.1209165742898457</v>
      </c>
      <c r="M128" s="241">
        <f t="shared" si="94"/>
        <v>0.56213736633104794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1.509182997919988</v>
      </c>
      <c r="J130" s="229">
        <f>(J119)</f>
        <v>1.509182997919988</v>
      </c>
      <c r="K130" s="29">
        <f>(B130)</f>
        <v>3.6903374746580844</v>
      </c>
      <c r="L130" s="29">
        <f>(L119)</f>
        <v>1.4636239508052362</v>
      </c>
      <c r="M130" s="241">
        <f t="shared" si="94"/>
        <v>1.509182997919988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0.39799140896181884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1.841983442092154E-2</v>
      </c>
      <c r="J6" s="24">
        <f t="shared" ref="J6:J13" si="3">IF(I$32&lt;=1+I$131,I6,B6*H6+J$33*(I6-B6*H6))</f>
        <v>1.841983442092154E-2</v>
      </c>
      <c r="K6" s="22">
        <f t="shared" ref="K6:K31" si="4">B6</f>
        <v>9.2099172104607704E-2</v>
      </c>
      <c r="L6" s="22">
        <f t="shared" ref="L6:L29" si="5">IF(K6="","",K6*H6)</f>
        <v>1.841983442092154E-2</v>
      </c>
      <c r="M6" s="225">
        <f t="shared" ref="M6:M31" si="6">J6</f>
        <v>1.841983442092154E-2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7.3679337683686161E-2</v>
      </c>
      <c r="Z6" s="156">
        <f>Poor!Z6</f>
        <v>0.17</v>
      </c>
      <c r="AA6" s="121">
        <f>$M6*Z6*4</f>
        <v>1.2525487406226648E-2</v>
      </c>
      <c r="AB6" s="156">
        <f>Poor!AB6</f>
        <v>0.17</v>
      </c>
      <c r="AC6" s="121">
        <f t="shared" ref="AC6:AC29" si="7">$M6*AB6*4</f>
        <v>1.2525487406226648E-2</v>
      </c>
      <c r="AD6" s="156">
        <f>Poor!AD6</f>
        <v>0.33</v>
      </c>
      <c r="AE6" s="121">
        <f t="shared" ref="AE6:AE29" si="8">$M6*AD6*4</f>
        <v>2.4314181435616432E-2</v>
      </c>
      <c r="AF6" s="122">
        <f>1-SUM(Z6,AB6,AD6)</f>
        <v>0.32999999999999996</v>
      </c>
      <c r="AG6" s="121">
        <f>$M6*AF6*4</f>
        <v>2.4314181435616429E-2</v>
      </c>
      <c r="AH6" s="123">
        <f>SUM(Z6,AB6,AD6,AF6)</f>
        <v>1</v>
      </c>
      <c r="AI6" s="183">
        <f>SUM(AA6,AC6,AE6,AG6)/4</f>
        <v>1.8419834420921537E-2</v>
      </c>
      <c r="AJ6" s="120">
        <f>(AA6+AC6)/2</f>
        <v>1.2525487406226648E-2</v>
      </c>
      <c r="AK6" s="119">
        <f>(AE6+AG6)/2</f>
        <v>2.4314181435616429E-2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1.5016169364881694E-2</v>
      </c>
      <c r="J7" s="24">
        <f t="shared" si="3"/>
        <v>1.5016169364881694E-2</v>
      </c>
      <c r="K7" s="22">
        <f t="shared" si="4"/>
        <v>7.5080846824408465E-2</v>
      </c>
      <c r="L7" s="22">
        <f t="shared" si="5"/>
        <v>1.5016169364881694E-2</v>
      </c>
      <c r="M7" s="225">
        <f t="shared" si="6"/>
        <v>1.5016169364881694E-2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870.54430761557774</v>
      </c>
      <c r="T7" s="223">
        <f>IF($B$81=0,0,(SUMIF($N$6:$N$28,$U7,M$6:M$28)+SUMIF($N$91:$N$118,$U7,M$91:M$118))*$I$83*Poor!$B$81/$B$81)</f>
        <v>892.48468803010451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6.0064677459526775E-2</v>
      </c>
      <c r="AH7" s="123">
        <f t="shared" ref="AH7:AH30" si="12">SUM(Z7,AB7,AD7,AF7)</f>
        <v>1</v>
      </c>
      <c r="AI7" s="183">
        <f t="shared" ref="AI7:AI30" si="13">SUM(AA7,AC7,AE7,AG7)/4</f>
        <v>1.5016169364881694E-2</v>
      </c>
      <c r="AJ7" s="120">
        <f t="shared" ref="AJ7:AJ31" si="14">(AA7+AC7)/2</f>
        <v>0</v>
      </c>
      <c r="AK7" s="119">
        <f t="shared" ref="AK7:AK31" si="15">(AE7+AG7)/2</f>
        <v>3.0032338729763387E-2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8.0164445828144453E-3</v>
      </c>
      <c r="J8" s="24">
        <f t="shared" si="3"/>
        <v>8.0164445828144453E-3</v>
      </c>
      <c r="K8" s="22">
        <f t="shared" si="4"/>
        <v>4.0082222914072228E-2</v>
      </c>
      <c r="L8" s="22">
        <f t="shared" si="5"/>
        <v>8.0164445828144453E-3</v>
      </c>
      <c r="M8" s="225">
        <f t="shared" si="6"/>
        <v>8.0164445828144453E-3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350.83999999999992</v>
      </c>
      <c r="T8" s="223">
        <f>IF($B$81=0,0,(SUMIF($N$6:$N$28,$U8,M$6:M$28)+SUMIF($N$91:$N$118,$U8,M$91:M$118))*$I$83*Poor!$B$81/$B$81)</f>
        <v>47.599999999999987</v>
      </c>
      <c r="U8" s="224">
        <v>2</v>
      </c>
      <c r="V8" s="56"/>
      <c r="W8" s="115"/>
      <c r="X8" s="118">
        <f>Poor!X8</f>
        <v>1</v>
      </c>
      <c r="Y8" s="183">
        <f t="shared" si="9"/>
        <v>3.2065778331257781E-2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3.2065778331257781E-2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8.0164445828144453E-3</v>
      </c>
      <c r="AJ8" s="120">
        <f t="shared" si="14"/>
        <v>1.6032889165628891E-2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1.7317866575342462E-2</v>
      </c>
      <c r="J9" s="24">
        <f t="shared" si="3"/>
        <v>1.7317866575342462E-2</v>
      </c>
      <c r="K9" s="22">
        <f t="shared" si="4"/>
        <v>5.7726221917808213E-2</v>
      </c>
      <c r="L9" s="22">
        <f t="shared" si="5"/>
        <v>1.7317866575342462E-2</v>
      </c>
      <c r="M9" s="225">
        <f t="shared" si="6"/>
        <v>1.7317866575342462E-2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796.31127316680113</v>
      </c>
      <c r="T9" s="223">
        <f>IF($B$81=0,0,(SUMIF($N$6:$N$28,$U9,M$6:M$28)+SUMIF($N$91:$N$118,$U9,M$91:M$118))*$I$83*Poor!$B$81/$B$81)</f>
        <v>796.31127316680113</v>
      </c>
      <c r="U9" s="224">
        <v>3</v>
      </c>
      <c r="V9" s="56"/>
      <c r="W9" s="115"/>
      <c r="X9" s="118">
        <f>Poor!X9</f>
        <v>1</v>
      </c>
      <c r="Y9" s="183">
        <f t="shared" si="9"/>
        <v>6.927146630136985E-2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6.927146630136985E-2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1.7317866575342462E-2</v>
      </c>
      <c r="AJ9" s="120">
        <f t="shared" si="14"/>
        <v>3.4635733150684925E-2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10.62</v>
      </c>
      <c r="T10" s="223">
        <f>IF($B$81=0,0,(SUMIF($N$6:$N$28,$U10,M$6:M$28)+SUMIF($N$91:$N$118,$U10,M$91:M$118))*$I$83*Poor!$B$81/$B$81)</f>
        <v>10.62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0.2</v>
      </c>
      <c r="H11" s="24">
        <f t="shared" si="1"/>
        <v>0.2</v>
      </c>
      <c r="I11" s="22">
        <f t="shared" si="2"/>
        <v>1.767528268991283E-3</v>
      </c>
      <c r="J11" s="24">
        <f t="shared" si="3"/>
        <v>1.767528268991283E-3</v>
      </c>
      <c r="K11" s="22">
        <f t="shared" si="4"/>
        <v>1.5907754420921547E-2</v>
      </c>
      <c r="L11" s="22">
        <f t="shared" si="5"/>
        <v>3.1815508841843095E-3</v>
      </c>
      <c r="M11" s="225">
        <f t="shared" si="6"/>
        <v>1.767528268991283E-3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3982.4999999999991</v>
      </c>
      <c r="T11" s="223">
        <f>IF($B$81=0,0,(SUMIF($N$6:$N$28,$U11,M$6:M$28)+SUMIF($N$91:$N$118,$U11,M$91:M$118))*$I$83*Poor!$B$81/$B$81)</f>
        <v>3539.9999999999991</v>
      </c>
      <c r="U11" s="224">
        <v>5</v>
      </c>
      <c r="V11" s="56"/>
      <c r="W11" s="115"/>
      <c r="X11" s="118">
        <f>Poor!X11</f>
        <v>1</v>
      </c>
      <c r="Y11" s="183">
        <f t="shared" si="9"/>
        <v>7.070113075965132E-3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7.070113075965132E-3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1.767528268991283E-3</v>
      </c>
      <c r="AJ11" s="120">
        <f t="shared" si="14"/>
        <v>3.535056537982566E-3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0.2</v>
      </c>
      <c r="H12" s="24">
        <f t="shared" si="1"/>
        <v>0.2</v>
      </c>
      <c r="I12" s="22">
        <f t="shared" si="2"/>
        <v>7.759918356164382E-3</v>
      </c>
      <c r="J12" s="24">
        <f t="shared" si="3"/>
        <v>7.759918356164382E-3</v>
      </c>
      <c r="K12" s="22">
        <f t="shared" si="4"/>
        <v>3.8799591780821908E-2</v>
      </c>
      <c r="L12" s="22">
        <f t="shared" si="5"/>
        <v>7.759918356164382E-3</v>
      </c>
      <c r="M12" s="225">
        <f t="shared" si="6"/>
        <v>7.759918356164382E-3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278.82357906287876</v>
      </c>
      <c r="U12" s="224">
        <v>6</v>
      </c>
      <c r="V12" s="56"/>
      <c r="W12" s="117"/>
      <c r="X12" s="118"/>
      <c r="Y12" s="183">
        <f t="shared" si="9"/>
        <v>3.1039673424657528E-2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2.0796581194520544E-2</v>
      </c>
      <c r="AF12" s="122">
        <f>1-SUM(Z12,AB12,AD12)</f>
        <v>0.32999999999999996</v>
      </c>
      <c r="AG12" s="121">
        <f>$M12*AF12*4</f>
        <v>1.0243092230136983E-2</v>
      </c>
      <c r="AH12" s="123">
        <f t="shared" si="12"/>
        <v>1</v>
      </c>
      <c r="AI12" s="183">
        <f t="shared" si="13"/>
        <v>7.759918356164382E-3</v>
      </c>
      <c r="AJ12" s="120">
        <f t="shared" si="14"/>
        <v>0</v>
      </c>
      <c r="AK12" s="119">
        <f t="shared" si="15"/>
        <v>1.5519836712328764E-2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0.2</v>
      </c>
      <c r="H13" s="24">
        <f t="shared" si="1"/>
        <v>0.2</v>
      </c>
      <c r="I13" s="22">
        <f t="shared" si="2"/>
        <v>5.8656911581569113E-4</v>
      </c>
      <c r="J13" s="24">
        <f t="shared" si="3"/>
        <v>5.8656911581569113E-4</v>
      </c>
      <c r="K13" s="22">
        <f t="shared" si="4"/>
        <v>2.9328455790784552E-3</v>
      </c>
      <c r="L13" s="22">
        <f t="shared" si="5"/>
        <v>5.8656911581569113E-4</v>
      </c>
      <c r="M13" s="226">
        <f t="shared" si="6"/>
        <v>5.8656911581569113E-4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2.3462764632627645E-3</v>
      </c>
      <c r="Z13" s="156">
        <f>Poor!Z13</f>
        <v>1</v>
      </c>
      <c r="AA13" s="121">
        <f>$M13*Z13*4</f>
        <v>2.3462764632627645E-3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5.8656911581569113E-4</v>
      </c>
      <c r="AJ13" s="120">
        <f t="shared" si="14"/>
        <v>1.1731382316313823E-3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0.2</v>
      </c>
      <c r="F14" s="22"/>
      <c r="H14" s="24">
        <f t="shared" si="1"/>
        <v>0.2</v>
      </c>
      <c r="I14" s="22">
        <f t="shared" si="2"/>
        <v>3.0597758405977583E-4</v>
      </c>
      <c r="J14" s="24">
        <f>IF(I$32&lt;=1+I131,I14,B14*H14+J$33*(I14-B14*H14))</f>
        <v>3.0597758405977583E-4</v>
      </c>
      <c r="K14" s="22">
        <f t="shared" si="4"/>
        <v>1.1656288916562889E-3</v>
      </c>
      <c r="L14" s="22">
        <f t="shared" si="5"/>
        <v>2.3312577833125778E-4</v>
      </c>
      <c r="M14" s="226">
        <f t="shared" si="6"/>
        <v>3.0597758405977583E-4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1.2239103362391033E-3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1.2239103362391033E-3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3.0597758405977583E-4</v>
      </c>
      <c r="AJ14" s="120">
        <f t="shared" si="14"/>
        <v>6.1195516811955166E-4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0.2</v>
      </c>
      <c r="F15" s="22"/>
      <c r="H15" s="24">
        <f t="shared" si="1"/>
        <v>0.2</v>
      </c>
      <c r="I15" s="22">
        <f t="shared" si="2"/>
        <v>7.5471892901618947E-3</v>
      </c>
      <c r="J15" s="24">
        <f>IF(I$32&lt;=1+I131,I15,B15*H15+J$33*(I15-B15*H15))</f>
        <v>7.5471892901618947E-3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7.5471892901618947E-3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3.0188757160647579E-2</v>
      </c>
      <c r="Z15" s="156">
        <f>Poor!Z15</f>
        <v>0.25</v>
      </c>
      <c r="AA15" s="121">
        <f t="shared" si="16"/>
        <v>7.5471892901618947E-3</v>
      </c>
      <c r="AB15" s="156">
        <f>Poor!AB15</f>
        <v>0.25</v>
      </c>
      <c r="AC15" s="121">
        <f t="shared" si="7"/>
        <v>7.5471892901618947E-3</v>
      </c>
      <c r="AD15" s="156">
        <f>Poor!AD15</f>
        <v>0.25</v>
      </c>
      <c r="AE15" s="121">
        <f t="shared" si="8"/>
        <v>7.5471892901618947E-3</v>
      </c>
      <c r="AF15" s="122">
        <f t="shared" si="10"/>
        <v>0.25</v>
      </c>
      <c r="AG15" s="121">
        <f t="shared" si="11"/>
        <v>7.5471892901618947E-3</v>
      </c>
      <c r="AH15" s="123">
        <f t="shared" si="12"/>
        <v>1</v>
      </c>
      <c r="AI15" s="183">
        <f t="shared" si="13"/>
        <v>7.5471892901618947E-3</v>
      </c>
      <c r="AJ15" s="120">
        <f t="shared" si="14"/>
        <v>7.5471892901618947E-3</v>
      </c>
      <c r="AK15" s="119">
        <f t="shared" si="15"/>
        <v>7.5471892901618947E-3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0.2</v>
      </c>
      <c r="F16" s="22"/>
      <c r="H16" s="24">
        <f t="shared" si="1"/>
        <v>0.2</v>
      </c>
      <c r="I16" s="22">
        <f t="shared" si="2"/>
        <v>4.4010932503113316E-3</v>
      </c>
      <c r="J16" s="24">
        <f>IF(I$32&lt;=1+I131,I16,B16*H16+J$33*(I16-B16*H16))</f>
        <v>4.4010932503113316E-3</v>
      </c>
      <c r="K16" s="22">
        <f t="shared" si="4"/>
        <v>2.2005466251556659E-2</v>
      </c>
      <c r="L16" s="22">
        <f t="shared" si="5"/>
        <v>4.4010932503113316E-3</v>
      </c>
      <c r="M16" s="225">
        <f t="shared" si="6"/>
        <v>4.4010932503113316E-3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1.7604373001245326E-2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1.7604373001245326E-2</v>
      </c>
      <c r="AH16" s="123">
        <f t="shared" si="12"/>
        <v>1</v>
      </c>
      <c r="AI16" s="183">
        <f t="shared" si="13"/>
        <v>4.4010932503113316E-3</v>
      </c>
      <c r="AJ16" s="120">
        <f t="shared" si="14"/>
        <v>0</v>
      </c>
      <c r="AK16" s="119">
        <f t="shared" si="15"/>
        <v>8.8021865006226632E-3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0.2</v>
      </c>
      <c r="F17" s="22"/>
      <c r="H17" s="24">
        <f t="shared" si="1"/>
        <v>0.2</v>
      </c>
      <c r="I17" s="22">
        <f t="shared" si="2"/>
        <v>4.7353673723536741E-4</v>
      </c>
      <c r="J17" s="24">
        <f t="shared" ref="J17:J25" si="17">IF(I$32&lt;=1+I131,I17,B17*H17+J$33*(I17-B17*H17))</f>
        <v>4.7353673723536741E-4</v>
      </c>
      <c r="K17" s="22">
        <f t="shared" si="4"/>
        <v>2.5498132004981319E-4</v>
      </c>
      <c r="L17" s="22">
        <f t="shared" si="5"/>
        <v>5.0996264009962639E-5</v>
      </c>
      <c r="M17" s="226">
        <f t="shared" si="6"/>
        <v>4.7353673723536741E-4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1.8941469489414697E-3</v>
      </c>
      <c r="Z17" s="156">
        <f>Poor!Z17</f>
        <v>0.29409999999999997</v>
      </c>
      <c r="AA17" s="121">
        <f t="shared" si="16"/>
        <v>5.5706861768368618E-4</v>
      </c>
      <c r="AB17" s="156">
        <f>Poor!AB17</f>
        <v>0.17649999999999999</v>
      </c>
      <c r="AC17" s="121">
        <f t="shared" si="7"/>
        <v>3.3431693648816938E-4</v>
      </c>
      <c r="AD17" s="156">
        <f>Poor!AD17</f>
        <v>0.23530000000000001</v>
      </c>
      <c r="AE17" s="121">
        <f t="shared" si="8"/>
        <v>4.4569277708592781E-4</v>
      </c>
      <c r="AF17" s="122">
        <f t="shared" si="10"/>
        <v>0.29410000000000003</v>
      </c>
      <c r="AG17" s="121">
        <f t="shared" si="11"/>
        <v>5.5706861768368629E-4</v>
      </c>
      <c r="AH17" s="123">
        <f t="shared" si="12"/>
        <v>1</v>
      </c>
      <c r="AI17" s="183">
        <f t="shared" si="13"/>
        <v>4.7353673723536741E-4</v>
      </c>
      <c r="AJ17" s="120">
        <f t="shared" si="14"/>
        <v>4.4569277708592775E-4</v>
      </c>
      <c r="AK17" s="119">
        <f t="shared" si="15"/>
        <v>5.0138069738480708E-4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6.5118306351183057E-3</v>
      </c>
      <c r="J18" s="24">
        <f t="shared" si="17"/>
        <v>5.9778373230809975E-3</v>
      </c>
      <c r="K18" s="22">
        <f t="shared" ref="K18:K25" si="21">B18</f>
        <v>2.7132627646326277E-2</v>
      </c>
      <c r="L18" s="22">
        <f t="shared" ref="L18:L25" si="22">IF(K18="","",K18*H18)</f>
        <v>5.4265255292652555E-3</v>
      </c>
      <c r="M18" s="226">
        <f t="shared" ref="M18:M25" si="23">J18</f>
        <v>5.9778373230809975E-3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6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1.4514324240435771E-2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1.4514324240435771E-2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38001.451738246229</v>
      </c>
      <c r="T23" s="179">
        <f>SUM(T7:T22)</f>
        <v>36989.7857277039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0.9809046639998148</v>
      </c>
      <c r="J30" s="232">
        <f>IF(I$32&lt;=1,I30,1-SUM(J6:J29))</f>
        <v>0.57769954656647815</v>
      </c>
      <c r="K30" s="22">
        <f t="shared" si="4"/>
        <v>0.44088098929016184</v>
      </c>
      <c r="L30" s="22">
        <f>IF(L124=L119,0,IF(K30="",0,(L119-L124)/(B119-B124)*K30))</f>
        <v>0.12195730556038425</v>
      </c>
      <c r="M30" s="175">
        <f t="shared" si="6"/>
        <v>0.57769954656647815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2.3107981862659126</v>
      </c>
      <c r="Z30" s="122">
        <f>IF($Y30=0,0,AA30/($Y$30))</f>
        <v>0.23746848798626938</v>
      </c>
      <c r="AA30" s="187">
        <f>IF(AA79*4/$I$84+SUM(AA6:AA29)&lt;1,AA79*4/$I$84,1-SUM(AA6:AA29))</f>
        <v>0.54874175133397995</v>
      </c>
      <c r="AB30" s="122">
        <f>IF($Y30=0,0,AC30/($Y$30))</f>
        <v>0.28496397078918961</v>
      </c>
      <c r="AC30" s="187">
        <f>IF(AC79*4/$I$84+SUM(AC6:AC29)&lt;1,AC79*4/$I$84,1-SUM(AC6:AC29))</f>
        <v>0.65849422685079184</v>
      </c>
      <c r="AD30" s="122">
        <f>IF($Y30=0,0,AE30/($Y$30))</f>
        <v>0.27134411384308105</v>
      </c>
      <c r="AE30" s="187">
        <f>IF(AE79*4/$I$84+SUM(AE6:AE29)&lt;1,AE79*4/$I$84,1-SUM(AE6:AE29))</f>
        <v>0.62702148612252295</v>
      </c>
      <c r="AF30" s="122">
        <f>IF($Y30=0,0,AG30/($Y$30))</f>
        <v>0.2422515960557011</v>
      </c>
      <c r="AG30" s="187">
        <f>IF(AG79*4/$I$84+SUM(AG6:AG29)&lt;1,AG79*4/$I$84,1-SUM(AG6:AG29))</f>
        <v>0.55979454878553658</v>
      </c>
      <c r="AH30" s="123">
        <f t="shared" si="12"/>
        <v>1.036028168674241</v>
      </c>
      <c r="AI30" s="183">
        <f t="shared" si="13"/>
        <v>0.59851300327320778</v>
      </c>
      <c r="AJ30" s="120">
        <f t="shared" si="14"/>
        <v>0.60361798909238584</v>
      </c>
      <c r="AK30" s="119">
        <f t="shared" si="15"/>
        <v>0.59340801745402971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0.2457939648553189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2731.9356098640856</v>
      </c>
      <c r="T31" s="235">
        <f>IF(T25&gt;T$23,T25-T$23,0)</f>
        <v>3743.6016204064144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1.3892247865049381</v>
      </c>
      <c r="J32" s="17"/>
      <c r="L32" s="22">
        <f>SUM(L6:L30)</f>
        <v>0.7542060351446811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23193.13560986409</v>
      </c>
      <c r="T32" s="235">
        <f t="shared" si="24"/>
        <v>24204.801620406419</v>
      </c>
      <c r="U32" s="56"/>
      <c r="V32" s="56"/>
      <c r="W32" s="110"/>
      <c r="X32" s="118"/>
      <c r="Y32" s="115">
        <f>SUM(Y6:Y31)</f>
        <v>3.916746173173081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0.5079786235617223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3743.6016204064158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3.54</v>
      </c>
      <c r="J37" s="38">
        <f>J91*I$83</f>
        <v>3.5399999999999996</v>
      </c>
      <c r="K37" s="40">
        <f>(B37/B$65)</f>
        <v>2.8212458621727353E-4</v>
      </c>
      <c r="L37" s="22">
        <f t="shared" ref="L37" si="28">(K37*H37)</f>
        <v>6.6581402347276554E-5</v>
      </c>
      <c r="M37" s="24">
        <f>J37/B$65</f>
        <v>6.6581402347276554E-5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3.5399999999999996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3.5399999999999996</v>
      </c>
      <c r="AJ37" s="148">
        <f>(AA37+AC37)</f>
        <v>3.5399999999999996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7.08</v>
      </c>
      <c r="J38" s="38">
        <f t="shared" ref="J38:J64" si="32">J92*I$83</f>
        <v>7.0799999999999992</v>
      </c>
      <c r="K38" s="40">
        <f t="shared" ref="K38:K64" si="33">(B38/B$65)</f>
        <v>5.6424917243454707E-4</v>
      </c>
      <c r="L38" s="22">
        <f t="shared" ref="L38:L64" si="34">(K38*H38)</f>
        <v>1.3316280469455311E-4</v>
      </c>
      <c r="M38" s="24">
        <f t="shared" ref="M38:M64" si="35">J38/B$65</f>
        <v>1.3316280469455311E-4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7.0799999999999992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7.0799999999999992</v>
      </c>
      <c r="AJ38" s="148">
        <f t="shared" ref="AJ38:AJ64" si="38">(AA38+AC38)</f>
        <v>7.0799999999999992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2655</v>
      </c>
      <c r="J39" s="38">
        <f t="shared" si="32"/>
        <v>2655</v>
      </c>
      <c r="K39" s="40">
        <f t="shared" si="33"/>
        <v>0.11284983448690943</v>
      </c>
      <c r="L39" s="22">
        <f t="shared" si="34"/>
        <v>6.6581402347276553E-2</v>
      </c>
      <c r="M39" s="24">
        <f t="shared" si="35"/>
        <v>4.9936051760457421E-2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2655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2655</v>
      </c>
      <c r="AJ39" s="148">
        <f t="shared" si="38"/>
        <v>2655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885</v>
      </c>
      <c r="J40" s="38">
        <f t="shared" si="32"/>
        <v>884.99999999999989</v>
      </c>
      <c r="K40" s="40">
        <f t="shared" si="33"/>
        <v>1.4106229310863678E-2</v>
      </c>
      <c r="L40" s="22">
        <f t="shared" si="34"/>
        <v>8.3226752934095691E-3</v>
      </c>
      <c r="M40" s="24">
        <f t="shared" si="35"/>
        <v>1.6645350586819138E-2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884.99999999999989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884.99999999999989</v>
      </c>
      <c r="AJ40" s="148">
        <f t="shared" si="38"/>
        <v>884.99999999999989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27.999999999999996</v>
      </c>
      <c r="J43" s="38">
        <f t="shared" si="32"/>
        <v>27.999999999999996</v>
      </c>
      <c r="K43" s="40">
        <f t="shared" si="33"/>
        <v>3.7616611495636473E-4</v>
      </c>
      <c r="L43" s="22">
        <f t="shared" si="34"/>
        <v>1.0532651218778211E-4</v>
      </c>
      <c r="M43" s="24">
        <f t="shared" si="35"/>
        <v>5.2663256093891052E-4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6.9999999999999991</v>
      </c>
      <c r="AB43" s="156">
        <f>Poor!AB43</f>
        <v>0.25</v>
      </c>
      <c r="AC43" s="147">
        <f t="shared" si="41"/>
        <v>6.9999999999999991</v>
      </c>
      <c r="AD43" s="156">
        <f>Poor!AD43</f>
        <v>0.25</v>
      </c>
      <c r="AE43" s="147">
        <f t="shared" si="42"/>
        <v>6.9999999999999991</v>
      </c>
      <c r="AF43" s="122">
        <f t="shared" si="29"/>
        <v>0.25</v>
      </c>
      <c r="AG43" s="147">
        <f t="shared" si="36"/>
        <v>6.9999999999999991</v>
      </c>
      <c r="AH43" s="123">
        <f t="shared" si="37"/>
        <v>1</v>
      </c>
      <c r="AI43" s="112">
        <f t="shared" si="37"/>
        <v>27.999999999999996</v>
      </c>
      <c r="AJ43" s="148">
        <f t="shared" si="38"/>
        <v>13.999999999999998</v>
      </c>
      <c r="AK43" s="147">
        <f t="shared" si="39"/>
        <v>13.999999999999998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6.5829070117363832E-4</v>
      </c>
      <c r="L44" s="22">
        <f t="shared" si="34"/>
        <v>1.843213963286187E-4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9.4041528739091185E-4</v>
      </c>
      <c r="L45" s="22">
        <f t="shared" si="34"/>
        <v>2.6331628046945532E-4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3.818086066807102E-3</v>
      </c>
      <c r="L46" s="22">
        <f t="shared" si="34"/>
        <v>1.0690640987059885E-3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1.6457267529340958E-2</v>
      </c>
      <c r="L47" s="22">
        <f t="shared" si="34"/>
        <v>4.6080349082154677E-3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19.599999999999998</v>
      </c>
      <c r="J48" s="38">
        <f t="shared" si="32"/>
        <v>19.599999999999994</v>
      </c>
      <c r="K48" s="40">
        <f t="shared" si="33"/>
        <v>1.3165814023472766E-3</v>
      </c>
      <c r="L48" s="22">
        <f t="shared" si="34"/>
        <v>3.686427926572374E-4</v>
      </c>
      <c r="M48" s="24">
        <f t="shared" si="35"/>
        <v>3.6864279265723734E-4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4.8999999999999986</v>
      </c>
      <c r="AB48" s="156">
        <f>Poor!AB48</f>
        <v>0.25</v>
      </c>
      <c r="AC48" s="147">
        <f t="shared" si="41"/>
        <v>4.8999999999999986</v>
      </c>
      <c r="AD48" s="156">
        <f>Poor!AD48</f>
        <v>0.25</v>
      </c>
      <c r="AE48" s="147">
        <f t="shared" si="42"/>
        <v>4.8999999999999986</v>
      </c>
      <c r="AF48" s="122">
        <f t="shared" si="29"/>
        <v>0.25</v>
      </c>
      <c r="AG48" s="147">
        <f t="shared" si="36"/>
        <v>4.8999999999999986</v>
      </c>
      <c r="AH48" s="123">
        <f t="shared" si="37"/>
        <v>1</v>
      </c>
      <c r="AI48" s="112">
        <f t="shared" si="37"/>
        <v>19.599999999999994</v>
      </c>
      <c r="AJ48" s="148">
        <f t="shared" si="38"/>
        <v>9.7999999999999972</v>
      </c>
      <c r="AK48" s="147">
        <f t="shared" si="39"/>
        <v>9.7999999999999972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0.29566656635570265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33192.619999999995</v>
      </c>
      <c r="J65" s="39">
        <f>SUM(J37:J64)</f>
        <v>33192.619999999995</v>
      </c>
      <c r="K65" s="40">
        <f>SUM(K37:K64)</f>
        <v>1</v>
      </c>
      <c r="L65" s="22">
        <f>SUM(L37:L64)</f>
        <v>0.6383230514595245</v>
      </c>
      <c r="M65" s="24">
        <f>SUM(M37:M64)</f>
        <v>0.62429694553114645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10950.5</v>
      </c>
      <c r="AB65" s="137"/>
      <c r="AC65" s="153">
        <f>SUM(AC37:AC64)</f>
        <v>7421.12</v>
      </c>
      <c r="AD65" s="137"/>
      <c r="AE65" s="153">
        <f>SUM(AE37:AE64)</f>
        <v>7410.4999999999991</v>
      </c>
      <c r="AF65" s="137"/>
      <c r="AG65" s="153">
        <f>SUM(AG37:AG64)</f>
        <v>7410.4999999999991</v>
      </c>
      <c r="AH65" s="137"/>
      <c r="AI65" s="153">
        <f>SUM(AI37:AI64)</f>
        <v>33192.619999999995</v>
      </c>
      <c r="AJ65" s="153">
        <f>SUM(AJ37:AJ64)</f>
        <v>18371.62</v>
      </c>
      <c r="AK65" s="153">
        <f>SUM(AK37:AK64)</f>
        <v>14820.999999999998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0.32613602166716821</v>
      </c>
      <c r="L72" s="22">
        <f t="shared" si="45"/>
        <v>0.1082804302256609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18843.409076803666</v>
      </c>
      <c r="J74" s="51">
        <f t="shared" si="44"/>
        <v>11097.744030543414</v>
      </c>
      <c r="K74" s="40">
        <f>B74/B$76</f>
        <v>9.6542775755527083E-2</v>
      </c>
      <c r="L74" s="22">
        <f t="shared" si="45"/>
        <v>4.4064634665570729E-2</v>
      </c>
      <c r="M74" s="24">
        <f>J74/B$76</f>
        <v>0.20872976283748521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4011.8674997394128</v>
      </c>
      <c r="AB74" s="156"/>
      <c r="AC74" s="147">
        <f>AC30*$I$84/4</f>
        <v>4814.271159514622</v>
      </c>
      <c r="AD74" s="156"/>
      <c r="AE74" s="147">
        <f>AE30*$I$84/4</f>
        <v>4584.1730025063016</v>
      </c>
      <c r="AF74" s="156"/>
      <c r="AG74" s="147">
        <f>AG30*$I$84/4</f>
        <v>4092.6748353746316</v>
      </c>
      <c r="AH74" s="155"/>
      <c r="AI74" s="147">
        <f>SUM(AA74,AC74,AE74,AG74)</f>
        <v>17502.986497134967</v>
      </c>
      <c r="AJ74" s="148">
        <f>(AA74+AC74)</f>
        <v>8826.1386592540348</v>
      </c>
      <c r="AK74" s="147">
        <f>(AE74+AG74)</f>
        <v>8676.8478378809341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4486.0808346456497</v>
      </c>
      <c r="AB75" s="158"/>
      <c r="AC75" s="149">
        <f>AA75+AC65-SUM(AC70,AC74)</f>
        <v>3505.6269443319434</v>
      </c>
      <c r="AD75" s="158"/>
      <c r="AE75" s="149">
        <f>AC75+AE65-SUM(AE70,AE74)</f>
        <v>2744.6512110265585</v>
      </c>
      <c r="AF75" s="158"/>
      <c r="AG75" s="149">
        <f>IF(SUM(AG6:AG29)+((AG65-AG70-$J$75)*4/I$83)&lt;1,0,AG65-AG70-$J$75-(1-SUM(AG6:AG29))*I$83/4)</f>
        <v>1134.7510651841449</v>
      </c>
      <c r="AH75" s="134"/>
      <c r="AI75" s="149">
        <f>AI76-SUM(AI70,AI74)</f>
        <v>1340.4225796686951</v>
      </c>
      <c r="AJ75" s="151">
        <f>AJ76-SUM(AJ70,AJ74)</f>
        <v>2370.8758791477976</v>
      </c>
      <c r="AK75" s="149">
        <f>AJ75+AK76-SUM(AK70,AK74)</f>
        <v>1340.4225796686951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33192.620000000003</v>
      </c>
      <c r="J76" s="51">
        <f t="shared" si="44"/>
        <v>33192.620000000003</v>
      </c>
      <c r="K76" s="40">
        <f>SUM(K70:K75)</f>
        <v>0.99999999999999967</v>
      </c>
      <c r="L76" s="22">
        <f>SUM(L70:L75)</f>
        <v>0.63832305145952473</v>
      </c>
      <c r="M76" s="24">
        <f>SUM(M70:M75)</f>
        <v>0.69470774940577817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10950.5</v>
      </c>
      <c r="AB76" s="137"/>
      <c r="AC76" s="153">
        <f>AC65</f>
        <v>7421.12</v>
      </c>
      <c r="AD76" s="137"/>
      <c r="AE76" s="153">
        <f>AE65</f>
        <v>7410.4999999999991</v>
      </c>
      <c r="AF76" s="137"/>
      <c r="AG76" s="153">
        <f>AG65</f>
        <v>7410.4999999999991</v>
      </c>
      <c r="AH76" s="137"/>
      <c r="AI76" s="153">
        <f>SUM(AA76,AC76,AE76,AG76)</f>
        <v>33192.619999999995</v>
      </c>
      <c r="AJ76" s="154">
        <f>SUM(AA76,AC76)</f>
        <v>18371.62</v>
      </c>
      <c r="AK76" s="154">
        <f>SUM(AE76,AG76)</f>
        <v>14820.999999999998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3743.6016204064153</v>
      </c>
      <c r="K77" s="40"/>
      <c r="L77" s="22">
        <f>-(L131*G$37*F$9/F$7)/B$130</f>
        <v>-0.10781321005922231</v>
      </c>
      <c r="M77" s="24">
        <f>-J77/B$76</f>
        <v>-7.0410803874631653E-2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1134.7510651841449</v>
      </c>
      <c r="AB78" s="112"/>
      <c r="AC78" s="112">
        <f>IF(AA75&lt;0,0,AA75)</f>
        <v>4486.0808346456497</v>
      </c>
      <c r="AD78" s="112"/>
      <c r="AE78" s="112">
        <f>AC75</f>
        <v>3505.6269443319434</v>
      </c>
      <c r="AF78" s="112"/>
      <c r="AG78" s="112">
        <f>AE75</f>
        <v>2744.6512110265585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8497.9483343850625</v>
      </c>
      <c r="AB79" s="112"/>
      <c r="AC79" s="112">
        <f>AA79-AA74+AC65-AC70</f>
        <v>8319.8981038465663</v>
      </c>
      <c r="AD79" s="112"/>
      <c r="AE79" s="112">
        <f>AC79-AC74+AE65-AE70</f>
        <v>7328.8242135328601</v>
      </c>
      <c r="AF79" s="112"/>
      <c r="AG79" s="112">
        <f>AE79-AE74+AG65-AG70</f>
        <v>6567.8484802274743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0.14303030303030304</v>
      </c>
      <c r="I91" s="22">
        <f t="shared" ref="I91" si="52">(D91*H91)</f>
        <v>1.84276767351715E-4</v>
      </c>
      <c r="J91" s="24">
        <f>IF(I$32&lt;=1+I$131,I91,L91+J$33*(I91-L91))</f>
        <v>1.84276767351715E-4</v>
      </c>
      <c r="K91" s="22">
        <f t="shared" ref="K91" si="53">(B91)</f>
        <v>1.2883757039420752E-3</v>
      </c>
      <c r="L91" s="22">
        <f t="shared" ref="L91" si="54">(K91*H91)</f>
        <v>1.84276767351715E-4</v>
      </c>
      <c r="M91" s="228">
        <f t="shared" si="49"/>
        <v>1.84276767351715E-4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0.14303030303030304</v>
      </c>
      <c r="I92" s="22">
        <f t="shared" ref="I92:I118" si="58">(D92*H92)</f>
        <v>3.6855353470343E-4</v>
      </c>
      <c r="J92" s="24">
        <f t="shared" ref="J92:J118" si="59">IF(I$32&lt;=1+I$131,I92,L92+J$33*(I92-L92))</f>
        <v>3.6855353470343E-4</v>
      </c>
      <c r="K92" s="22">
        <f t="shared" ref="K92:K118" si="60">(B92)</f>
        <v>2.5767514078841505E-3</v>
      </c>
      <c r="L92" s="22">
        <f t="shared" ref="L92:L118" si="61">(K92*H92)</f>
        <v>3.6855353470343E-4</v>
      </c>
      <c r="M92" s="228">
        <f t="shared" ref="M92:M118" si="62">(J92)</f>
        <v>3.6855353470343E-4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0.3575757575757576</v>
      </c>
      <c r="I93" s="22">
        <f t="shared" si="58"/>
        <v>0.13820757551378626</v>
      </c>
      <c r="J93" s="24">
        <f t="shared" si="59"/>
        <v>0.13820757551378626</v>
      </c>
      <c r="K93" s="22">
        <f t="shared" si="60"/>
        <v>0.51535028157683005</v>
      </c>
      <c r="L93" s="22">
        <f t="shared" si="61"/>
        <v>0.184276767351715</v>
      </c>
      <c r="M93" s="228">
        <f t="shared" si="62"/>
        <v>0.13820757551378626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0.3575757575757576</v>
      </c>
      <c r="I94" s="22">
        <f t="shared" si="58"/>
        <v>4.606919183792875E-2</v>
      </c>
      <c r="J94" s="24">
        <f t="shared" si="59"/>
        <v>4.606919183792875E-2</v>
      </c>
      <c r="K94" s="22">
        <f t="shared" si="60"/>
        <v>6.4418785197103756E-2</v>
      </c>
      <c r="L94" s="22">
        <f t="shared" si="61"/>
        <v>2.3034595918964375E-2</v>
      </c>
      <c r="M94" s="228">
        <f t="shared" si="62"/>
        <v>4.606919183792875E-2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0.16969696969696968</v>
      </c>
      <c r="I97" s="22">
        <f t="shared" si="58"/>
        <v>1.4575563519344688E-3</v>
      </c>
      <c r="J97" s="24">
        <f t="shared" si="59"/>
        <v>1.4575563519344688E-3</v>
      </c>
      <c r="K97" s="22">
        <f t="shared" si="60"/>
        <v>1.717834271922767E-3</v>
      </c>
      <c r="L97" s="22">
        <f t="shared" si="61"/>
        <v>2.9151127038689375E-4</v>
      </c>
      <c r="M97" s="228">
        <f t="shared" si="62"/>
        <v>1.4575563519344688E-3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3.0062099758648422E-3</v>
      </c>
      <c r="L98" s="22">
        <f t="shared" si="61"/>
        <v>5.1014472317706405E-4</v>
      </c>
      <c r="M98" s="228">
        <f t="shared" si="62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4.2945856798069174E-3</v>
      </c>
      <c r="L99" s="22">
        <f t="shared" si="61"/>
        <v>7.287781759672344E-4</v>
      </c>
      <c r="M99" s="228">
        <f t="shared" si="62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1.7436017860016084E-2</v>
      </c>
      <c r="L100" s="22">
        <f t="shared" si="61"/>
        <v>2.9588393944269716E-3</v>
      </c>
      <c r="M100" s="228">
        <f t="shared" si="62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7.5155249396621049E-2</v>
      </c>
      <c r="L101" s="22">
        <f t="shared" si="61"/>
        <v>1.27536180794266E-2</v>
      </c>
      <c r="M101" s="228">
        <f t="shared" si="62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0.16969696969696968</v>
      </c>
      <c r="I102" s="22">
        <f t="shared" si="58"/>
        <v>1.0202894463541281E-3</v>
      </c>
      <c r="J102" s="24">
        <f t="shared" si="59"/>
        <v>1.0202894463541281E-3</v>
      </c>
      <c r="K102" s="22">
        <f t="shared" si="60"/>
        <v>6.0124199517296844E-3</v>
      </c>
      <c r="L102" s="22">
        <f t="shared" si="61"/>
        <v>1.0202894463541281E-3</v>
      </c>
      <c r="M102" s="228">
        <f t="shared" si="62"/>
        <v>1.0202894463541281E-3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</v>
      </c>
      <c r="I105" s="22">
        <f t="shared" si="58"/>
        <v>0</v>
      </c>
      <c r="J105" s="24">
        <f t="shared" si="59"/>
        <v>0</v>
      </c>
      <c r="K105" s="22">
        <f t="shared" si="60"/>
        <v>1.3502177377312949</v>
      </c>
      <c r="L105" s="22">
        <f t="shared" si="61"/>
        <v>0</v>
      </c>
      <c r="M105" s="228">
        <f t="shared" si="62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1.7278612185123963</v>
      </c>
      <c r="J119" s="24">
        <f>SUM(J91:J118)</f>
        <v>1.7278612185123963</v>
      </c>
      <c r="K119" s="22">
        <f>SUM(K91:K118)</f>
        <v>4.566690628479483</v>
      </c>
      <c r="L119" s="22">
        <f>SUM(L91:L118)</f>
        <v>1.766681149722811</v>
      </c>
      <c r="M119" s="57">
        <f t="shared" si="49"/>
        <v>1.7278612185123963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0.299686803611668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0.9809046639998148</v>
      </c>
      <c r="J128" s="229">
        <f>(J30)</f>
        <v>0.57769954656647815</v>
      </c>
      <c r="K128" s="22">
        <f>(B128)</f>
        <v>0.44088098929016184</v>
      </c>
      <c r="L128" s="22">
        <f>IF(L124=L119,0,(L119-L124)/(B119-B124)*K128)</f>
        <v>0.12195730556038425</v>
      </c>
      <c r="M128" s="57">
        <f t="shared" si="63"/>
        <v>0.57769954656647815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1.7278612185123963</v>
      </c>
      <c r="J130" s="229">
        <f>(J119)</f>
        <v>1.7278612185123963</v>
      </c>
      <c r="K130" s="22">
        <f>(B130)</f>
        <v>4.566690628479483</v>
      </c>
      <c r="L130" s="22">
        <f>(L119)</f>
        <v>1.766681149722811</v>
      </c>
      <c r="M130" s="57">
        <f t="shared" si="63"/>
        <v>1.7278612185123963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0.19487536860484078</v>
      </c>
      <c r="K131" s="29"/>
      <c r="L131" s="29">
        <f>IF(I131&lt;SUM(L126:L127),0,I131-(SUM(L126:L127)))</f>
        <v>0.29839368242650943</v>
      </c>
      <c r="M131" s="238">
        <f>IF(I131&lt;SUM(M126:M127),0,I131-(SUM(M126:M127)))</f>
        <v>0.59808048603817743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2.711252801992528E-2</v>
      </c>
      <c r="J6" s="24">
        <f t="shared" ref="J6:J13" si="3">IF(I$32&lt;=1+I$131,I6,B6*H6+J$33*(I6-B6*H6))</f>
        <v>2.711252801992528E-2</v>
      </c>
      <c r="K6" s="22">
        <f t="shared" ref="K6:K31" si="4">B6</f>
        <v>0.1355626400996264</v>
      </c>
      <c r="L6" s="22">
        <f t="shared" ref="L6:L29" si="5">IF(K6="","",K6*H6)</f>
        <v>2.711252801992528E-2</v>
      </c>
      <c r="M6" s="177">
        <f t="shared" ref="M6:M31" si="6">J6</f>
        <v>2.711252801992528E-2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0.10845011207970112</v>
      </c>
      <c r="Z6" s="156">
        <f>Poor!Z6</f>
        <v>0.17</v>
      </c>
      <c r="AA6" s="121">
        <f>$M6*Z6*4</f>
        <v>1.8436519053549191E-2</v>
      </c>
      <c r="AB6" s="156">
        <f>Poor!AB6</f>
        <v>0.17</v>
      </c>
      <c r="AC6" s="121">
        <f t="shared" ref="AC6:AC29" si="7">$M6*AB6*4</f>
        <v>1.8436519053549191E-2</v>
      </c>
      <c r="AD6" s="156">
        <f>Poor!AD6</f>
        <v>0.33</v>
      </c>
      <c r="AE6" s="121">
        <f t="shared" ref="AE6:AE29" si="8">$M6*AD6*4</f>
        <v>3.578853698630137E-2</v>
      </c>
      <c r="AF6" s="122">
        <f>1-SUM(Z6,AB6,AD6)</f>
        <v>0.32999999999999996</v>
      </c>
      <c r="AG6" s="121">
        <f>$M6*AF6*4</f>
        <v>3.5788536986301363E-2</v>
      </c>
      <c r="AH6" s="123">
        <f>SUM(Z6,AB6,AD6,AF6)</f>
        <v>1</v>
      </c>
      <c r="AI6" s="183">
        <f>SUM(AA6,AC6,AE6,AG6)/4</f>
        <v>2.711252801992528E-2</v>
      </c>
      <c r="AJ6" s="120">
        <f>(AA6+AC6)/2</f>
        <v>1.8436519053549191E-2</v>
      </c>
      <c r="AK6" s="119">
        <f>(AE6+AG6)/2</f>
        <v>3.578853698630137E-2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1060.4793841858</v>
      </c>
      <c r="T7" s="223">
        <f>IF($B$81=0,0,(SUMIF($N$6:$N$28,$U7,M$6:M$28)+SUMIF($N$91:$N$118,$U7,M$91:M$118))*$I$83*Poor!$B$81/$B$81)</f>
        <v>1194.3163151332012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1.2383125778331259E-2</v>
      </c>
      <c r="J8" s="24">
        <f t="shared" si="3"/>
        <v>1.2383125778331259E-2</v>
      </c>
      <c r="K8" s="22">
        <f t="shared" si="4"/>
        <v>6.1915628891656291E-2</v>
      </c>
      <c r="L8" s="22">
        <f t="shared" si="5"/>
        <v>1.2383125778331259E-2</v>
      </c>
      <c r="M8" s="225">
        <f t="shared" si="6"/>
        <v>1.2383125778331259E-2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7746.0687500000022</v>
      </c>
      <c r="T8" s="223">
        <f>IF($B$81=0,0,(SUMIF($N$6:$N$28,$U8,M$6:M$28)+SUMIF($N$91:$N$118,$U8,M$91:M$118))*$I$83*Poor!$B$81/$B$81)</f>
        <v>7540.0647711328329</v>
      </c>
      <c r="U8" s="224">
        <v>2</v>
      </c>
      <c r="V8" s="56"/>
      <c r="W8" s="115"/>
      <c r="X8" s="118">
        <f>Poor!X8</f>
        <v>1</v>
      </c>
      <c r="Y8" s="183">
        <f t="shared" si="9"/>
        <v>4.9532503113325035E-2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4.9532503113325035E-2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1.2383125778331259E-2</v>
      </c>
      <c r="AJ8" s="120">
        <f t="shared" si="14"/>
        <v>2.4766251556662518E-2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0.26651061061643833</v>
      </c>
      <c r="J9" s="24">
        <f t="shared" si="3"/>
        <v>2.252586331994845E-2</v>
      </c>
      <c r="K9" s="22">
        <f t="shared" si="4"/>
        <v>5.2048232876712328E-2</v>
      </c>
      <c r="L9" s="22">
        <f t="shared" si="5"/>
        <v>1.5614469863013698E-2</v>
      </c>
      <c r="M9" s="225">
        <f t="shared" si="6"/>
        <v>2.252586331994845E-2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758.72078968573749</v>
      </c>
      <c r="T9" s="223">
        <f>IF($B$81=0,0,(SUMIF($N$6:$N$28,$U9,M$6:M$28)+SUMIF($N$91:$N$118,$U9,M$91:M$118))*$I$83*Poor!$B$81/$B$81)</f>
        <v>758.72078968573749</v>
      </c>
      <c r="U9" s="224">
        <v>3</v>
      </c>
      <c r="V9" s="56"/>
      <c r="W9" s="115"/>
      <c r="X9" s="118">
        <f>Poor!X9</f>
        <v>1</v>
      </c>
      <c r="Y9" s="183">
        <f t="shared" si="9"/>
        <v>9.0103453279793799E-2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9.0103453279793799E-2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2.252586331994845E-2</v>
      </c>
      <c r="AJ9" s="120">
        <f t="shared" si="14"/>
        <v>4.50517266398969E-2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0.2</v>
      </c>
      <c r="H10" s="24">
        <f t="shared" si="1"/>
        <v>0.2</v>
      </c>
      <c r="I10" s="22">
        <f t="shared" si="2"/>
        <v>3.9886699875467E-3</v>
      </c>
      <c r="J10" s="24">
        <f t="shared" si="3"/>
        <v>3.9886699875467E-3</v>
      </c>
      <c r="K10" s="22">
        <f t="shared" si="4"/>
        <v>1.9943349937733498E-2</v>
      </c>
      <c r="L10" s="22">
        <f t="shared" si="5"/>
        <v>3.9886699875467E-3</v>
      </c>
      <c r="M10" s="225">
        <f t="shared" si="6"/>
        <v>3.9886699875467E-3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19.174999999999997</v>
      </c>
      <c r="T10" s="223">
        <f>IF($B$81=0,0,(SUMIF($N$6:$N$28,$U10,M$6:M$28)+SUMIF($N$91:$N$118,$U10,M$91:M$118))*$I$83*Poor!$B$81/$B$81)</f>
        <v>19.174999999999997</v>
      </c>
      <c r="U10" s="224">
        <v>4</v>
      </c>
      <c r="V10" s="56"/>
      <c r="W10" s="115"/>
      <c r="X10" s="118">
        <f>Poor!X10</f>
        <v>1</v>
      </c>
      <c r="Y10" s="183">
        <f t="shared" si="9"/>
        <v>1.59546799501868E-2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1.59546799501868E-2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3.9886699875467E-3</v>
      </c>
      <c r="AJ10" s="120">
        <f t="shared" si="14"/>
        <v>7.9773399750934001E-3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0.2</v>
      </c>
      <c r="H11" s="24">
        <f t="shared" si="1"/>
        <v>0.2</v>
      </c>
      <c r="I11" s="22">
        <f t="shared" si="2"/>
        <v>2.209410336239104E-3</v>
      </c>
      <c r="J11" s="24">
        <f t="shared" si="3"/>
        <v>3.9282488036393006E-3</v>
      </c>
      <c r="K11" s="22">
        <f t="shared" si="4"/>
        <v>1.9884693026151933E-2</v>
      </c>
      <c r="L11" s="22">
        <f t="shared" si="5"/>
        <v>3.9769386052303868E-3</v>
      </c>
      <c r="M11" s="225">
        <f t="shared" si="6"/>
        <v>3.9282488036393006E-3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20281.25</v>
      </c>
      <c r="T11" s="223">
        <f>IF($B$81=0,0,(SUMIF($N$6:$N$28,$U11,M$6:M$28)+SUMIF($N$91:$N$118,$U11,M$91:M$118))*$I$83*Poor!$B$81/$B$81)</f>
        <v>20174.592115742751</v>
      </c>
      <c r="U11" s="224">
        <v>5</v>
      </c>
      <c r="V11" s="56"/>
      <c r="W11" s="115"/>
      <c r="X11" s="118">
        <f>Poor!X11</f>
        <v>1</v>
      </c>
      <c r="Y11" s="183">
        <f t="shared" si="9"/>
        <v>1.5712995214557202E-2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1.5712995214557202E-2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3.9282488036393006E-3</v>
      </c>
      <c r="AJ11" s="120">
        <f t="shared" si="14"/>
        <v>7.8564976072786012E-3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0.2</v>
      </c>
      <c r="H12" s="24">
        <f t="shared" si="1"/>
        <v>0.2</v>
      </c>
      <c r="I12" s="22">
        <f t="shared" si="2"/>
        <v>1.2065726712328769E-2</v>
      </c>
      <c r="J12" s="24">
        <f t="shared" si="3"/>
        <v>1.2065726712328769E-2</v>
      </c>
      <c r="K12" s="22">
        <f t="shared" si="4"/>
        <v>6.0328633561643842E-2</v>
      </c>
      <c r="L12" s="22">
        <f t="shared" si="5"/>
        <v>1.2065726712328769E-2</v>
      </c>
      <c r="M12" s="225">
        <f t="shared" si="6"/>
        <v>1.2065726712328769E-2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186.81053882051509</v>
      </c>
      <c r="U12" s="224">
        <v>6</v>
      </c>
      <c r="V12" s="56"/>
      <c r="W12" s="117"/>
      <c r="X12" s="118"/>
      <c r="Y12" s="183">
        <f t="shared" si="9"/>
        <v>4.8262906849315078E-2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3.2336147589041103E-2</v>
      </c>
      <c r="AF12" s="122">
        <f>1-SUM(Z12,AB12,AD12)</f>
        <v>0.32999999999999996</v>
      </c>
      <c r="AG12" s="121">
        <f>$M12*AF12*4</f>
        <v>1.5926759260273975E-2</v>
      </c>
      <c r="AH12" s="123">
        <f t="shared" si="12"/>
        <v>1</v>
      </c>
      <c r="AI12" s="183">
        <f t="shared" si="13"/>
        <v>1.2065726712328769E-2</v>
      </c>
      <c r="AJ12" s="120">
        <f t="shared" si="14"/>
        <v>0</v>
      </c>
      <c r="AK12" s="119">
        <f t="shared" si="15"/>
        <v>2.4131453424657539E-2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0.2</v>
      </c>
      <c r="H13" s="24">
        <f t="shared" si="1"/>
        <v>0.2</v>
      </c>
      <c r="I13" s="22">
        <f t="shared" si="2"/>
        <v>1.4664227895392278E-4</v>
      </c>
      <c r="J13" s="24">
        <f t="shared" si="3"/>
        <v>1.4664227895392278E-4</v>
      </c>
      <c r="K13" s="22">
        <f t="shared" si="4"/>
        <v>7.3321139476961381E-4</v>
      </c>
      <c r="L13" s="22">
        <f t="shared" si="5"/>
        <v>1.4664227895392278E-4</v>
      </c>
      <c r="M13" s="226">
        <f t="shared" si="6"/>
        <v>1.4664227895392278E-4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5.8656911581569113E-4</v>
      </c>
      <c r="Z13" s="156">
        <f>Poor!Z13</f>
        <v>1</v>
      </c>
      <c r="AA13" s="121">
        <f>$M13*Z13*4</f>
        <v>5.8656911581569113E-4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1.4664227895392278E-4</v>
      </c>
      <c r="AJ13" s="120">
        <f t="shared" si="14"/>
        <v>2.9328455790784557E-4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0.2</v>
      </c>
      <c r="F14" s="22"/>
      <c r="H14" s="24">
        <f t="shared" si="1"/>
        <v>0.2</v>
      </c>
      <c r="I14" s="22">
        <f t="shared" si="2"/>
        <v>7.1030510585305109E-4</v>
      </c>
      <c r="J14" s="24">
        <f>IF(I$32&lt;=1+I131,I14,B14*H14+J$33*(I14-B14*H14))</f>
        <v>3.9150274361562893E-4</v>
      </c>
      <c r="K14" s="22">
        <f t="shared" si="4"/>
        <v>1.9123599003735992E-3</v>
      </c>
      <c r="L14" s="22">
        <f t="shared" si="5"/>
        <v>3.8247198007471984E-4</v>
      </c>
      <c r="M14" s="226">
        <f t="shared" si="6"/>
        <v>3.9150274361562893E-4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1.5660109744625157E-3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1.5660109744625157E-3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3.9150274361562893E-4</v>
      </c>
      <c r="AJ14" s="120">
        <f t="shared" si="14"/>
        <v>7.8300548723125786E-4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1.5094378580323788E-2</v>
      </c>
      <c r="J15" s="24">
        <f>IF(I$32&lt;=1+I131,I15,B15*H15+J$33*(I15-B15*H15))</f>
        <v>1.3259556543773799E-2</v>
      </c>
      <c r="K15" s="22">
        <f t="shared" si="4"/>
        <v>6.6037906288916565E-2</v>
      </c>
      <c r="L15" s="22">
        <f t="shared" si="5"/>
        <v>1.3207581257783313E-2</v>
      </c>
      <c r="M15" s="227">
        <f t="shared" si="6"/>
        <v>1.3259556543773799E-2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5.3038226175095196E-2</v>
      </c>
      <c r="Z15" s="156">
        <f>Poor!Z15</f>
        <v>0.25</v>
      </c>
      <c r="AA15" s="121">
        <f t="shared" si="16"/>
        <v>1.3259556543773799E-2</v>
      </c>
      <c r="AB15" s="156">
        <f>Poor!AB15</f>
        <v>0.25</v>
      </c>
      <c r="AC15" s="121">
        <f t="shared" si="7"/>
        <v>1.3259556543773799E-2</v>
      </c>
      <c r="AD15" s="156">
        <f>Poor!AD15</f>
        <v>0.25</v>
      </c>
      <c r="AE15" s="121">
        <f t="shared" si="8"/>
        <v>1.3259556543773799E-2</v>
      </c>
      <c r="AF15" s="122">
        <f t="shared" si="10"/>
        <v>0.25</v>
      </c>
      <c r="AG15" s="121">
        <f t="shared" si="11"/>
        <v>1.3259556543773799E-2</v>
      </c>
      <c r="AH15" s="123">
        <f t="shared" si="12"/>
        <v>1</v>
      </c>
      <c r="AI15" s="183">
        <f t="shared" si="13"/>
        <v>1.3259556543773799E-2</v>
      </c>
      <c r="AJ15" s="120">
        <f t="shared" si="14"/>
        <v>1.3259556543773799E-2</v>
      </c>
      <c r="AK15" s="119">
        <f t="shared" si="15"/>
        <v>1.3259556543773799E-2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0.2</v>
      </c>
      <c r="F17" s="22"/>
      <c r="H17" s="24">
        <f t="shared" si="1"/>
        <v>0.2</v>
      </c>
      <c r="I17" s="22">
        <f t="shared" si="2"/>
        <v>7.7405043586550436E-4</v>
      </c>
      <c r="J17" s="24">
        <f t="shared" ref="J17:J25" si="17">IF(I$32&lt;=1+I131,I17,B17*H17+J$33*(I17-B17*H17))</f>
        <v>1.8957943843023043E-4</v>
      </c>
      <c r="K17" s="22">
        <f t="shared" si="4"/>
        <v>8.6511519302615199E-4</v>
      </c>
      <c r="L17" s="22">
        <f t="shared" si="5"/>
        <v>1.7302303860523041E-4</v>
      </c>
      <c r="M17" s="226">
        <f t="shared" si="6"/>
        <v>1.8957943843023043E-4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7.5831775372092172E-4</v>
      </c>
      <c r="Z17" s="156">
        <f>Poor!Z17</f>
        <v>0.29409999999999997</v>
      </c>
      <c r="AA17" s="121">
        <f t="shared" si="16"/>
        <v>2.2302125136932307E-4</v>
      </c>
      <c r="AB17" s="156">
        <f>Poor!AB17</f>
        <v>0.17649999999999999</v>
      </c>
      <c r="AC17" s="121">
        <f t="shared" si="7"/>
        <v>1.3384308353174267E-4</v>
      </c>
      <c r="AD17" s="156">
        <f>Poor!AD17</f>
        <v>0.23530000000000001</v>
      </c>
      <c r="AE17" s="121">
        <f t="shared" si="8"/>
        <v>1.7843216745053289E-4</v>
      </c>
      <c r="AF17" s="122">
        <f t="shared" si="10"/>
        <v>0.29410000000000003</v>
      </c>
      <c r="AG17" s="121">
        <f t="shared" si="11"/>
        <v>2.2302125136932309E-4</v>
      </c>
      <c r="AH17" s="123">
        <f t="shared" si="12"/>
        <v>1</v>
      </c>
      <c r="AI17" s="183">
        <f t="shared" si="13"/>
        <v>1.8957943843023043E-4</v>
      </c>
      <c r="AJ17" s="120">
        <f t="shared" si="14"/>
        <v>1.7843216745053287E-4</v>
      </c>
      <c r="AK17" s="119">
        <f t="shared" si="15"/>
        <v>2.0072670940992799E-4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5.814134495641346E-3</v>
      </c>
      <c r="J18" s="24">
        <f t="shared" si="17"/>
        <v>4.8718055759224693E-3</v>
      </c>
      <c r="K18" s="22">
        <f t="shared" ref="K18:K25" si="21">B18</f>
        <v>2.4225560398505604E-2</v>
      </c>
      <c r="L18" s="22">
        <f t="shared" ref="L18:L25" si="22">IF(K18="","",K18*H18)</f>
        <v>4.8451120797011211E-3</v>
      </c>
      <c r="M18" s="226">
        <f t="shared" ref="M18:M25" si="23">J18</f>
        <v>4.8718055759224693E-3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8.0323785803237859E-4</v>
      </c>
      <c r="J19" s="24">
        <f t="shared" si="17"/>
        <v>8.0323785803237859E-4</v>
      </c>
      <c r="K19" s="22">
        <f t="shared" si="21"/>
        <v>4.0161892901618926E-3</v>
      </c>
      <c r="L19" s="22">
        <f t="shared" si="22"/>
        <v>8.0323785803237859E-4</v>
      </c>
      <c r="M19" s="226">
        <f t="shared" si="23"/>
        <v>8.0323785803237859E-4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9.7245316952193732E-3</v>
      </c>
      <c r="K21" s="22">
        <f t="shared" si="21"/>
        <v>0.01</v>
      </c>
      <c r="L21" s="22">
        <f t="shared" si="22"/>
        <v>0.01</v>
      </c>
      <c r="M21" s="226">
        <f t="shared" si="23"/>
        <v>9.7245316952193732E-3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80470.982640705755</v>
      </c>
      <c r="T23" s="179">
        <f>SUM(T7:T22)</f>
        <v>80286.865897667623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2.5782577011002943E-2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2.5782577011002943E-2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0.10313030804401177</v>
      </c>
      <c r="Z27" s="156">
        <f>Poor!Z27</f>
        <v>0.25</v>
      </c>
      <c r="AA27" s="121">
        <f t="shared" si="16"/>
        <v>2.5782577011002943E-2</v>
      </c>
      <c r="AB27" s="156">
        <f>Poor!AB27</f>
        <v>0.25</v>
      </c>
      <c r="AC27" s="121">
        <f t="shared" si="7"/>
        <v>2.5782577011002943E-2</v>
      </c>
      <c r="AD27" s="156">
        <f>Poor!AD27</f>
        <v>0.25</v>
      </c>
      <c r="AE27" s="121">
        <f t="shared" si="8"/>
        <v>2.5782577011002943E-2</v>
      </c>
      <c r="AF27" s="122">
        <f t="shared" si="10"/>
        <v>0.25</v>
      </c>
      <c r="AG27" s="121">
        <f t="shared" si="11"/>
        <v>2.5782577011002943E-2</v>
      </c>
      <c r="AH27" s="123">
        <f t="shared" si="12"/>
        <v>1</v>
      </c>
      <c r="AI27" s="183">
        <f t="shared" si="13"/>
        <v>2.5782577011002943E-2</v>
      </c>
      <c r="AJ27" s="120">
        <f t="shared" si="14"/>
        <v>2.5782577011002943E-2</v>
      </c>
      <c r="AK27" s="119">
        <f t="shared" si="15"/>
        <v>2.5782577011002943E-2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0.13157480303550173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0.13157480303550173</v>
      </c>
      <c r="N28" s="230"/>
      <c r="O28" s="2"/>
      <c r="P28" s="22"/>
      <c r="U28" s="56"/>
      <c r="V28" s="56"/>
      <c r="W28" s="110"/>
      <c r="X28" s="118"/>
      <c r="Y28" s="183">
        <f t="shared" si="9"/>
        <v>0.52629921214200692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0.26314960607100346</v>
      </c>
      <c r="AF28" s="122">
        <f t="shared" si="10"/>
        <v>0.5</v>
      </c>
      <c r="AG28" s="121">
        <f t="shared" si="11"/>
        <v>0.26314960607100346</v>
      </c>
      <c r="AH28" s="123">
        <f t="shared" si="12"/>
        <v>1</v>
      </c>
      <c r="AI28" s="183">
        <f t="shared" si="13"/>
        <v>0.13157480303550173</v>
      </c>
      <c r="AJ28" s="120">
        <f t="shared" si="14"/>
        <v>0</v>
      </c>
      <c r="AK28" s="119">
        <f t="shared" si="15"/>
        <v>0.26314960607100346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0.4021435773033995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0.4021435773033995</v>
      </c>
      <c r="N29" s="230"/>
      <c r="P29" s="22"/>
      <c r="V29" s="56"/>
      <c r="W29" s="110"/>
      <c r="X29" s="118"/>
      <c r="Y29" s="183">
        <f t="shared" si="9"/>
        <v>1.608574309213598</v>
      </c>
      <c r="Z29" s="156">
        <f>Poor!Z29</f>
        <v>0.25</v>
      </c>
      <c r="AA29" s="121">
        <f t="shared" si="16"/>
        <v>0.4021435773033995</v>
      </c>
      <c r="AB29" s="156">
        <f>Poor!AB29</f>
        <v>0.25</v>
      </c>
      <c r="AC29" s="121">
        <f t="shared" si="7"/>
        <v>0.4021435773033995</v>
      </c>
      <c r="AD29" s="156">
        <f>Poor!AD29</f>
        <v>0.25</v>
      </c>
      <c r="AE29" s="121">
        <f t="shared" si="8"/>
        <v>0.4021435773033995</v>
      </c>
      <c r="AF29" s="122">
        <f t="shared" si="10"/>
        <v>0.25</v>
      </c>
      <c r="AG29" s="121">
        <f t="shared" si="11"/>
        <v>0.4021435773033995</v>
      </c>
      <c r="AH29" s="123">
        <f t="shared" si="12"/>
        <v>1</v>
      </c>
      <c r="AI29" s="183">
        <f t="shared" si="13"/>
        <v>0.4021435773033995</v>
      </c>
      <c r="AJ29" s="120">
        <f t="shared" si="14"/>
        <v>0.4021435773033995</v>
      </c>
      <c r="AK29" s="119">
        <f t="shared" si="15"/>
        <v>0.4021435773033995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2.6869431405887125</v>
      </c>
      <c r="J30" s="232">
        <f>IF(I$32&lt;=1,I30,1-SUM(J6:J29))</f>
        <v>0.26958421437061875</v>
      </c>
      <c r="K30" s="22">
        <f t="shared" si="4"/>
        <v>0.59263033001245335</v>
      </c>
      <c r="L30" s="22">
        <f>IF(L124=L119,0,IF(K30="",0,(L119-L124)/(B119-B124)*K30))</f>
        <v>0.20463084084405894</v>
      </c>
      <c r="M30" s="175">
        <f t="shared" si="6"/>
        <v>0.26958421437061875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1.078336857482475</v>
      </c>
      <c r="Z30" s="122">
        <f>IF($Y30=0,0,AA30/($Y$30))</f>
        <v>0.28631195947453258</v>
      </c>
      <c r="AA30" s="187">
        <f>IF(AA79*4/$I$83+SUM(AA6:AA29)&lt;1,AA79*4/$I$83,1-SUM(AA6:AA29))</f>
        <v>0.3087407386394172</v>
      </c>
      <c r="AB30" s="122">
        <f>IF($Y30=0,0,AC30/($Y$30))</f>
        <v>0.44434547811443792</v>
      </c>
      <c r="AC30" s="187">
        <f>IF(AC79*4/$I$83+SUM(AC6:AC29)&lt;1,AC79*4/$I$83,1-SUM(AC6:AC29))</f>
        <v>0.47915410650647083</v>
      </c>
      <c r="AD30" s="122">
        <f>IF($Y30=0,0,AE30/($Y$30))</f>
        <v>0.15564501541388279</v>
      </c>
      <c r="AE30" s="187">
        <f>IF(AE79*4/$I$83+SUM(AE6:AE29)&lt;1,AE79*4/$I$83,1-SUM(AE6:AE29))</f>
        <v>0.16783775680421775</v>
      </c>
      <c r="AF30" s="122">
        <f>IF($Y30=0,0,AG30/($Y$30))</f>
        <v>0.17082097748111122</v>
      </c>
      <c r="AG30" s="187">
        <f>IF(AG79*4/$I$83+SUM(AG6:AG29)&lt;1,AG79*4/$I$83,1-SUM(AG6:AG29))</f>
        <v>0.1842025560490661</v>
      </c>
      <c r="AH30" s="123">
        <f t="shared" si="12"/>
        <v>1.0571234304839645</v>
      </c>
      <c r="AI30" s="183">
        <f t="shared" si="13"/>
        <v>0.28498378949979297</v>
      </c>
      <c r="AJ30" s="120">
        <f t="shared" si="14"/>
        <v>0.39394742257294402</v>
      </c>
      <c r="AK30" s="119">
        <f t="shared" si="15"/>
        <v>0.17602015642664193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6.2159115603489079E-2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3.3187165442599986</v>
      </c>
      <c r="J32" s="17"/>
      <c r="L32" s="22">
        <f>SUM(L6:L30)</f>
        <v>0.93784088439651092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3.9384016994833031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2.7546830478062719E-2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3.54</v>
      </c>
      <c r="J37" s="38">
        <f>J91*I$83</f>
        <v>3.54</v>
      </c>
      <c r="K37" s="40">
        <f t="shared" ref="K37:K52" si="28">(B37/B$65)</f>
        <v>1.5525418992245053E-4</v>
      </c>
      <c r="L37" s="22">
        <f t="shared" ref="L37:L52" si="29">(K37*H37)</f>
        <v>3.6639988821698323E-5</v>
      </c>
      <c r="M37" s="24">
        <f t="shared" ref="M37:M52" si="30">J37/B$65</f>
        <v>3.6639988821698323E-5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3.54</v>
      </c>
      <c r="AH37" s="123">
        <f>SUM(Z37,AB37,AD37,AF37)</f>
        <v>1</v>
      </c>
      <c r="AI37" s="112">
        <f>SUM(AA37,AC37,AE37,AG37)</f>
        <v>3.54</v>
      </c>
      <c r="AJ37" s="148">
        <f>(AA37+AC37)</f>
        <v>0</v>
      </c>
      <c r="AK37" s="147">
        <f>(AE37+AG37)</f>
        <v>3.54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11.799999999999999</v>
      </c>
      <c r="J38" s="38">
        <f t="shared" ref="J38:J64" si="33">J92*I$83</f>
        <v>11.8</v>
      </c>
      <c r="K38" s="40">
        <f t="shared" si="28"/>
        <v>5.1751396640816849E-4</v>
      </c>
      <c r="L38" s="22">
        <f t="shared" si="29"/>
        <v>1.2213329607232775E-4</v>
      </c>
      <c r="M38" s="24">
        <f t="shared" si="30"/>
        <v>1.2213329607232775E-4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11.8</v>
      </c>
      <c r="AH38" s="123">
        <f t="shared" ref="AH38:AI58" si="35">SUM(Z38,AB38,AD38,AF38)</f>
        <v>1</v>
      </c>
      <c r="AI38" s="112">
        <f t="shared" si="35"/>
        <v>11.8</v>
      </c>
      <c r="AJ38" s="148">
        <f t="shared" ref="AJ38:AJ64" si="36">(AA38+AC38)</f>
        <v>0</v>
      </c>
      <c r="AK38" s="147">
        <f t="shared" ref="AK38:AK64" si="37">(AE38+AG38)</f>
        <v>11.8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7375</v>
      </c>
      <c r="J39" s="38">
        <f t="shared" si="33"/>
        <v>11678.105275134572</v>
      </c>
      <c r="K39" s="40">
        <f t="shared" si="28"/>
        <v>0.20700558656326737</v>
      </c>
      <c r="L39" s="22">
        <f t="shared" si="29"/>
        <v>0.12213329607232774</v>
      </c>
      <c r="M39" s="24">
        <f t="shared" si="30"/>
        <v>0.12087165162134096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11678.105275134572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11678.105275134572</v>
      </c>
      <c r="AJ39" s="148">
        <f t="shared" si="36"/>
        <v>11678.105275134572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5752.5</v>
      </c>
      <c r="J40" s="38">
        <f t="shared" si="33"/>
        <v>4461.568417459629</v>
      </c>
      <c r="K40" s="40">
        <f t="shared" si="28"/>
        <v>7.762709496122526E-2</v>
      </c>
      <c r="L40" s="22">
        <f t="shared" si="29"/>
        <v>4.5799986027122902E-2</v>
      </c>
      <c r="M40" s="24">
        <f t="shared" si="30"/>
        <v>4.617847936241895E-2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4461.568417459629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4461.568417459629</v>
      </c>
      <c r="AJ40" s="148">
        <f t="shared" si="36"/>
        <v>4461.568417459629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5558.6347000384976</v>
      </c>
      <c r="K41" s="40">
        <f t="shared" si="28"/>
        <v>0.14086471408647142</v>
      </c>
      <c r="L41" s="22">
        <f t="shared" si="29"/>
        <v>5.916317991631799E-2</v>
      </c>
      <c r="M41" s="24">
        <f t="shared" si="30"/>
        <v>5.7533421828620049E-2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5558.6347000384976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5558.6347000384976</v>
      </c>
      <c r="AJ41" s="148">
        <f t="shared" si="36"/>
        <v>5558.6347000384976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117.6</v>
      </c>
      <c r="J42" s="38">
        <f t="shared" si="33"/>
        <v>117.59999999999998</v>
      </c>
      <c r="K42" s="40">
        <f t="shared" si="28"/>
        <v>4.3471173178286152E-3</v>
      </c>
      <c r="L42" s="22">
        <f t="shared" si="29"/>
        <v>1.2171928489920121E-3</v>
      </c>
      <c r="M42" s="24">
        <f t="shared" si="30"/>
        <v>1.2171928489920119E-3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29.399999999999995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58.79999999999999</v>
      </c>
      <c r="AF42" s="122">
        <f t="shared" si="31"/>
        <v>0.25</v>
      </c>
      <c r="AG42" s="147">
        <f t="shared" si="34"/>
        <v>29.399999999999995</v>
      </c>
      <c r="AH42" s="123">
        <f t="shared" si="35"/>
        <v>1</v>
      </c>
      <c r="AI42" s="112">
        <f t="shared" si="35"/>
        <v>117.59999999999998</v>
      </c>
      <c r="AJ42" s="148">
        <f t="shared" si="36"/>
        <v>29.399999999999995</v>
      </c>
      <c r="AK42" s="147">
        <f t="shared" si="37"/>
        <v>88.199999999999989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27.999999999999996</v>
      </c>
      <c r="J43" s="38">
        <f t="shared" si="33"/>
        <v>6.2170490027086034</v>
      </c>
      <c r="K43" s="40">
        <f t="shared" si="28"/>
        <v>2.0700558656326737E-4</v>
      </c>
      <c r="L43" s="22">
        <f t="shared" si="29"/>
        <v>5.7961564237714856E-5</v>
      </c>
      <c r="M43" s="24">
        <f t="shared" si="30"/>
        <v>6.4348193774913542E-5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1.5542622506771508</v>
      </c>
      <c r="AB43" s="156">
        <f>Poor!AB43</f>
        <v>0.25</v>
      </c>
      <c r="AC43" s="147">
        <f t="shared" si="39"/>
        <v>1.5542622506771508</v>
      </c>
      <c r="AD43" s="156">
        <f>Poor!AD43</f>
        <v>0.25</v>
      </c>
      <c r="AE43" s="147">
        <f t="shared" si="40"/>
        <v>1.5542622506771508</v>
      </c>
      <c r="AF43" s="122">
        <f t="shared" si="31"/>
        <v>0.25</v>
      </c>
      <c r="AG43" s="147">
        <f t="shared" si="34"/>
        <v>1.5542622506771508</v>
      </c>
      <c r="AH43" s="123">
        <f t="shared" si="35"/>
        <v>1</v>
      </c>
      <c r="AI43" s="112">
        <f t="shared" si="35"/>
        <v>6.2170490027086034</v>
      </c>
      <c r="AJ43" s="148">
        <f t="shared" si="36"/>
        <v>3.1085245013543017</v>
      </c>
      <c r="AK43" s="147">
        <f t="shared" si="37"/>
        <v>3.1085245013543017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34.308147820733943</v>
      </c>
      <c r="K44" s="40">
        <f t="shared" si="28"/>
        <v>1.3041351953485844E-3</v>
      </c>
      <c r="L44" s="22">
        <f t="shared" si="29"/>
        <v>3.6515785469760361E-4</v>
      </c>
      <c r="M44" s="24">
        <f t="shared" si="30"/>
        <v>3.5509891317651567E-4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8.5770369551834857</v>
      </c>
      <c r="AB44" s="156">
        <f>Poor!AB44</f>
        <v>0.25</v>
      </c>
      <c r="AC44" s="147">
        <f t="shared" si="39"/>
        <v>8.5770369551834857</v>
      </c>
      <c r="AD44" s="156">
        <f>Poor!AD44</f>
        <v>0.25</v>
      </c>
      <c r="AE44" s="147">
        <f t="shared" si="40"/>
        <v>8.5770369551834857</v>
      </c>
      <c r="AF44" s="122">
        <f t="shared" si="31"/>
        <v>0.25</v>
      </c>
      <c r="AG44" s="147">
        <f t="shared" si="34"/>
        <v>8.5770369551834857</v>
      </c>
      <c r="AH44" s="123">
        <f t="shared" si="35"/>
        <v>1</v>
      </c>
      <c r="AI44" s="112">
        <f t="shared" si="35"/>
        <v>34.308147820733943</v>
      </c>
      <c r="AJ44" s="148">
        <f t="shared" si="36"/>
        <v>17.154073910366971</v>
      </c>
      <c r="AK44" s="147">
        <f t="shared" si="37"/>
        <v>17.154073910366971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13.614344373307121</v>
      </c>
      <c r="K45" s="40">
        <f t="shared" si="28"/>
        <v>5.1751396640816849E-4</v>
      </c>
      <c r="L45" s="22">
        <f t="shared" si="29"/>
        <v>1.4490391059428717E-4</v>
      </c>
      <c r="M45" s="24">
        <f t="shared" si="30"/>
        <v>1.4091226713353798E-4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3.4035860933267803</v>
      </c>
      <c r="AB45" s="156">
        <f>Poor!AB45</f>
        <v>0.25</v>
      </c>
      <c r="AC45" s="147">
        <f t="shared" si="39"/>
        <v>3.4035860933267803</v>
      </c>
      <c r="AD45" s="156">
        <f>Poor!AD45</f>
        <v>0.25</v>
      </c>
      <c r="AE45" s="147">
        <f t="shared" si="40"/>
        <v>3.4035860933267803</v>
      </c>
      <c r="AF45" s="122">
        <f t="shared" si="31"/>
        <v>0.25</v>
      </c>
      <c r="AG45" s="147">
        <f t="shared" si="34"/>
        <v>3.4035860933267803</v>
      </c>
      <c r="AH45" s="123">
        <f t="shared" si="35"/>
        <v>1</v>
      </c>
      <c r="AI45" s="112">
        <f t="shared" si="35"/>
        <v>13.614344373307121</v>
      </c>
      <c r="AJ45" s="148">
        <f t="shared" si="36"/>
        <v>6.8071721866535606</v>
      </c>
      <c r="AK45" s="147">
        <f t="shared" si="37"/>
        <v>6.8071721866535606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62.89827100467889</v>
      </c>
      <c r="K46" s="40">
        <f t="shared" si="28"/>
        <v>2.390914524805738E-3</v>
      </c>
      <c r="L46" s="22">
        <f t="shared" si="29"/>
        <v>6.6945606694560652E-4</v>
      </c>
      <c r="M46" s="24">
        <f t="shared" si="30"/>
        <v>6.5101467415694533E-4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15.724567751169722</v>
      </c>
      <c r="AB46" s="156">
        <f>Poor!AB46</f>
        <v>0.25</v>
      </c>
      <c r="AC46" s="147">
        <f t="shared" si="39"/>
        <v>15.724567751169722</v>
      </c>
      <c r="AD46" s="156">
        <f>Poor!AD46</f>
        <v>0.25</v>
      </c>
      <c r="AE46" s="147">
        <f t="shared" si="40"/>
        <v>15.724567751169722</v>
      </c>
      <c r="AF46" s="122">
        <f t="shared" si="31"/>
        <v>0.25</v>
      </c>
      <c r="AG46" s="147">
        <f t="shared" si="34"/>
        <v>15.724567751169722</v>
      </c>
      <c r="AH46" s="123">
        <f t="shared" si="35"/>
        <v>1</v>
      </c>
      <c r="AI46" s="112">
        <f t="shared" si="35"/>
        <v>62.89827100467889</v>
      </c>
      <c r="AJ46" s="148">
        <f t="shared" si="36"/>
        <v>31.449135502339445</v>
      </c>
      <c r="AK46" s="147">
        <f t="shared" si="37"/>
        <v>31.449135502339445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170.17930466633899</v>
      </c>
      <c r="K47" s="40">
        <f t="shared" si="28"/>
        <v>6.4689245801021053E-3</v>
      </c>
      <c r="L47" s="22">
        <f t="shared" si="29"/>
        <v>1.8112988824285892E-3</v>
      </c>
      <c r="M47" s="24">
        <f t="shared" si="30"/>
        <v>1.7614033391692243E-3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42.544826166584748</v>
      </c>
      <c r="AB47" s="156">
        <f>Poor!AB47</f>
        <v>0.25</v>
      </c>
      <c r="AC47" s="147">
        <f t="shared" si="39"/>
        <v>42.544826166584748</v>
      </c>
      <c r="AD47" s="156">
        <f>Poor!AD47</f>
        <v>0.25</v>
      </c>
      <c r="AE47" s="147">
        <f t="shared" si="40"/>
        <v>42.544826166584748</v>
      </c>
      <c r="AF47" s="122">
        <f t="shared" si="31"/>
        <v>0.25</v>
      </c>
      <c r="AG47" s="147">
        <f t="shared" si="34"/>
        <v>42.544826166584748</v>
      </c>
      <c r="AH47" s="123">
        <f t="shared" si="35"/>
        <v>1</v>
      </c>
      <c r="AI47" s="112">
        <f t="shared" si="35"/>
        <v>170.17930466633899</v>
      </c>
      <c r="AJ47" s="148">
        <f t="shared" si="36"/>
        <v>85.089652333169497</v>
      </c>
      <c r="AK47" s="147">
        <f t="shared" si="37"/>
        <v>85.089652333169497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68.599999999999994</v>
      </c>
      <c r="J48" s="38">
        <f t="shared" si="33"/>
        <v>68.599999999999994</v>
      </c>
      <c r="K48" s="40">
        <f t="shared" si="28"/>
        <v>2.5358184354000255E-3</v>
      </c>
      <c r="L48" s="22">
        <f t="shared" si="29"/>
        <v>7.1002916191200706E-4</v>
      </c>
      <c r="M48" s="24">
        <f t="shared" si="30"/>
        <v>7.1002916191200706E-4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17.149999999999999</v>
      </c>
      <c r="AB48" s="156">
        <f>Poor!AB48</f>
        <v>0.25</v>
      </c>
      <c r="AC48" s="147">
        <f t="shared" si="39"/>
        <v>17.149999999999999</v>
      </c>
      <c r="AD48" s="156">
        <f>Poor!AD48</f>
        <v>0.25</v>
      </c>
      <c r="AE48" s="147">
        <f t="shared" si="40"/>
        <v>17.149999999999999</v>
      </c>
      <c r="AF48" s="122">
        <f t="shared" si="31"/>
        <v>0.25</v>
      </c>
      <c r="AG48" s="147">
        <f t="shared" si="34"/>
        <v>17.149999999999999</v>
      </c>
      <c r="AH48" s="123">
        <f t="shared" si="35"/>
        <v>1</v>
      </c>
      <c r="AI48" s="112">
        <f t="shared" si="35"/>
        <v>68.599999999999994</v>
      </c>
      <c r="AJ48" s="148">
        <f t="shared" si="36"/>
        <v>34.299999999999997</v>
      </c>
      <c r="AK48" s="147">
        <f t="shared" si="37"/>
        <v>34.299999999999997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0</v>
      </c>
      <c r="F51" s="75">
        <f>Middle!F51</f>
        <v>1.18</v>
      </c>
      <c r="G51" s="22">
        <f t="shared" si="32"/>
        <v>1.65</v>
      </c>
      <c r="H51" s="24">
        <f t="shared" si="26"/>
        <v>0</v>
      </c>
      <c r="I51" s="39">
        <f t="shared" si="27"/>
        <v>0</v>
      </c>
      <c r="J51" s="38">
        <f t="shared" si="33"/>
        <v>0</v>
      </c>
      <c r="K51" s="40">
        <f t="shared" si="28"/>
        <v>0.14407588824803411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52772.815999999999</v>
      </c>
      <c r="J65" s="39">
        <f>SUM(J37:J64)</f>
        <v>61602.84150950046</v>
      </c>
      <c r="K65" s="40">
        <f>SUM(K37:K64)</f>
        <v>1</v>
      </c>
      <c r="L65" s="22">
        <f>SUM(L37:L64)</f>
        <v>0.64019552712678829</v>
      </c>
      <c r="M65" s="24">
        <f>SUM(M37:M64)</f>
        <v>0.6376066170319068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31670.606671849644</v>
      </c>
      <c r="AB65" s="137"/>
      <c r="AC65" s="153">
        <f>SUM(AC37:AC64)</f>
        <v>9942.8982792169409</v>
      </c>
      <c r="AD65" s="137"/>
      <c r="AE65" s="153">
        <f>SUM(AE37:AE64)</f>
        <v>10001.69827921694</v>
      </c>
      <c r="AF65" s="137"/>
      <c r="AG65" s="153">
        <f>SUM(AG37:AG64)</f>
        <v>9987.6382792169425</v>
      </c>
      <c r="AH65" s="137"/>
      <c r="AI65" s="153">
        <f>SUM(AI37:AI64)</f>
        <v>61602.84150950046</v>
      </c>
      <c r="AJ65" s="153">
        <f>SUM(AJ37:AJ64)</f>
        <v>41613.504951066585</v>
      </c>
      <c r="AK65" s="153">
        <f>SUM(AK37:AK64)</f>
        <v>19989.336558433883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41293.44726144294</v>
      </c>
      <c r="J74" s="51">
        <f>J128*I$83</f>
        <v>4143.0208814138232</v>
      </c>
      <c r="K74" s="40">
        <f>B74/B$76</f>
        <v>5.7131373420369697E-2</v>
      </c>
      <c r="L74" s="22">
        <f>(L128*G$37*F$9/F$7)/B$130</f>
        <v>3.254961253706308E-2</v>
      </c>
      <c r="M74" s="24">
        <f>J74/B$76</f>
        <v>4.2881423385046677E-2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1186.1964267014966</v>
      </c>
      <c r="AB74" s="156"/>
      <c r="AC74" s="147">
        <f>AC30*$I$83/4</f>
        <v>1840.932594389925</v>
      </c>
      <c r="AD74" s="156"/>
      <c r="AE74" s="147">
        <f>AE30*$I$83/4</f>
        <v>644.8405489476927</v>
      </c>
      <c r="AF74" s="156"/>
      <c r="AG74" s="147">
        <f>AG30*$I$83/4</f>
        <v>707.71487668776422</v>
      </c>
      <c r="AH74" s="155"/>
      <c r="AI74" s="147">
        <f>SUM(AA74,AC74,AE74,AG74)</f>
        <v>4379.6844467268784</v>
      </c>
      <c r="AJ74" s="148">
        <f>(AA74+AC74)</f>
        <v>3027.1290210914217</v>
      </c>
      <c r="AK74" s="147">
        <f>(AE74+AG74)</f>
        <v>1352.5554256354569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18508.478556196238</v>
      </c>
      <c r="K75" s="40">
        <f>B75/B$76</f>
        <v>0.61703269990822662</v>
      </c>
      <c r="L75" s="22">
        <f>(L129*G$37*F$9/F$7)/B$130</f>
        <v>0.2044886439388178</v>
      </c>
      <c r="M75" s="24">
        <f>J75/B$76</f>
        <v>0.19156792299595291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27614.568060508882</v>
      </c>
      <c r="AB75" s="158"/>
      <c r="AC75" s="149">
        <f>AA75+AC65-SUM(AC70,AC74)</f>
        <v>32846.691560696636</v>
      </c>
      <c r="AD75" s="158"/>
      <c r="AE75" s="149">
        <f>AC75+AE65-SUM(AE70,AE74)</f>
        <v>39333.707106326619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45743.788324216534</v>
      </c>
      <c r="AJ75" s="151">
        <f>AJ76-SUM(AJ70,AJ74)</f>
        <v>32846.691560696629</v>
      </c>
      <c r="AK75" s="149">
        <f>AJ75+AK76-SUM(AK70,AK74)</f>
        <v>45743.788324216519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52772.815999999999</v>
      </c>
      <c r="J76" s="51">
        <f>J130*I$83</f>
        <v>61602.84150950046</v>
      </c>
      <c r="K76" s="40">
        <f>SUM(K70:K75)</f>
        <v>0.77579914937954386</v>
      </c>
      <c r="L76" s="22">
        <f>SUM(L70:L75)</f>
        <v>0.37563852339464998</v>
      </c>
      <c r="M76" s="24">
        <f>SUM(M70:M75)</f>
        <v>0.37304961329976871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31670.606671849644</v>
      </c>
      <c r="AB76" s="137"/>
      <c r="AC76" s="153">
        <f>AC65</f>
        <v>9942.8982792169409</v>
      </c>
      <c r="AD76" s="137"/>
      <c r="AE76" s="153">
        <f>AE65</f>
        <v>10001.69827921694</v>
      </c>
      <c r="AF76" s="137"/>
      <c r="AG76" s="153">
        <f>AG65</f>
        <v>9987.6382792169425</v>
      </c>
      <c r="AH76" s="137"/>
      <c r="AI76" s="153">
        <f>SUM(AA76,AC76,AE76,AG76)</f>
        <v>61602.841509500475</v>
      </c>
      <c r="AJ76" s="154">
        <f>SUM(AA76,AC76)</f>
        <v>41613.504951066585</v>
      </c>
      <c r="AK76" s="154">
        <f>SUM(AE76,AG76)</f>
        <v>19989.336558433883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27614.568060508882</v>
      </c>
      <c r="AD78" s="112"/>
      <c r="AE78" s="112">
        <f>AC75</f>
        <v>32846.691560696636</v>
      </c>
      <c r="AF78" s="112"/>
      <c r="AG78" s="112">
        <f>AE75</f>
        <v>39333.707106326619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28800.764487210377</v>
      </c>
      <c r="AB79" s="112"/>
      <c r="AC79" s="112">
        <f>AA79-AA74+AC65-AC70</f>
        <v>34687.62415508656</v>
      </c>
      <c r="AD79" s="112"/>
      <c r="AE79" s="112">
        <f>AC79-AC74+AE65-AE70</f>
        <v>39978.547655274313</v>
      </c>
      <c r="AF79" s="112"/>
      <c r="AG79" s="112">
        <f>AE79-AE74+AG65-AG70</f>
        <v>46451.503200904299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0.14303030303030304</v>
      </c>
      <c r="I91" s="22">
        <f t="shared" ref="I91" si="52">(D91*H91)</f>
        <v>2.3034595918964377E-4</v>
      </c>
      <c r="J91" s="24">
        <f>IF(I$32&lt;=1+I$131,I91,L91+J$33*(I91-L91))</f>
        <v>2.3034595918964377E-4</v>
      </c>
      <c r="K91" s="22">
        <f t="shared" ref="K91" si="53">(B91)</f>
        <v>1.610469629927594E-3</v>
      </c>
      <c r="L91" s="22">
        <f t="shared" ref="L91" si="54">(K91*H91)</f>
        <v>2.3034595918964377E-4</v>
      </c>
      <c r="M91" s="228">
        <f t="shared" si="50"/>
        <v>2.3034595918964377E-4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0.14303030303030304</v>
      </c>
      <c r="I92" s="22">
        <f t="shared" ref="I92:I118" si="59">(D92*H92)</f>
        <v>7.6781986396547923E-4</v>
      </c>
      <c r="J92" s="24">
        <f t="shared" ref="J92:J118" si="60">IF(I$32&lt;=1+I$131,I92,L92+J$33*(I92-L92))</f>
        <v>7.6781986396547923E-4</v>
      </c>
      <c r="K92" s="22">
        <f t="shared" ref="K92:K118" si="61">(B92)</f>
        <v>5.3682320997586472E-3</v>
      </c>
      <c r="L92" s="22">
        <f t="shared" ref="L92:L118" si="62">(K92*H92)</f>
        <v>7.6781986396547923E-4</v>
      </c>
      <c r="M92" s="228">
        <f t="shared" ref="M92:M118" si="63">(J92)</f>
        <v>7.6781986396547923E-4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0.3575757575757576</v>
      </c>
      <c r="I93" s="22">
        <f t="shared" si="59"/>
        <v>0.47988741497842452</v>
      </c>
      <c r="J93" s="24">
        <f t="shared" si="60"/>
        <v>0.7598882376040994</v>
      </c>
      <c r="K93" s="22">
        <f t="shared" si="61"/>
        <v>2.1472928399034585</v>
      </c>
      <c r="L93" s="22">
        <f t="shared" si="62"/>
        <v>0.76781986396547919</v>
      </c>
      <c r="M93" s="228">
        <f t="shared" si="63"/>
        <v>0.7598882376040994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0.3575757575757576</v>
      </c>
      <c r="I94" s="22">
        <f t="shared" si="59"/>
        <v>0.3743121836831711</v>
      </c>
      <c r="J94" s="24">
        <f t="shared" si="60"/>
        <v>0.29031193689546869</v>
      </c>
      <c r="K94" s="22">
        <f t="shared" si="61"/>
        <v>0.80523481496379701</v>
      </c>
      <c r="L94" s="22">
        <f t="shared" si="62"/>
        <v>0.28793244898705472</v>
      </c>
      <c r="M94" s="228">
        <f t="shared" si="63"/>
        <v>0.29031193689546869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0.36169746942519931</v>
      </c>
      <c r="K95" s="22">
        <f t="shared" si="61"/>
        <v>1.4612059363938048</v>
      </c>
      <c r="L95" s="22">
        <f t="shared" si="62"/>
        <v>0.37194332926387763</v>
      </c>
      <c r="M95" s="228">
        <f t="shared" si="63"/>
        <v>0.36169746942519931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0.16969696969696968</v>
      </c>
      <c r="I96" s="22">
        <f t="shared" si="59"/>
        <v>7.6521708476559609E-3</v>
      </c>
      <c r="J96" s="24">
        <f t="shared" si="60"/>
        <v>7.6521708476559609E-3</v>
      </c>
      <c r="K96" s="22">
        <f t="shared" si="61"/>
        <v>4.5093149637972632E-2</v>
      </c>
      <c r="L96" s="22">
        <f t="shared" si="62"/>
        <v>7.6521708476559609E-3</v>
      </c>
      <c r="M96" s="228">
        <f t="shared" si="63"/>
        <v>7.6521708476559609E-3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0.16969696969696968</v>
      </c>
      <c r="I97" s="22">
        <f t="shared" si="59"/>
        <v>1.8219454399180858E-3</v>
      </c>
      <c r="J97" s="24">
        <f t="shared" si="60"/>
        <v>4.0454014572257951E-4</v>
      </c>
      <c r="K97" s="22">
        <f t="shared" si="61"/>
        <v>2.1472928399034587E-3</v>
      </c>
      <c r="L97" s="22">
        <f t="shared" si="62"/>
        <v>3.643890879836172E-4</v>
      </c>
      <c r="M97" s="228">
        <f t="shared" si="63"/>
        <v>4.0454014572257951E-4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2.2324133383579228E-3</v>
      </c>
      <c r="K98" s="22">
        <f t="shared" si="61"/>
        <v>1.352794489139179E-2</v>
      </c>
      <c r="L98" s="22">
        <f t="shared" si="62"/>
        <v>2.2956512542967886E-3</v>
      </c>
      <c r="M98" s="228">
        <f t="shared" si="63"/>
        <v>2.2324133383579228E-3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8.8587830887219159E-4</v>
      </c>
      <c r="K99" s="22">
        <f t="shared" si="61"/>
        <v>5.3682320997586472E-3</v>
      </c>
      <c r="L99" s="22">
        <f t="shared" si="62"/>
        <v>9.1097271995904303E-4</v>
      </c>
      <c r="M99" s="228">
        <f t="shared" si="63"/>
        <v>8.8587830887219159E-4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4.0927577869895246E-3</v>
      </c>
      <c r="K100" s="22">
        <f t="shared" si="61"/>
        <v>2.4801232300884948E-2</v>
      </c>
      <c r="L100" s="22">
        <f t="shared" si="62"/>
        <v>4.2086939662107784E-3</v>
      </c>
      <c r="M100" s="228">
        <f t="shared" si="63"/>
        <v>4.0927577869895246E-3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1.1073478860902394E-2</v>
      </c>
      <c r="K101" s="22">
        <f t="shared" si="61"/>
        <v>6.7102901246983079E-2</v>
      </c>
      <c r="L101" s="22">
        <f t="shared" si="62"/>
        <v>1.1387158999488037E-2</v>
      </c>
      <c r="M101" s="228">
        <f t="shared" si="63"/>
        <v>1.1073478860902394E-2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0.16969696969696968</v>
      </c>
      <c r="I102" s="22">
        <f t="shared" si="59"/>
        <v>4.4637663277993112E-3</v>
      </c>
      <c r="J102" s="24">
        <f t="shared" si="60"/>
        <v>4.4637663277993112E-3</v>
      </c>
      <c r="K102" s="22">
        <f t="shared" si="61"/>
        <v>2.630433728881737E-2</v>
      </c>
      <c r="L102" s="22">
        <f t="shared" si="62"/>
        <v>4.4637663277993112E-3</v>
      </c>
      <c r="M102" s="228">
        <f t="shared" si="63"/>
        <v>4.4637663277993112E-3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</v>
      </c>
      <c r="I105" s="22">
        <f t="shared" si="59"/>
        <v>0</v>
      </c>
      <c r="J105" s="24">
        <f t="shared" si="60"/>
        <v>0</v>
      </c>
      <c r="K105" s="22">
        <f t="shared" si="61"/>
        <v>1.4945158165728072</v>
      </c>
      <c r="L105" s="22">
        <f t="shared" si="62"/>
        <v>0</v>
      </c>
      <c r="M105" s="228">
        <f t="shared" si="6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3.4338996951012937</v>
      </c>
      <c r="J119" s="24">
        <f>SUM(J91:J118)</f>
        <v>4.0084648633653917</v>
      </c>
      <c r="K119" s="22">
        <f>SUM(K91:K118)</f>
        <v>10.373115409845129</v>
      </c>
      <c r="L119" s="22">
        <f>SUM(L91:L118)</f>
        <v>4.024740659244129</v>
      </c>
      <c r="M119" s="57">
        <f t="shared" si="50"/>
        <v>4.0084648633653917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2.6869431405887125</v>
      </c>
      <c r="J128" s="229">
        <f>(J30)</f>
        <v>0.26958421437061875</v>
      </c>
      <c r="K128" s="22">
        <f>(B128)</f>
        <v>0.59263033001245335</v>
      </c>
      <c r="L128" s="22">
        <f>IF(L124=L119,0,(L119-L124)/(B119-B124)*K128)</f>
        <v>0.20463084084405894</v>
      </c>
      <c r="M128" s="57">
        <f t="shared" si="90"/>
        <v>0.26958421437061875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1.2043370751886937</v>
      </c>
      <c r="K129" s="29">
        <f>(B129)</f>
        <v>6.400551407796371</v>
      </c>
      <c r="L129" s="60">
        <f>IF(SUM(L124:L128)&gt;L130,0,L130-SUM(L124:L128))</f>
        <v>1.2855662445939906</v>
      </c>
      <c r="M129" s="57">
        <f t="shared" si="90"/>
        <v>1.2043370751886937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3.4338996951012937</v>
      </c>
      <c r="J130" s="229">
        <f>(J119)</f>
        <v>4.0084648633653917</v>
      </c>
      <c r="K130" s="22">
        <f>(B130)</f>
        <v>10.373115409845129</v>
      </c>
      <c r="L130" s="22">
        <f>(L119)</f>
        <v>4.024740659244129</v>
      </c>
      <c r="M130" s="57">
        <f t="shared" si="90"/>
        <v>4.0084648633653917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0.59808048603817765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795.60660466739171</v>
      </c>
      <c r="G72" s="109">
        <f>Poor!T7</f>
        <v>640.05768027168324</v>
      </c>
      <c r="H72" s="109">
        <f>Middle!T7</f>
        <v>892.48468803010451</v>
      </c>
      <c r="I72" s="109">
        <f>Rich!T7</f>
        <v>1194.3163151332012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0</v>
      </c>
      <c r="H73" s="109">
        <f>Middle!T8</f>
        <v>47.599999999999987</v>
      </c>
      <c r="I73" s="109">
        <f>Rich!T8</f>
        <v>7540.0647711328329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222.20753424657536</v>
      </c>
      <c r="G74" s="109">
        <f>Poor!T9</f>
        <v>646.36500805801768</v>
      </c>
      <c r="H74" s="109">
        <f>Middle!T9</f>
        <v>796.31127316680113</v>
      </c>
      <c r="I74" s="109">
        <f>Rich!T9</f>
        <v>758.72078968573749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2.36</v>
      </c>
      <c r="H75" s="109">
        <f>Middle!T10</f>
        <v>10.62</v>
      </c>
      <c r="I75" s="109">
        <f>Rich!T10</f>
        <v>19.174999999999997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1180</v>
      </c>
      <c r="H76" s="109">
        <f>Middle!T11</f>
        <v>3539.9999999999991</v>
      </c>
      <c r="I76" s="109">
        <f>Rich!T11</f>
        <v>20174.592115742751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1461.3070490448974</v>
      </c>
      <c r="G77" s="109">
        <f>Poor!T12</f>
        <v>1756.9937364598075</v>
      </c>
      <c r="H77" s="109">
        <f>Middle!T12</f>
        <v>278.82357906287876</v>
      </c>
      <c r="I77" s="109">
        <f>Rich!T12</f>
        <v>186.81053882051509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23679.223629812779</v>
      </c>
      <c r="G88" s="109">
        <f>Poor!T23</f>
        <v>33087.878866643427</v>
      </c>
      <c r="H88" s="109">
        <f>Middle!T23</f>
        <v>36989.7857277039</v>
      </c>
      <c r="I88" s="109">
        <f>Rich!T23</f>
        <v>80286.865897667623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5564.8970516308691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17054.163718297536</v>
      </c>
      <c r="G99" s="240">
        <f t="shared" si="0"/>
        <v>7645.508481466888</v>
      </c>
      <c r="H99" s="240">
        <f t="shared" si="0"/>
        <v>3743.6016204064144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37515.363718297536</v>
      </c>
      <c r="G100" s="240">
        <f t="shared" si="0"/>
        <v>28106.708481466892</v>
      </c>
      <c r="H100" s="240">
        <f t="shared" si="0"/>
        <v>24204.801620406419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2016-06-02T07:49:21Z</dcterms:modified>
  <cp:category/>
</cp:coreProperties>
</file>