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<sst xmlns="http://schemas.openxmlformats.org/spreadsheetml/2006/main" count="790" uniqueCount="145">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</sst>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0.00124481971625669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0.353261713115633</c:v>
                </c:pt>
                <c:pt idx="2" formatCode="0.0%">
                  <c:v>0.533573672471987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061544"/>
        <c:axId val="1790058216"/>
      </c:barChart>
      <c:catAx>
        <c:axId val="179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5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6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0.0317998687253027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0.0034093172882471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0.00084859187327074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0.000571735118759749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0.000452582332411061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9.69819283737989E-5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0.392606284658041</c:v>
                </c:pt>
                <c:pt idx="2">
                  <c:v>0.392606284658041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137640"/>
        <c:axId val="1792134504"/>
      </c:barChart>
      <c:catAx>
        <c:axId val="17921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3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0.0275819401897775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0.00500016964746521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0.000198437849090168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0.314343591308932</c:v>
                </c:pt>
                <c:pt idx="2">
                  <c:v>0.314343591308932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569176"/>
        <c:axId val="1794572232"/>
      </c:barChart>
      <c:catAx>
        <c:axId val="179456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57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63048"/>
        <c:axId val="1793966072"/>
      </c:barChart>
      <c:catAx>
        <c:axId val="17939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697.8536610052361</c:v>
                </c:pt>
                <c:pt idx="7">
                  <c:v>556.5256021215966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292.3093488749085</c:v>
                </c:pt>
                <c:pt idx="7">
                  <c:v>9593.130605769556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5359.497956570641</c:v>
                </c:pt>
                <c:pt idx="7">
                  <c:v>11271.95032516527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491.5949951640155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58258.28571428572</c:v>
                </c:pt>
                <c:pt idx="7">
                  <c:v>108748.8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418168"/>
        <c:axId val="17934147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8168"/>
        <c:axId val="1793414776"/>
      </c:lineChart>
      <c:catAx>
        <c:axId val="17934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41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41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99272"/>
        <c:axId val="179329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99272"/>
        <c:axId val="1793296024"/>
      </c:lineChart>
      <c:catAx>
        <c:axId val="17932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9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7160"/>
        <c:axId val="17932038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207160"/>
        <c:axId val="1793203864"/>
      </c:lineChart>
      <c:catAx>
        <c:axId val="17932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0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0.283208477498221</c:v>
                </c:pt>
                <c:pt idx="2">
                  <c:v>0.427763841377461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-0.253202416666959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267304"/>
        <c:axId val="1793270504"/>
      </c:barChart>
      <c:catAx>
        <c:axId val="17932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2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0.0458645953527713</c:v>
                </c:pt>
                <c:pt idx="2">
                  <c:v>0.119913699233177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0.0229146357973617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0.165291990575805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0.0458645953527713</c:v>
                </c:pt>
                <c:pt idx="2">
                  <c:v>0.119913699233177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134664"/>
        <c:axId val="1793131240"/>
      </c:barChart>
      <c:catAx>
        <c:axId val="17931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1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13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0.0264634092530403</c:v>
                </c:pt>
                <c:pt idx="2">
                  <c:v>0.0457071262831419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0.206804347868718</c:v>
                </c:pt>
                <c:pt idx="2">
                  <c:v>0.187933005443579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0.0264634092530403</c:v>
                </c:pt>
                <c:pt idx="2">
                  <c:v>0.0457071262831419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9320"/>
        <c:axId val="1793075800"/>
      </c:barChart>
      <c:catAx>
        <c:axId val="179307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07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07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0.390951761278844</c:v>
                </c:pt>
                <c:pt idx="2">
                  <c:v>0.390951761278844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0.284608230420732</c:v>
                </c:pt>
                <c:pt idx="2">
                  <c:v>0.390951761278844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59320"/>
        <c:axId val="1794662696"/>
      </c:barChart>
      <c:catAx>
        <c:axId val="179465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6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66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65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0.00740637095308801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0.00413398511923389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0.00380406735204298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0.000800298047446737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0.0324086465706399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0.26785889261829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0.199554096210209</c:v>
                </c:pt>
                <c:pt idx="2" formatCode="0.0%">
                  <c:v>0.521737294085896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23224"/>
        <c:axId val="1789919928"/>
      </c:barChart>
      <c:catAx>
        <c:axId val="17899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9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2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496744"/>
        <c:axId val="1812500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96744"/>
        <c:axId val="1812500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96744"/>
        <c:axId val="1812500168"/>
      </c:scatterChart>
      <c:catAx>
        <c:axId val="1812496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00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496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567352"/>
        <c:axId val="181257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7352"/>
        <c:axId val="1812570728"/>
      </c:lineChart>
      <c:catAx>
        <c:axId val="181256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7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57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56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28168"/>
        <c:axId val="1794731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35176"/>
        <c:axId val="1794738136"/>
      </c:scatterChart>
      <c:valAx>
        <c:axId val="179472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1560"/>
        <c:crosses val="autoZero"/>
        <c:crossBetween val="midCat"/>
      </c:valAx>
      <c:valAx>
        <c:axId val="1794731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28168"/>
        <c:crosses val="autoZero"/>
        <c:crossBetween val="midCat"/>
      </c:valAx>
      <c:valAx>
        <c:axId val="1794735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94738136"/>
        <c:crosses val="autoZero"/>
        <c:crossBetween val="midCat"/>
      </c:valAx>
      <c:valAx>
        <c:axId val="17947381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4735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92056"/>
        <c:axId val="18127978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792056"/>
        <c:axId val="1812797800"/>
      </c:lineChart>
      <c:catAx>
        <c:axId val="18127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7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2797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2792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0.000547772918068966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0.0560022084816496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0.399257683624526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0.268440650668107</c:v>
                </c:pt>
                <c:pt idx="2" formatCode="0.0%">
                  <c:v>0.463645881839896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593752"/>
        <c:axId val="1793597096"/>
      </c:barChart>
      <c:catAx>
        <c:axId val="17935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59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5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0.263604130602529</c:v>
                </c:pt>
                <c:pt idx="2" formatCode="0.0%">
                  <c:v>0.362099504245152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060312"/>
        <c:axId val="-2025057032"/>
      </c:barChart>
      <c:catAx>
        <c:axId val="-20250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0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-0.15384559416375</c:v>
                </c:pt>
                <c:pt idx="1">
                  <c:v>-0.52205259265363</c:v>
                </c:pt>
                <c:pt idx="2">
                  <c:v>-0.52205259265363</c:v>
                </c:pt>
                <c:pt idx="3">
                  <c:v>-0.52205259265363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78280"/>
        <c:axId val="1792981656"/>
      </c:barChart>
      <c:catAx>
        <c:axId val="179297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81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98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0.112986080494107</c:v>
                </c:pt>
                <c:pt idx="1">
                  <c:v>0.112986080494107</c:v>
                </c:pt>
                <c:pt idx="2">
                  <c:v>0.112986080494107</c:v>
                </c:pt>
                <c:pt idx="3">
                  <c:v>0.112986080494107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382184"/>
        <c:axId val="1792378792"/>
      </c:barChart>
      <c:catAx>
        <c:axId val="1792382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7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3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8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0.029625483812352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0.0165359404769356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0.0152162694081719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0.00320119218978695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0.26785889261829</c:v>
                </c:pt>
                <c:pt idx="1">
                  <c:v>0.26785889261829</c:v>
                </c:pt>
                <c:pt idx="2">
                  <c:v>0.26785889261829</c:v>
                </c:pt>
                <c:pt idx="3">
                  <c:v>0.26785889261829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0.476341159670839</c:v>
                </c:pt>
                <c:pt idx="1">
                  <c:v>0.540480301278138</c:v>
                </c:pt>
                <c:pt idx="2">
                  <c:v>0.537037415190039</c:v>
                </c:pt>
                <c:pt idx="3">
                  <c:v>0.533090300204568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271272"/>
        <c:axId val="1792267880"/>
      </c:barChart>
      <c:catAx>
        <c:axId val="17922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6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22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2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0.00219109167227587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0.399257683624526</c:v>
                </c:pt>
                <c:pt idx="1">
                  <c:v>0.399257683624526</c:v>
                </c:pt>
                <c:pt idx="2">
                  <c:v>0.399257683624526</c:v>
                </c:pt>
                <c:pt idx="3">
                  <c:v>0.399257683624526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0.435762148091916</c:v>
                </c:pt>
                <c:pt idx="1">
                  <c:v>0.483169567933556</c:v>
                </c:pt>
                <c:pt idx="2">
                  <c:v>0.469322219490219</c:v>
                </c:pt>
                <c:pt idx="3">
                  <c:v>0.466329591843893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704600"/>
        <c:axId val="1793707976"/>
      </c:barChart>
      <c:catAx>
        <c:axId val="17937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7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370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88904"/>
        <c:axId val="1793891960"/>
      </c:barChart>
      <c:catAx>
        <c:axId val="179388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9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9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88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40258.819540281518</v>
      </c>
      <c r="T23" s="179">
        <f>SUM(T7:T22)</f>
        <v>40288.141087565629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0.36209950424515169</v>
      </c>
      <c r="J30" s="231">
        <f>IF(I$32&lt;=1,I30,1-SUM(J6:J29))</f>
        <v>0.36209950424515169</v>
      </c>
      <c r="K30" s="22">
        <f t="shared" si="4"/>
        <v>0.5826586550435866</v>
      </c>
      <c r="L30" s="22">
        <f>IF(L124=L119,0,IF(K30="",0,(L119-L124)/(B119-B124)*K30))</f>
        <v>0.26360413060252902</v>
      </c>
      <c r="M30" s="175">
        <f t="shared" si="6"/>
        <v>0.36209950424515169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7236.0683118524612</v>
      </c>
      <c r="T30" s="234">
        <f t="shared" si="24"/>
        <v>7206.74676456835</v>
      </c>
      <c r="U30" s="56"/>
      <c r="V30" s="56"/>
      <c r="W30" s="110"/>
      <c r="X30" s="118"/>
      <c r="Y30" s="184">
        <f>M30*4</f>
        <v>1.4483980169806068</v>
      </c>
      <c r="Z30" s="122">
        <f>IF($Y30=0,0,AA30/($Y$30))</f>
        <v>7.8007618879265647E-2</v>
      </c>
      <c r="AA30" s="188">
        <f>IF(AA79*4/$I$83+SUM(AA6:AA29)&lt;1,AA79*4/$I$83,1-SUM(AA6:AA29))</f>
        <v>0.11298608049410731</v>
      </c>
      <c r="AB30" s="122">
        <f>IF($Y30=0,0,AC30/($Y$30))</f>
        <v>7.8007618879265647E-2</v>
      </c>
      <c r="AC30" s="188">
        <f>IF(AC79*4/$I$83+SUM(AC6:AC29)&lt;1,AC79*4/$I$83,1-SUM(AC6:AC29))</f>
        <v>0.11298608049410731</v>
      </c>
      <c r="AD30" s="122">
        <f>IF($Y30=0,0,AE30/($Y$30))</f>
        <v>7.8007618879265647E-2</v>
      </c>
      <c r="AE30" s="188">
        <f>IF(AE79*4/$I$83+SUM(AE6:AE29)&lt;1,AE79*4/$I$83,1-SUM(AE6:AE29))</f>
        <v>0.11298608049410731</v>
      </c>
      <c r="AF30" s="122">
        <f>IF($Y30=0,0,AG30/($Y$30))</f>
        <v>7.8007618879265647E-2</v>
      </c>
      <c r="AG30" s="188">
        <f>IF(AG79*4/$I$83+SUM(AG6:AG29)&lt;1,AG79*4/$I$83,1-SUM(AG6:AG29))</f>
        <v>0.11298608049410731</v>
      </c>
      <c r="AH30" s="123">
        <f t="shared" si="12"/>
        <v>0.31203047551706259</v>
      </c>
      <c r="AI30" s="184">
        <f t="shared" si="13"/>
        <v>0.11298608049410731</v>
      </c>
      <c r="AJ30" s="120">
        <f t="shared" si="14"/>
        <v>0.11298608049410731</v>
      </c>
      <c r="AK30" s="119">
        <f t="shared" si="15"/>
        <v>0.11298608049410731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0.21131089461256869</v>
      </c>
      <c r="K31" s="22" t="str">
        <f t="shared" si="4"/>
        <v/>
      </c>
      <c r="L31" s="22">
        <f>(1-SUM(L6:L30))</f>
        <v>0.28233057774305137</v>
      </c>
      <c r="M31" s="241">
        <f t="shared" si="6"/>
        <v>0.21131089461256869</v>
      </c>
      <c r="N31" s="167">
        <f>M31*I83</f>
        <v>7206.7467645683464</v>
      </c>
      <c r="P31" s="22"/>
      <c r="Q31" s="238" t="s">
        <v>142</v>
      </c>
      <c r="R31" s="234">
        <f t="shared" si="24"/>
        <v>7777.2506387823814</v>
      </c>
      <c r="S31" s="234">
        <f t="shared" si="24"/>
        <v>23660.094978519133</v>
      </c>
      <c r="T31" s="234">
        <f>IF(T25&gt;T$23,T25-T$23,0)</f>
        <v>23630.773431235022</v>
      </c>
      <c r="U31" s="242">
        <f>T31/$B$81</f>
        <v>2953.8466789043778</v>
      </c>
      <c r="V31" s="56"/>
      <c r="W31" s="129" t="s">
        <v>84</v>
      </c>
      <c r="X31" s="130"/>
      <c r="Y31" s="121">
        <f>M31*4</f>
        <v>0.84524357845027476</v>
      </c>
      <c r="Z31" s="131"/>
      <c r="AA31" s="132">
        <f>1-AA32+IF($Y32&lt;0,$Y32/4,0)</f>
        <v>0.42738610914817099</v>
      </c>
      <c r="AB31" s="131"/>
      <c r="AC31" s="133">
        <f>1-AC32+IF($Y32&lt;0,$Y32/4,0)</f>
        <v>0.47928134700620328</v>
      </c>
      <c r="AD31" s="134"/>
      <c r="AE31" s="133">
        <f>1-AE32+IF($Y32&lt;0,$Y32/4,0)</f>
        <v>0.47796721251056196</v>
      </c>
      <c r="AF31" s="134"/>
      <c r="AG31" s="133">
        <f>1-AG32+IF($Y32&lt;0,$Y32/4,0)</f>
        <v>0.47463408673223073</v>
      </c>
      <c r="AH31" s="123"/>
      <c r="AI31" s="183">
        <f>SUM(AA31,AC31,AE31,AG31)/4</f>
        <v>0.46481718884929174</v>
      </c>
      <c r="AJ31" s="135">
        <f t="shared" si="14"/>
        <v>0.45333372807718714</v>
      </c>
      <c r="AK31" s="136">
        <f t="shared" si="15"/>
        <v>0.47630064962139634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0.78868910538743131</v>
      </c>
      <c r="J32" s="17"/>
      <c r="L32" s="22">
        <f>SUM(L6:L30)</f>
        <v>0.71766942225694863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56398.014978519132</v>
      </c>
      <c r="T32" s="234">
        <f t="shared" si="24"/>
        <v>56368.69343123502</v>
      </c>
      <c r="U32" s="56"/>
      <c r="V32" s="56"/>
      <c r="W32" s="110"/>
      <c r="X32" s="118"/>
      <c r="Y32" s="115">
        <f>SUM(Y6:Y31)</f>
        <v>3.9824285180572851</v>
      </c>
      <c r="Z32" s="137"/>
      <c r="AA32" s="138">
        <f>SUM(AA6:AA30)</f>
        <v>0.57261389085182901</v>
      </c>
      <c r="AB32" s="137"/>
      <c r="AC32" s="139">
        <f>SUM(AC6:AC30)</f>
        <v>0.52071865299379672</v>
      </c>
      <c r="AD32" s="137"/>
      <c r="AE32" s="139">
        <f>SUM(AE6:AE30)</f>
        <v>0.52203278748943804</v>
      </c>
      <c r="AF32" s="137"/>
      <c r="AG32" s="139">
        <f>SUM(AG6:AG30)</f>
        <v>0.52536591326776927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5.003326329743162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16424.026666666665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0.4</v>
      </c>
      <c r="F50" s="75">
        <f>Poor!F50</f>
        <v>1.18</v>
      </c>
      <c r="G50" s="75">
        <f>Poor!G50</f>
        <v>1.65</v>
      </c>
      <c r="H50" s="24">
        <f t="shared" si="30"/>
        <v>0.47199999999999998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33411.9</v>
      </c>
      <c r="J65" s="39">
        <f>SUM(J37:J64)</f>
        <v>33411.9</v>
      </c>
      <c r="K65" s="40">
        <f>SUM(K37:K64)</f>
        <v>1</v>
      </c>
      <c r="L65" s="22">
        <f>SUM(L37:L64)</f>
        <v>1.0577402811194123</v>
      </c>
      <c r="M65" s="24">
        <f>SUM(M37:M64)</f>
        <v>1.0577402811194125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6228.9750000000004</v>
      </c>
      <c r="AB65" s="137"/>
      <c r="AC65" s="153">
        <f>SUM(AC37:AC64)</f>
        <v>6228.9750000000004</v>
      </c>
      <c r="AD65" s="137"/>
      <c r="AE65" s="153">
        <f>SUM(AE37:AE64)</f>
        <v>6228.9750000000004</v>
      </c>
      <c r="AF65" s="137"/>
      <c r="AG65" s="153">
        <f>SUM(AG37:AG64)</f>
        <v>6228.9750000000004</v>
      </c>
      <c r="AH65" s="137"/>
      <c r="AI65" s="153">
        <f>SUM(AI37:AI64)</f>
        <v>24915.9</v>
      </c>
      <c r="AJ65" s="153">
        <f>SUM(AJ37:AJ64)</f>
        <v>12457.95</v>
      </c>
      <c r="AK65" s="153">
        <f>SUM(AK37:AK64)</f>
        <v>12457.95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12349.38423527612</v>
      </c>
      <c r="J71" s="51">
        <f t="shared" si="44"/>
        <v>12349.38423527612</v>
      </c>
      <c r="K71" s="40">
        <f t="shared" ref="K71:K72" si="47">B71/B$76</f>
        <v>0.44063146342492931</v>
      </c>
      <c r="L71" s="22">
        <f t="shared" si="45"/>
        <v>0.3909517612788439</v>
      </c>
      <c r="M71" s="24">
        <f t="shared" ref="M71:M72" si="48">J71/B$76</f>
        <v>0.3909517612788439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12349.38423527612</v>
      </c>
      <c r="J74" s="51">
        <f t="shared" si="44"/>
        <v>12349.38423527612</v>
      </c>
      <c r="K74" s="40">
        <f>B74/B$76</f>
        <v>0.3812637381029424</v>
      </c>
      <c r="L74" s="22">
        <f t="shared" si="45"/>
        <v>0.28460823042073241</v>
      </c>
      <c r="M74" s="24">
        <f>J74/B$76</f>
        <v>0.3909517612788439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963.34605881903099</v>
      </c>
      <c r="AB74" s="156"/>
      <c r="AC74" s="147">
        <f>AC30*$I$83/4</f>
        <v>963.34605881903099</v>
      </c>
      <c r="AD74" s="156"/>
      <c r="AE74" s="147">
        <f>AE30*$I$83/4</f>
        <v>963.34605881903099</v>
      </c>
      <c r="AF74" s="156"/>
      <c r="AG74" s="147">
        <f>AG30*$I$83/4</f>
        <v>963.34605881903099</v>
      </c>
      <c r="AH74" s="155"/>
      <c r="AI74" s="147">
        <f>SUM(AA74,AC74,AE74,AG74)</f>
        <v>3853.3842352761239</v>
      </c>
      <c r="AJ74" s="148">
        <f>(AA74+AC74)</f>
        <v>1926.692117638062</v>
      </c>
      <c r="AK74" s="147">
        <f>(AE74+AG74)</f>
        <v>1926.692117638062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33411.9</v>
      </c>
      <c r="J76" s="51">
        <f t="shared" si="44"/>
        <v>33411.9</v>
      </c>
      <c r="K76" s="40">
        <f>SUM(K70:K75)</f>
        <v>2.2432784520552844</v>
      </c>
      <c r="L76" s="22">
        <f>SUM(L70:L75)</f>
        <v>1.342348511540145</v>
      </c>
      <c r="M76" s="24">
        <f>SUM(M70:M75)</f>
        <v>1.4486920423982563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6228.9750000000004</v>
      </c>
      <c r="AB76" s="137"/>
      <c r="AC76" s="153">
        <f>AC65</f>
        <v>6228.9750000000004</v>
      </c>
      <c r="AD76" s="137"/>
      <c r="AE76" s="153">
        <f>AE65</f>
        <v>6228.9750000000004</v>
      </c>
      <c r="AF76" s="137"/>
      <c r="AG76" s="153">
        <f>AG65</f>
        <v>6228.9750000000004</v>
      </c>
      <c r="AH76" s="137"/>
      <c r="AI76" s="153">
        <f>SUM(AA76,AC76,AE76,AG76)</f>
        <v>24915.9</v>
      </c>
      <c r="AJ76" s="154">
        <f>SUM(AA76,AC76)</f>
        <v>12457.95</v>
      </c>
      <c r="AK76" s="154">
        <f>SUM(AE76,AG76)</f>
        <v>12457.95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16424.026666666665</v>
      </c>
      <c r="J77" s="100">
        <f t="shared" si="44"/>
        <v>16424.026666666665</v>
      </c>
      <c r="K77" s="40"/>
      <c r="L77" s="22">
        <f>-(L131*G$37*F$9/F$7)/B$130</f>
        <v>-0.51994512684141658</v>
      </c>
      <c r="M77" s="24">
        <f>-J77/B$76</f>
        <v>-0.51994512684141647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3643.9951013555487</v>
      </c>
      <c r="AB77" s="112"/>
      <c r="AC77" s="111">
        <f>AC31*$I$83/4</f>
        <v>4086.46617959265</v>
      </c>
      <c r="AD77" s="112"/>
      <c r="AE77" s="111">
        <f>AE31*$I$83/4</f>
        <v>4075.2615579118383</v>
      </c>
      <c r="AF77" s="112"/>
      <c r="AG77" s="111">
        <f>AG31*$I$83/4</f>
        <v>4046.8425387896468</v>
      </c>
      <c r="AH77" s="110"/>
      <c r="AI77" s="154">
        <f>SUM(AA77,AC77,AE77,AG77)</f>
        <v>15852.565377649684</v>
      </c>
      <c r="AJ77" s="153">
        <f>SUM(AA77,AC77)</f>
        <v>7730.4612809481987</v>
      </c>
      <c r="AK77" s="160">
        <f>SUM(AE77,AG77)</f>
        <v>8122.1040967014851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963.34605881903099</v>
      </c>
      <c r="AB79" s="112"/>
      <c r="AC79" s="112">
        <f>AA79-AA74+AC65-AC70</f>
        <v>963.34605881903099</v>
      </c>
      <c r="AD79" s="112"/>
      <c r="AE79" s="112">
        <f>AC79-AC74+AE65-AE70</f>
        <v>963.34605881903099</v>
      </c>
      <c r="AF79" s="112"/>
      <c r="AG79" s="112">
        <f>AE79-AE74+AG65-AG70</f>
        <v>963.34605881903099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0.28606060606060607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0.97967900223958615</v>
      </c>
      <c r="J119" s="24">
        <f>SUM(J91:J118)</f>
        <v>0.97967900223958615</v>
      </c>
      <c r="K119" s="22">
        <f>SUM(K91:K118)</f>
        <v>1.5282299280354505</v>
      </c>
      <c r="L119" s="22">
        <f>SUM(L91:L118)</f>
        <v>0.97967900223958615</v>
      </c>
      <c r="M119" s="57">
        <f t="shared" si="49"/>
        <v>0.97967900223958615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0.36209950424515169</v>
      </c>
      <c r="J125" s="237">
        <f>IF(SUMPRODUCT($B$124:$B125,$H$124:$H125)&lt;J$119,($B125*$H125),IF(SUMPRODUCT($B$124:$B124,$H$124:$H124)&lt;J$119,J$119-SUMPRODUCT($B$124:$B124,$H$124:$H124),0))</f>
        <v>0.36209950424515169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0.36209950424515169</v>
      </c>
      <c r="M125" s="240">
        <f t="shared" si="66"/>
        <v>0.36209950424515169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0.36209950424515169</v>
      </c>
      <c r="J128" s="228">
        <f>(J30)</f>
        <v>0.36209950424515169</v>
      </c>
      <c r="K128" s="29">
        <f>(B128)</f>
        <v>0.5826586550435866</v>
      </c>
      <c r="L128" s="29">
        <f>IF(L124=L119,0,(L119-L124)/(B119-B124)*K128)</f>
        <v>0.26360413060252902</v>
      </c>
      <c r="M128" s="240">
        <f t="shared" si="66"/>
        <v>0.36209950424515169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0.97967900223958615</v>
      </c>
      <c r="J130" s="228">
        <f>(J119)</f>
        <v>0.97967900223958615</v>
      </c>
      <c r="K130" s="29">
        <f>(B130)</f>
        <v>1.5282299280354505</v>
      </c>
      <c r="L130" s="29">
        <f>(L119)</f>
        <v>0.97967900223958615</v>
      </c>
      <c r="M130" s="240">
        <f t="shared" si="66"/>
        <v>0.97967900223958615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0.48157315380317656</v>
      </c>
      <c r="J131" s="237">
        <f>IF(SUMPRODUCT($B124:$B125,$H124:$H125)&gt;(J119-J128),SUMPRODUCT($B124:$B125,$H124:$H125)+J128-J119,0)</f>
        <v>0.48157315380317656</v>
      </c>
      <c r="K131" s="29"/>
      <c r="L131" s="29">
        <f>IF(I131&lt;SUM(L126:L127),0,I131-(SUM(L126:L127)))</f>
        <v>0.48157315380317656</v>
      </c>
      <c r="M131" s="237">
        <f>IF(I131&lt;SUM(M126:M127),0,I131-(SUM(M126:M127)))</f>
        <v>0.48157315380317656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491.59499516401553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1.2448197162566884E-3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1.2448197162566884E-3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4.9792788650267535E-3</v>
      </c>
      <c r="Z18" s="116">
        <v>1.2941</v>
      </c>
      <c r="AA18" s="121">
        <f t="shared" ref="AA18:AA20" si="25">$M18*Z18*4</f>
        <v>6.4436847792311222E-3</v>
      </c>
      <c r="AB18" s="116">
        <v>1.1765000000000001</v>
      </c>
      <c r="AC18" s="121">
        <f t="shared" ref="AC18:AC20" si="26">$M18*AB18*4</f>
        <v>5.8581215847039762E-3</v>
      </c>
      <c r="AD18" s="116">
        <v>1.2353000000000001</v>
      </c>
      <c r="AE18" s="121">
        <f t="shared" ref="AE18:AE20" si="27">$M18*AD18*4</f>
        <v>6.1509031819675488E-3</v>
      </c>
      <c r="AF18" s="122">
        <f t="shared" ref="AF18:AF20" si="28">1-SUM(Z18,AB18,AD18)</f>
        <v>-2.7059000000000002</v>
      </c>
      <c r="AG18" s="121">
        <f t="shared" ref="AG18:AG20" si="29">$M18*AF18*4</f>
        <v>-1.3473430680875894E-2</v>
      </c>
      <c r="AH18" s="123">
        <f t="shared" ref="AH18:AH20" si="30">SUM(Z18,AB18,AD18,AF18)</f>
        <v>1</v>
      </c>
      <c r="AI18" s="184">
        <f t="shared" ref="AI18:AI20" si="31">SUM(AA18,AC18,AE18,AG18)/4</f>
        <v>1.2448197162566884E-3</v>
      </c>
      <c r="AJ18" s="120">
        <f t="shared" ref="AJ18:AJ20" si="32">(AA18+AC18)/2</f>
        <v>6.1509031819675496E-3</v>
      </c>
      <c r="AK18" s="119">
        <f t="shared" ref="AK18:AK20" si="33">(AE18+AG18)/2</f>
        <v>-3.6612637494541724E-3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53175.021125724677</v>
      </c>
      <c r="T23" s="179">
        <f>SUM(T7:T22)</f>
        <v>53147.430511371524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0.6993133446402422</v>
      </c>
      <c r="J30" s="231">
        <f>IF(I$32&lt;=1,I30,1-SUM(J6:J29))</f>
        <v>0.53357367247198662</v>
      </c>
      <c r="K30" s="22">
        <f t="shared" si="4"/>
        <v>0.66125891656288927</v>
      </c>
      <c r="L30" s="22">
        <f>IF(L124=L119,0,IF(K30="",0,(L119-L124)/(B119-B124)*K30))</f>
        <v>0.3532617131156332</v>
      </c>
      <c r="M30" s="175">
        <f t="shared" si="6"/>
        <v>0.53357367247198662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2.1342946898879465</v>
      </c>
      <c r="Z30" s="122">
        <f>IF($Y30=0,0,AA30/($Y$30))</f>
        <v>-7.2082639240332383E-2</v>
      </c>
      <c r="AA30" s="188">
        <f>IF(AA79*4/$I$83+SUM(AA6:AA29)&lt;1,AA79*4/$I$83,1-SUM(AA6:AA29))</f>
        <v>-0.15384559416374993</v>
      </c>
      <c r="AB30" s="122">
        <f>IF($Y30=0,0,AC30/($Y$30))</f>
        <v>-0.24460192640081865</v>
      </c>
      <c r="AC30" s="188">
        <f>IF(AC79*4/$I$83+SUM(AC6:AC29)&lt;1,AC79*4/$I$83,1-SUM(AC6:AC29))</f>
        <v>-0.52205259265362958</v>
      </c>
      <c r="AD30" s="122">
        <f>IF($Y30=0,0,AE30/($Y$30))</f>
        <v>-0.24460192640081865</v>
      </c>
      <c r="AE30" s="188">
        <f>IF(AE79*4/$I$83+SUM(AE6:AE29)&lt;1,AE79*4/$I$83,1-SUM(AE6:AE29))</f>
        <v>-0.52205259265362958</v>
      </c>
      <c r="AF30" s="122">
        <f>IF($Y30=0,0,AG30/($Y$30))</f>
        <v>-0.24460192640081865</v>
      </c>
      <c r="AG30" s="188">
        <f>IF(AG79*4/$I$83+SUM(AG6:AG29)&lt;1,AG79*4/$I$83,1-SUM(AG6:AG29))</f>
        <v>-0.52205259265362958</v>
      </c>
      <c r="AH30" s="123">
        <f t="shared" si="12"/>
        <v>-0.80588841844278836</v>
      </c>
      <c r="AI30" s="184">
        <f t="shared" si="13"/>
        <v>-0.43000084303115971</v>
      </c>
      <c r="AJ30" s="120">
        <f t="shared" si="14"/>
        <v>-0.33794909340868973</v>
      </c>
      <c r="AK30" s="119">
        <f t="shared" si="15"/>
        <v>-0.52205259265362958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0.16444454044403178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10743.893393075974</v>
      </c>
      <c r="T31" s="234">
        <f>IF(T25&gt;T$23,T25-T$23,0)</f>
        <v>10771.484007429128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0.6111390548573199</v>
      </c>
      <c r="AB31" s="131"/>
      <c r="AC31" s="133">
        <f>1-AC32+IF($Y32&lt;0,$Y32/4,0)</f>
        <v>1.0821920655454629</v>
      </c>
      <c r="AD31" s="134"/>
      <c r="AE31" s="133">
        <f>1-AE32+IF($Y32&lt;0,$Y32/4,0)</f>
        <v>1.0736460018809515</v>
      </c>
      <c r="AF31" s="134"/>
      <c r="AG31" s="133">
        <f>1-AG32+IF($Y32&lt;0,$Y32/4,0)</f>
        <v>1.0873209397288508</v>
      </c>
      <c r="AH31" s="123"/>
      <c r="AI31" s="183">
        <f>SUM(AA31,AC31,AE31,AG31)/4</f>
        <v>0.96357451550314621</v>
      </c>
      <c r="AJ31" s="135">
        <f t="shared" si="14"/>
        <v>0.84666556020139139</v>
      </c>
      <c r="AK31" s="136">
        <f t="shared" si="15"/>
        <v>1.0804834708049011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1.165769759052248</v>
      </c>
      <c r="J32" s="17"/>
      <c r="L32" s="22">
        <f>SUM(L6:L30)</f>
        <v>0.83555545955596822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43481.813393075972</v>
      </c>
      <c r="T32" s="234">
        <f t="shared" si="50"/>
        <v>43509.404007429126</v>
      </c>
      <c r="V32" s="56"/>
      <c r="W32" s="110"/>
      <c r="X32" s="118"/>
      <c r="Y32" s="115">
        <f>SUM(Y6:Y31)</f>
        <v>4</v>
      </c>
      <c r="Z32" s="137"/>
      <c r="AA32" s="138">
        <f>SUM(AA6:AA30)</f>
        <v>0.38886094514268005</v>
      </c>
      <c r="AB32" s="137"/>
      <c r="AC32" s="139">
        <f>SUM(AC6:AC30)</f>
        <v>-8.2192065545462767E-2</v>
      </c>
      <c r="AD32" s="137"/>
      <c r="AE32" s="139">
        <f>SUM(AE6:AE30)</f>
        <v>-7.3646001880951384E-2</v>
      </c>
      <c r="AF32" s="137"/>
      <c r="AG32" s="139">
        <f>SUM(AG6:AG30)</f>
        <v>-8.732093972885091E-2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0.88200357584430156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10771.484007429121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0.4</v>
      </c>
      <c r="F50" s="26">
        <v>1.18</v>
      </c>
      <c r="G50" s="22">
        <f t="shared" si="59"/>
        <v>1.65</v>
      </c>
      <c r="H50" s="24">
        <f t="shared" ref="H50:H64" si="68">(E50*F50)</f>
        <v>0.47199999999999998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44912.56</v>
      </c>
      <c r="J65" s="39">
        <f>SUM(J37:J64)</f>
        <v>44912.560000000005</v>
      </c>
      <c r="K65" s="40">
        <f>SUM(K37:K64)</f>
        <v>1</v>
      </c>
      <c r="L65" s="22">
        <f>SUM(L37:L64)</f>
        <v>1.0648503796337647</v>
      </c>
      <c r="M65" s="24">
        <f>SUM(M37:M64)</f>
        <v>1.0557476316964811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23850.044235276124</v>
      </c>
      <c r="J74" s="51">
        <f t="shared" si="75"/>
        <v>18197.501576038576</v>
      </c>
      <c r="K74" s="40">
        <f>B74/B$76</f>
        <v>0.32129004959921026</v>
      </c>
      <c r="L74" s="22">
        <f t="shared" si="76"/>
        <v>0.28320847749822126</v>
      </c>
      <c r="M74" s="24">
        <f>J74/B$76</f>
        <v>0.42776384137746115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-1311.7239411809687</v>
      </c>
      <c r="AB74" s="156"/>
      <c r="AC74" s="147">
        <f>AC30*$I$83/4</f>
        <v>-4451.1439411809697</v>
      </c>
      <c r="AD74" s="156"/>
      <c r="AE74" s="147">
        <f>AE30*$I$83/4</f>
        <v>-4451.1439411809697</v>
      </c>
      <c r="AF74" s="156"/>
      <c r="AG74" s="147">
        <f>AG30*$I$83/4</f>
        <v>-4451.1439411809697</v>
      </c>
      <c r="AH74" s="155"/>
      <c r="AI74" s="147">
        <f>SUM(AA74,AC74,AE74,AG74)</f>
        <v>-14665.155764723877</v>
      </c>
      <c r="AJ74" s="148">
        <f>(AA74+AC74)</f>
        <v>-5762.8678823619384</v>
      </c>
      <c r="AK74" s="147">
        <f>(AE74+AG74)</f>
        <v>-8902.2878823619394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44912.560000000005</v>
      </c>
      <c r="J76" s="51">
        <f t="shared" si="75"/>
        <v>44912.560000000005</v>
      </c>
      <c r="K76" s="40">
        <f>SUM(K70:K75)</f>
        <v>1.7404461762611736</v>
      </c>
      <c r="L76" s="22">
        <f>SUM(L70:L75)</f>
        <v>1.1643946844842004</v>
      </c>
      <c r="M76" s="24">
        <f>SUM(M70:M75)</f>
        <v>1.3089500483634404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10771.484007429121</v>
      </c>
      <c r="K77" s="40"/>
      <c r="L77" s="22">
        <f>-(L131*G$37*F$9/F$7)/B$130</f>
        <v>-0.38607523722213077</v>
      </c>
      <c r="M77" s="24">
        <f>-J77/B$76</f>
        <v>-0.25320241666695942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5210.7161989559572</v>
      </c>
      <c r="AB77" s="112"/>
      <c r="AC77" s="111">
        <f>AC31*$I$83/4</f>
        <v>9227.0256359837185</v>
      </c>
      <c r="AD77" s="112"/>
      <c r="AE77" s="111">
        <f>AE31*$I$83/4</f>
        <v>9154.159874877394</v>
      </c>
      <c r="AF77" s="112"/>
      <c r="AG77" s="111">
        <f>AG31*$I$83/4</f>
        <v>9270.755630945383</v>
      </c>
      <c r="AH77" s="110"/>
      <c r="AI77" s="154">
        <f>SUM(AA77,AC77,AE77,AG77)</f>
        <v>32862.657340762453</v>
      </c>
      <c r="AJ77" s="153">
        <f>SUM(AA77,AC77)</f>
        <v>14437.741834939676</v>
      </c>
      <c r="AK77" s="160">
        <f>SUM(AE77,AG77)</f>
        <v>18424.915505822777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-1311.7239411809687</v>
      </c>
      <c r="AB79" s="112"/>
      <c r="AC79" s="112">
        <f>AA79-AA74+AC65-AC70</f>
        <v>-4451.1439411809697</v>
      </c>
      <c r="AD79" s="112"/>
      <c r="AE79" s="112">
        <f>AC79-AC74+AE65-AE70</f>
        <v>-4451.1439411809697</v>
      </c>
      <c r="AF79" s="112"/>
      <c r="AG79" s="112">
        <f>AE79-AE74+AG65-AG70</f>
        <v>-4451.1439411809697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0.28606060606060607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1.3168928426346767</v>
      </c>
      <c r="J119" s="24">
        <f>SUM(J91:J118)</f>
        <v>1.3168928426346767</v>
      </c>
      <c r="K119" s="22">
        <f>SUM(K91:K118)</f>
        <v>2.0581369307507953</v>
      </c>
      <c r="L119" s="22">
        <f>SUM(L91:L118)</f>
        <v>1.3282472073019735</v>
      </c>
      <c r="M119" s="57">
        <f t="shared" si="80"/>
        <v>1.3168928426346767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0.6993133446402422</v>
      </c>
      <c r="J128" s="228">
        <f>(J30)</f>
        <v>0.53357367247198662</v>
      </c>
      <c r="K128" s="29">
        <f>(B128)</f>
        <v>0.66125891656288927</v>
      </c>
      <c r="L128" s="29">
        <f>IF(L124=L119,0,(L119-L124)/(B119-B124)*K128)</f>
        <v>0.3532617131156332</v>
      </c>
      <c r="M128" s="240">
        <f t="shared" si="93"/>
        <v>0.53357367247198662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1.3168928426346767</v>
      </c>
      <c r="J130" s="228">
        <f>(J119)</f>
        <v>1.3168928426346767</v>
      </c>
      <c r="K130" s="29">
        <f>(B130)</f>
        <v>2.0581369307507953</v>
      </c>
      <c r="L130" s="29">
        <f>(L119)</f>
        <v>1.3282472073019735</v>
      </c>
      <c r="M130" s="240">
        <f t="shared" si="93"/>
        <v>1.3168928426346767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0.31583348163492109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697.85366100523606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7.406370953088012E-3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7.406370953088012E-3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292.30934887490855</v>
      </c>
      <c r="U8" s="223">
        <v>2</v>
      </c>
      <c r="V8" s="56"/>
      <c r="W8" s="115"/>
      <c r="X8" s="118">
        <f>Poor!X8</f>
        <v>1</v>
      </c>
      <c r="Y8" s="184">
        <f t="shared" si="9"/>
        <v>2.9625483812352048E-2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2.9625483812352048E-2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7.406370953088012E-3</v>
      </c>
      <c r="AJ8" s="120">
        <f t="shared" si="14"/>
        <v>1.4812741906176024E-2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4.1339851192338899E-3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4.1339851192338899E-3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1.6535940476935559E-2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1.6535940476935559E-2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4.1339851192338899E-3</v>
      </c>
      <c r="AJ10" s="120">
        <f t="shared" si="14"/>
        <v>8.2679702384677797E-3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3.8040673520429837E-3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3.8040673520429837E-3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5359.4979565706408</v>
      </c>
      <c r="U11" s="223">
        <v>5</v>
      </c>
      <c r="V11" s="56"/>
      <c r="W11" s="115"/>
      <c r="X11" s="118">
        <f>Poor!X11</f>
        <v>1</v>
      </c>
      <c r="Y11" s="184">
        <f t="shared" si="9"/>
        <v>1.5216269408171935E-2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1.5216269408171935E-2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3.8040673520429837E-3</v>
      </c>
      <c r="AJ11" s="120">
        <f t="shared" si="14"/>
        <v>7.6081347040859674E-3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58258.285714285717</v>
      </c>
      <c r="T13" s="222">
        <f>IF($B$81=0,0,(SUMIF($N$6:$N$28,$U13,M$6:M$28)+SUMIF($N$91:$N$118,$U13,M$91:M$118))*$I$83*Poor!$B$81/$B$81)</f>
        <v>58258.285714285717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8.0029804744673693E-4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8.0029804744673693E-4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3.2011921897869477E-3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3.2011921897869477E-3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8.0029804744673693E-4</v>
      </c>
      <c r="AJ14" s="120">
        <f t="shared" si="14"/>
        <v>1.6005960948934739E-3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86396.18482297947</v>
      </c>
      <c r="T23" s="179">
        <f>SUM(T7:T22)</f>
        <v>85878.322951396331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3.2408646570639917E-2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3.2408646570639917E-2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0.12963458628255967</v>
      </c>
      <c r="Z27" s="156">
        <f>Poor!Z27</f>
        <v>0.25</v>
      </c>
      <c r="AA27" s="121">
        <f t="shared" si="16"/>
        <v>3.2408646570639917E-2</v>
      </c>
      <c r="AB27" s="156">
        <f>Poor!AB27</f>
        <v>0.25</v>
      </c>
      <c r="AC27" s="121">
        <f t="shared" si="7"/>
        <v>3.2408646570639917E-2</v>
      </c>
      <c r="AD27" s="156">
        <f>Poor!AD27</f>
        <v>0.25</v>
      </c>
      <c r="AE27" s="121">
        <f t="shared" si="8"/>
        <v>3.2408646570639917E-2</v>
      </c>
      <c r="AF27" s="122">
        <f t="shared" si="10"/>
        <v>0.25</v>
      </c>
      <c r="AG27" s="121">
        <f t="shared" si="11"/>
        <v>3.2408646570639917E-2</v>
      </c>
      <c r="AH27" s="123">
        <f t="shared" si="12"/>
        <v>1</v>
      </c>
      <c r="AI27" s="184">
        <f t="shared" si="13"/>
        <v>3.2408646570639917E-2</v>
      </c>
      <c r="AJ27" s="120">
        <f t="shared" si="14"/>
        <v>3.2408646570639917E-2</v>
      </c>
      <c r="AK27" s="119">
        <f t="shared" si="15"/>
        <v>3.2408646570639917E-2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0.26785889261828977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0.26785889261828977</v>
      </c>
      <c r="N29" s="229"/>
      <c r="P29" s="22"/>
      <c r="V29" s="56"/>
      <c r="W29" s="110"/>
      <c r="X29" s="118"/>
      <c r="Y29" s="184">
        <f t="shared" si="9"/>
        <v>1.0714355704731591</v>
      </c>
      <c r="Z29" s="156">
        <f>Poor!Z29</f>
        <v>0.25</v>
      </c>
      <c r="AA29" s="121">
        <f t="shared" si="16"/>
        <v>0.26785889261828977</v>
      </c>
      <c r="AB29" s="156">
        <f>Poor!AB29</f>
        <v>0.25</v>
      </c>
      <c r="AC29" s="121">
        <f t="shared" si="7"/>
        <v>0.26785889261828977</v>
      </c>
      <c r="AD29" s="156">
        <f>Poor!AD29</f>
        <v>0.25</v>
      </c>
      <c r="AE29" s="121">
        <f t="shared" si="8"/>
        <v>0.26785889261828977</v>
      </c>
      <c r="AF29" s="122">
        <f t="shared" si="10"/>
        <v>0.25</v>
      </c>
      <c r="AG29" s="121">
        <f t="shared" si="11"/>
        <v>0.26785889261828977</v>
      </c>
      <c r="AH29" s="123">
        <f t="shared" si="12"/>
        <v>1</v>
      </c>
      <c r="AI29" s="184">
        <f t="shared" si="13"/>
        <v>0.26785889261828977</v>
      </c>
      <c r="AJ29" s="120">
        <f t="shared" si="14"/>
        <v>0.26785889261828977</v>
      </c>
      <c r="AK29" s="119">
        <f t="shared" si="15"/>
        <v>0.26785889261828977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1.6678468333577465</v>
      </c>
      <c r="J30" s="231">
        <f>IF(I$32&lt;=1,I30,1-SUM(J6:J29))</f>
        <v>0.52173729408589609</v>
      </c>
      <c r="K30" s="22">
        <f t="shared" si="4"/>
        <v>0.7395463412204234</v>
      </c>
      <c r="L30" s="22">
        <f>IF(L124=L119,0,IF(K30="",0,(L119-L124)/(B119-B124)*K30))</f>
        <v>0.19955409621020953</v>
      </c>
      <c r="M30" s="175">
        <f t="shared" si="6"/>
        <v>0.52173729408589609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2.0869491763435843</v>
      </c>
      <c r="Z30" s="122">
        <f>IF($Y30=0,0,AA30/($Y$30))</f>
        <v>0.22824760903157568</v>
      </c>
      <c r="AA30" s="188">
        <f>IF(AA79*4/$I$84+SUM(AA6:AA29)&lt;1,AA79*4/$I$84,1-SUM(AA6:AA29))</f>
        <v>0.47634115967083934</v>
      </c>
      <c r="AB30" s="122">
        <f>IF($Y30=0,0,AC30/($Y$30))</f>
        <v>0.2589810558899574</v>
      </c>
      <c r="AC30" s="188">
        <f>IF(AC79*4/$I$84+SUM(AC6:AC29)&lt;1,AC79*4/$I$84,1-SUM(AC6:AC29))</f>
        <v>0.5404803012781384</v>
      </c>
      <c r="AD30" s="122">
        <f>IF($Y30=0,0,AE30/($Y$30))</f>
        <v>0.25733133383293466</v>
      </c>
      <c r="AE30" s="188">
        <f>IF(AE79*4/$I$84+SUM(AE6:AE29)&lt;1,AE79*4/$I$84,1-SUM(AE6:AE29))</f>
        <v>0.53703741519003889</v>
      </c>
      <c r="AF30" s="122">
        <f>IF($Y30=0,0,AG30/($Y$30))</f>
        <v>0.25544000124553229</v>
      </c>
      <c r="AG30" s="188">
        <f>IF(AG79*4/$I$84+SUM(AG6:AG29)&lt;1,AG79*4/$I$84,1-SUM(AG6:AG29))</f>
        <v>0.53309030020456771</v>
      </c>
      <c r="AH30" s="123">
        <f t="shared" si="12"/>
        <v>1</v>
      </c>
      <c r="AI30" s="184">
        <f t="shared" si="13"/>
        <v>0.5217372940858962</v>
      </c>
      <c r="AJ30" s="120">
        <f t="shared" si="14"/>
        <v>0.50841073047448893</v>
      </c>
      <c r="AK30" s="119">
        <f t="shared" si="15"/>
        <v>0.53506385769730325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0.30009533949711109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2.0800111332288393</v>
      </c>
      <c r="J32" s="17"/>
      <c r="L32" s="22">
        <f>SUM(L6:L30)</f>
        <v>0.69990466050288891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10260.649695821165</v>
      </c>
      <c r="T32" s="234">
        <f t="shared" si="24"/>
        <v>10778.511567404305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0.25046823928249717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4128.8949552933072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3.1799868725302737E-2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4128.8949552933072</v>
      </c>
      <c r="AH37" s="123">
        <f>SUM(Z37,AB37,AD37,AF37)</f>
        <v>1</v>
      </c>
      <c r="AI37" s="112">
        <f>SUM(AA37,AC37,AE37,AG37)</f>
        <v>4128.8949552933072</v>
      </c>
      <c r="AJ37" s="148">
        <f>(AA37+AC37)</f>
        <v>0</v>
      </c>
      <c r="AK37" s="147">
        <f>(AE37+AG37)</f>
        <v>4128.8949552933072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442.66575670600395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3.4093172882471035E-3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442.66575670600395</v>
      </c>
      <c r="AH38" s="123">
        <f t="shared" ref="AH38:AI58" si="37">SUM(Z38,AB38,AD38,AF38)</f>
        <v>1</v>
      </c>
      <c r="AI38" s="112">
        <f t="shared" si="37"/>
        <v>442.66575670600395</v>
      </c>
      <c r="AJ38" s="148">
        <f t="shared" ref="AJ38:AJ64" si="38">(AA38+AC38)</f>
        <v>0</v>
      </c>
      <c r="AK38" s="147">
        <f t="shared" ref="AK38:AK64" si="39">(AE38+AG38)</f>
        <v>442.66575670600395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110.18116882547291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8.4859187327074022E-4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110.18116882547291</v>
      </c>
      <c r="AH40" s="123">
        <f t="shared" si="37"/>
        <v>1</v>
      </c>
      <c r="AI40" s="112">
        <f t="shared" si="37"/>
        <v>110.18116882547291</v>
      </c>
      <c r="AJ40" s="148">
        <f t="shared" si="38"/>
        <v>0</v>
      </c>
      <c r="AK40" s="147">
        <f t="shared" si="39"/>
        <v>110.18116882547291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74.234087819765776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5.7173511875974875E-4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74.234087819765776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74.234087819765776</v>
      </c>
      <c r="AJ41" s="148">
        <f t="shared" si="38"/>
        <v>74.234087819765776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58.763290040252215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4.5258233241106144E-4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14.690822510063054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29.381645020126108</v>
      </c>
      <c r="AF42" s="122">
        <f t="shared" si="29"/>
        <v>0.25</v>
      </c>
      <c r="AG42" s="147">
        <f t="shared" si="36"/>
        <v>14.690822510063054</v>
      </c>
      <c r="AH42" s="123">
        <f t="shared" si="37"/>
        <v>1</v>
      </c>
      <c r="AI42" s="112">
        <f t="shared" si="37"/>
        <v>58.763290040252215</v>
      </c>
      <c r="AJ42" s="148">
        <f t="shared" si="38"/>
        <v>14.690822510063054</v>
      </c>
      <c r="AK42" s="147">
        <f t="shared" si="39"/>
        <v>44.072467530189158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12.592133580054046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9.6981928373798883E-5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3.1480333950135115</v>
      </c>
      <c r="AB45" s="156">
        <f>Poor!AB45</f>
        <v>0.25</v>
      </c>
      <c r="AC45" s="147">
        <f t="shared" si="41"/>
        <v>3.1480333950135115</v>
      </c>
      <c r="AD45" s="156">
        <f>Poor!AD45</f>
        <v>0.25</v>
      </c>
      <c r="AE45" s="147">
        <f t="shared" si="42"/>
        <v>3.1480333950135115</v>
      </c>
      <c r="AF45" s="122">
        <f t="shared" si="29"/>
        <v>0.25</v>
      </c>
      <c r="AG45" s="147">
        <f t="shared" si="36"/>
        <v>3.1480333950135115</v>
      </c>
      <c r="AH45" s="123">
        <f t="shared" si="37"/>
        <v>1</v>
      </c>
      <c r="AI45" s="112">
        <f t="shared" si="37"/>
        <v>12.592133580054046</v>
      </c>
      <c r="AJ45" s="148">
        <f t="shared" si="38"/>
        <v>6.2960667900270231</v>
      </c>
      <c r="AK45" s="147">
        <f t="shared" si="39"/>
        <v>6.2960667900270231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0.4</v>
      </c>
      <c r="F50" s="75">
        <f>Poor!F50</f>
        <v>1.18</v>
      </c>
      <c r="G50" s="75">
        <f>Poor!G50</f>
        <v>1.65</v>
      </c>
      <c r="H50" s="24">
        <f t="shared" si="30"/>
        <v>0.47199999999999998</v>
      </c>
      <c r="I50" s="39">
        <f t="shared" si="31"/>
        <v>50976</v>
      </c>
      <c r="J50" s="38">
        <f t="shared" si="32"/>
        <v>50976</v>
      </c>
      <c r="K50" s="40">
        <f t="shared" si="33"/>
        <v>0.83179297597042512</v>
      </c>
      <c r="L50" s="22">
        <f t="shared" si="34"/>
        <v>0.39260628465804065</v>
      </c>
      <c r="M50" s="24">
        <f t="shared" si="35"/>
        <v>0.39260628465804065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12744</v>
      </c>
      <c r="AB50" s="156">
        <f>Poor!AB55</f>
        <v>0.25</v>
      </c>
      <c r="AC50" s="147">
        <f t="shared" si="41"/>
        <v>12744</v>
      </c>
      <c r="AD50" s="156">
        <f>Poor!AD55</f>
        <v>0.25</v>
      </c>
      <c r="AE50" s="147">
        <f t="shared" si="42"/>
        <v>12744</v>
      </c>
      <c r="AF50" s="122">
        <f t="shared" si="29"/>
        <v>0.25</v>
      </c>
      <c r="AG50" s="147">
        <f t="shared" si="36"/>
        <v>12744</v>
      </c>
      <c r="AH50" s="123">
        <f t="shared" si="37"/>
        <v>1</v>
      </c>
      <c r="AI50" s="112">
        <f t="shared" si="37"/>
        <v>50976</v>
      </c>
      <c r="AJ50" s="148">
        <f t="shared" si="38"/>
        <v>25488</v>
      </c>
      <c r="AK50" s="147">
        <f t="shared" si="39"/>
        <v>25488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68201.3</v>
      </c>
      <c r="J65" s="39">
        <f>SUM(J37:J64)</f>
        <v>69831.831392264852</v>
      </c>
      <c r="K65" s="40">
        <f>SUM(K37:K64)</f>
        <v>1.0000000000000002</v>
      </c>
      <c r="L65" s="22">
        <f>SUM(L37:L64)</f>
        <v>0.54202634011090578</v>
      </c>
      <c r="M65" s="24">
        <f>SUM(M37:M64)</f>
        <v>0.53782987825219397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15432.072943724843</v>
      </c>
      <c r="AB65" s="137"/>
      <c r="AC65" s="153">
        <f>SUM(AC37:AC64)</f>
        <v>15225.148033395013</v>
      </c>
      <c r="AD65" s="137"/>
      <c r="AE65" s="153">
        <f>SUM(AE37:AE64)</f>
        <v>15254.52967841514</v>
      </c>
      <c r="AF65" s="137"/>
      <c r="AG65" s="153">
        <f>SUM(AG37:AG64)</f>
        <v>19921.580736729862</v>
      </c>
      <c r="AH65" s="137"/>
      <c r="AI65" s="153">
        <f>SUM(AI37:AI64)</f>
        <v>65833.331392264852</v>
      </c>
      <c r="AJ65" s="153">
        <f>SUM(AJ37:AJ64)</f>
        <v>30657.220977119854</v>
      </c>
      <c r="AK65" s="153">
        <f>SUM(AK37:AK64)</f>
        <v>35176.110415144998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21461.512056362481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0.16529199057580468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2.3432686383240912E-2</v>
      </c>
      <c r="L73" s="22">
        <f t="shared" si="45"/>
        <v>2.2914635797361745E-2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49771.598705866614</v>
      </c>
      <c r="J74" s="51">
        <f t="shared" si="44"/>
        <v>15569.594708435656</v>
      </c>
      <c r="K74" s="40">
        <f>B74/B$76</f>
        <v>0.10301450213208779</v>
      </c>
      <c r="L74" s="22">
        <f t="shared" si="45"/>
        <v>4.5864595352771292E-2</v>
      </c>
      <c r="M74" s="24">
        <f>J74/B$76</f>
        <v>0.11991369923317664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4948.9496782954284</v>
      </c>
      <c r="AB74" s="156"/>
      <c r="AC74" s="147">
        <f>AC30*$I$84/4</f>
        <v>5615.3237208890423</v>
      </c>
      <c r="AD74" s="156"/>
      <c r="AE74" s="147">
        <f>AE30*$I$84/4</f>
        <v>5579.5538327486147</v>
      </c>
      <c r="AF74" s="156"/>
      <c r="AG74" s="147">
        <f>AG30*$I$84/4</f>
        <v>5538.5452550917071</v>
      </c>
      <c r="AH74" s="155"/>
      <c r="AI74" s="147">
        <f>SUM(AA74,AC74,AE74,AG74)</f>
        <v>21682.372487024793</v>
      </c>
      <c r="AJ74" s="148">
        <f>(AA74+AC74)</f>
        <v>10564.273399184471</v>
      </c>
      <c r="AK74" s="147">
        <f>(AE74+AG74)</f>
        <v>11118.099087840321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0.49139857791808356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17212.756063377339</v>
      </c>
      <c r="AB75" s="158"/>
      <c r="AC75" s="149">
        <f>AA75+AC65-SUM(AC70,AC74)</f>
        <v>22215.155052349961</v>
      </c>
      <c r="AD75" s="158"/>
      <c r="AE75" s="149">
        <f>AC75+AE65-SUM(AE70,AE74)</f>
        <v>27282.705574483141</v>
      </c>
      <c r="AF75" s="158"/>
      <c r="AG75" s="149">
        <f>IF(SUM(AG6:AG29)+((AG65-AG70-$J$75)*4/I$83)&lt;1,0,AG65-AG70-$J$75-(1-SUM(AG6:AG29))*I$83/4)</f>
        <v>11337.058121481277</v>
      </c>
      <c r="AH75" s="134"/>
      <c r="AI75" s="149">
        <f>AI76-SUM(AI70,AI74)</f>
        <v>25721.257611106674</v>
      </c>
      <c r="AJ75" s="151">
        <f>AJ76-SUM(AJ70,AJ74)</f>
        <v>10878.096930868684</v>
      </c>
      <c r="AK75" s="149">
        <f>AJ75+AK76-SUM(AK70,AK74)</f>
        <v>25721.257611106663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68201.3</v>
      </c>
      <c r="J76" s="51">
        <f t="shared" si="44"/>
        <v>69831.831392264867</v>
      </c>
      <c r="K76" s="40">
        <f>SUM(K70:K75)</f>
        <v>1</v>
      </c>
      <c r="L76" s="22">
        <f>SUM(L70:L75)</f>
        <v>0.54202634011090578</v>
      </c>
      <c r="M76" s="24">
        <f>SUM(M70:M75)</f>
        <v>0.53782987825219397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15432.072943724843</v>
      </c>
      <c r="AB76" s="137"/>
      <c r="AC76" s="153">
        <f>AC65</f>
        <v>15225.148033395013</v>
      </c>
      <c r="AD76" s="137"/>
      <c r="AE76" s="153">
        <f>AE65</f>
        <v>15254.52967841514</v>
      </c>
      <c r="AF76" s="137"/>
      <c r="AG76" s="153">
        <f>AG65</f>
        <v>19921.580736729862</v>
      </c>
      <c r="AH76" s="137"/>
      <c r="AI76" s="153">
        <f>SUM(AA76,AC76,AE76,AG76)</f>
        <v>65833.331392264867</v>
      </c>
      <c r="AJ76" s="154">
        <f>SUM(AA76,AC76)</f>
        <v>30657.220977119854</v>
      </c>
      <c r="AK76" s="154">
        <f>SUM(AE76,AG76)</f>
        <v>35176.110415144998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14371.023333333342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11337.058121481277</v>
      </c>
      <c r="AB78" s="112"/>
      <c r="AC78" s="112">
        <f>IF(AA75&lt;0,0,AA75)</f>
        <v>17212.756063377339</v>
      </c>
      <c r="AD78" s="112"/>
      <c r="AE78" s="112">
        <f>AC75</f>
        <v>22215.155052349961</v>
      </c>
      <c r="AF78" s="112"/>
      <c r="AG78" s="112">
        <f>AE75</f>
        <v>27282.705574483141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22161.705741672769</v>
      </c>
      <c r="AB79" s="112"/>
      <c r="AC79" s="112">
        <f>AA79-AA74+AC65-AC70</f>
        <v>27830.478773239003</v>
      </c>
      <c r="AD79" s="112"/>
      <c r="AE79" s="112">
        <f>AC79-AC74+AE65-AE70</f>
        <v>32862.259407231759</v>
      </c>
      <c r="AF79" s="112"/>
      <c r="AG79" s="112">
        <f>AE79-AE74+AG65-AG70</f>
        <v>42596.860987679654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0.1383593164677874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0.1383593164677874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1.483373449426682E-2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1.483373449426682E-2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3.6921722086367243E-3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3.6921722086367243E-3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2.4875851191575953E-3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2.4875851191575953E-3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1.9691585112729193E-3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1.9691585112729193E-3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4.219625381299113E-4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4.219625381299113E-4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0.28606060606060607</v>
      </c>
      <c r="I104" s="22">
        <f t="shared" si="58"/>
        <v>1.7082063342928766</v>
      </c>
      <c r="J104" s="24">
        <f t="shared" si="59"/>
        <v>1.7082063342928766</v>
      </c>
      <c r="K104" s="22">
        <f t="shared" si="60"/>
        <v>5.9714840075916236</v>
      </c>
      <c r="L104" s="22">
        <f t="shared" si="61"/>
        <v>1.7082063342928766</v>
      </c>
      <c r="M104" s="227">
        <f t="shared" si="62"/>
        <v>1.7082063342928766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2.285426331352181</v>
      </c>
      <c r="J119" s="24">
        <f>SUM(J91:J118)</f>
        <v>2.3400654566764554</v>
      </c>
      <c r="K119" s="22">
        <f>SUM(K91:K118)</f>
        <v>7.1790507735712632</v>
      </c>
      <c r="L119" s="22">
        <f>SUM(L91:L118)</f>
        <v>2.3583240098601204</v>
      </c>
      <c r="M119" s="57">
        <f t="shared" si="49"/>
        <v>2.3400654566764554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0.71917551079294828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0.71917551079294828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9.9700202331608256E-2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1.6678468333577465</v>
      </c>
      <c r="J128" s="228">
        <f>(J30)</f>
        <v>0.52173729408589609</v>
      </c>
      <c r="K128" s="22">
        <f>(B128)</f>
        <v>0.7395463412204234</v>
      </c>
      <c r="L128" s="22">
        <f>IF(L124=L119,0,(L119-L124)/(B119-B124)*K128)</f>
        <v>0.19955409621020953</v>
      </c>
      <c r="M128" s="57">
        <f t="shared" si="63"/>
        <v>0.52173729408589609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3.5277753409346362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2.285426331352181</v>
      </c>
      <c r="J130" s="228">
        <f>(J119)</f>
        <v>2.3400654566764554</v>
      </c>
      <c r="K130" s="22">
        <f>(B130)</f>
        <v>7.1790507735712632</v>
      </c>
      <c r="L130" s="22">
        <f>(L119)</f>
        <v>2.3583240098601204</v>
      </c>
      <c r="M130" s="57">
        <f t="shared" si="63"/>
        <v>2.3400654566764554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0.48157315380317689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556.52560212159665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9593.1306057695565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5.4777291806896642E-4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5.4777291806896642E-4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11271.950325165275</v>
      </c>
      <c r="U11" s="223">
        <v>5</v>
      </c>
      <c r="V11" s="56"/>
      <c r="W11" s="115"/>
      <c r="X11" s="118">
        <f>Poor!X11</f>
        <v>1</v>
      </c>
      <c r="Y11" s="184">
        <f t="shared" si="9"/>
        <v>2.1910916722758657E-3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2.1910916722758657E-3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5.4777291806896642E-4</v>
      </c>
      <c r="AJ11" s="120">
        <f t="shared" si="14"/>
        <v>1.0955458361379328E-3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108748.79999999997</v>
      </c>
      <c r="T13" s="222">
        <f>IF($B$81=0,0,(SUMIF($N$6:$N$28,$U13,M$6:M$28)+SUMIF($N$91:$N$118,$U13,M$91:M$118))*$I$83*Poor!$B$81/$B$81)</f>
        <v>108748.79999999997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194915.91334249132</v>
      </c>
      <c r="T23" s="179">
        <f>SUM(T7:T22)</f>
        <v>195048.39517539364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5.6002208481649565E-2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5.6002208481649565E-2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0.22400883392659826</v>
      </c>
      <c r="Z27" s="156">
        <f>Poor!Z27</f>
        <v>0.25</v>
      </c>
      <c r="AA27" s="121">
        <f t="shared" si="16"/>
        <v>5.6002208481649565E-2</v>
      </c>
      <c r="AB27" s="156">
        <f>Poor!AB27</f>
        <v>0.25</v>
      </c>
      <c r="AC27" s="121">
        <f t="shared" si="7"/>
        <v>5.6002208481649565E-2</v>
      </c>
      <c r="AD27" s="156">
        <f>Poor!AD27</f>
        <v>0.25</v>
      </c>
      <c r="AE27" s="121">
        <f t="shared" si="8"/>
        <v>5.6002208481649565E-2</v>
      </c>
      <c r="AF27" s="122">
        <f t="shared" si="10"/>
        <v>0.25</v>
      </c>
      <c r="AG27" s="121">
        <f t="shared" si="11"/>
        <v>5.6002208481649565E-2</v>
      </c>
      <c r="AH27" s="123">
        <f t="shared" si="12"/>
        <v>1</v>
      </c>
      <c r="AI27" s="184">
        <f t="shared" si="13"/>
        <v>5.6002208481649565E-2</v>
      </c>
      <c r="AJ27" s="120">
        <f t="shared" si="14"/>
        <v>5.6002208481649565E-2</v>
      </c>
      <c r="AK27" s="119">
        <f t="shared" si="15"/>
        <v>5.6002208481649565E-2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0.39925768362452602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0.39925768362452602</v>
      </c>
      <c r="N29" s="229"/>
      <c r="P29" s="22"/>
      <c r="V29" s="56"/>
      <c r="W29" s="110"/>
      <c r="X29" s="118"/>
      <c r="Y29" s="184">
        <f t="shared" si="9"/>
        <v>1.5970307344981041</v>
      </c>
      <c r="Z29" s="156">
        <f>Poor!Z29</f>
        <v>0.25</v>
      </c>
      <c r="AA29" s="121">
        <f t="shared" si="16"/>
        <v>0.39925768362452602</v>
      </c>
      <c r="AB29" s="156">
        <f>Poor!AB29</f>
        <v>0.25</v>
      </c>
      <c r="AC29" s="121">
        <f t="shared" si="7"/>
        <v>0.39925768362452602</v>
      </c>
      <c r="AD29" s="156">
        <f>Poor!AD29</f>
        <v>0.25</v>
      </c>
      <c r="AE29" s="121">
        <f t="shared" si="8"/>
        <v>0.39925768362452602</v>
      </c>
      <c r="AF29" s="122">
        <f t="shared" si="10"/>
        <v>0.25</v>
      </c>
      <c r="AG29" s="121">
        <f t="shared" si="11"/>
        <v>0.39925768362452602</v>
      </c>
      <c r="AH29" s="123">
        <f t="shared" si="12"/>
        <v>1</v>
      </c>
      <c r="AI29" s="184">
        <f t="shared" si="13"/>
        <v>0.39925768362452602</v>
      </c>
      <c r="AJ29" s="120">
        <f t="shared" si="14"/>
        <v>0.39925768362452602</v>
      </c>
      <c r="AK29" s="119">
        <f t="shared" si="15"/>
        <v>0.39925768362452602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5.0864517268805178</v>
      </c>
      <c r="J30" s="231">
        <f>IF(I$32&lt;=1,I30,1-SUM(J6:J29))</f>
        <v>0.46364588183989586</v>
      </c>
      <c r="K30" s="22">
        <f t="shared" si="4"/>
        <v>0.85667246226650062</v>
      </c>
      <c r="L30" s="22">
        <f>IF(L124=L119,0,IF(K30="",0,(L119-L124)/(B119-B124)*K30))</f>
        <v>0.26844065066810657</v>
      </c>
      <c r="M30" s="175">
        <f t="shared" si="6"/>
        <v>0.46364588183989586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1.8545835273595834</v>
      </c>
      <c r="Z30" s="122">
        <f>IF($Y30=0,0,AA30/($Y$30))</f>
        <v>0.2349649620323766</v>
      </c>
      <c r="AA30" s="188">
        <f>IF(AA79*4/$I$83+SUM(AA6:AA29)&lt;1,AA79*4/$I$83,1-SUM(AA6:AA29))</f>
        <v>0.4357621480919156</v>
      </c>
      <c r="AB30" s="122">
        <f>IF($Y30=0,0,AC30/($Y$30))</f>
        <v>0.26052726167661849</v>
      </c>
      <c r="AC30" s="188">
        <f>IF(AC79*4/$I$83+SUM(AC6:AC29)&lt;1,AC79*4/$I$83,1-SUM(AC6:AC29))</f>
        <v>0.48316956793355637</v>
      </c>
      <c r="AD30" s="122">
        <f>IF($Y30=0,0,AE30/($Y$30))</f>
        <v>0.25306070746697756</v>
      </c>
      <c r="AE30" s="188">
        <f>IF(AE79*4/$I$83+SUM(AE6:AE29)&lt;1,AE79*4/$I$83,1-SUM(AE6:AE29))</f>
        <v>0.46932221949021891</v>
      </c>
      <c r="AF30" s="122">
        <f>IF($Y30=0,0,AG30/($Y$30))</f>
        <v>0.25144706882402734</v>
      </c>
      <c r="AG30" s="188">
        <f>IF(AG79*4/$I$83+SUM(AG6:AG29)&lt;1,AG79*4/$I$83,1-SUM(AG6:AG29))</f>
        <v>0.46632959184389255</v>
      </c>
      <c r="AH30" s="123">
        <f t="shared" si="12"/>
        <v>1</v>
      </c>
      <c r="AI30" s="184">
        <f t="shared" si="13"/>
        <v>0.46364588183989586</v>
      </c>
      <c r="AJ30" s="120">
        <f t="shared" si="14"/>
        <v>0.45946585801273598</v>
      </c>
      <c r="AK30" s="119">
        <f t="shared" si="15"/>
        <v>0.46782590566705573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0.1821446133766067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5.3943907430845615</v>
      </c>
      <c r="J32" s="17"/>
      <c r="L32" s="22">
        <f>SUM(L6:L30)</f>
        <v>0.8178553866233933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5.4086670944130402E-2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5963.8222717140743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2.7581940189777516E-2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5963.8222717140743</v>
      </c>
      <c r="AH37" s="123">
        <f>SUM(Z37,AB37,AD37,AF37)</f>
        <v>1</v>
      </c>
      <c r="AI37" s="112">
        <f>SUM(AA37,AC37,AE37,AG37)</f>
        <v>5963.8222717140743</v>
      </c>
      <c r="AJ37" s="148">
        <f>(AA37+AC37)</f>
        <v>0</v>
      </c>
      <c r="AK37" s="147">
        <f>(AE37+AG37)</f>
        <v>5963.8222717140743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1081.1466815142221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5.0001696474652078E-3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1081.1466815142221</v>
      </c>
      <c r="AH38" s="123">
        <f t="shared" ref="AH38:AI58" si="35">SUM(Z38,AB38,AD38,AF38)</f>
        <v>1</v>
      </c>
      <c r="AI38" s="112">
        <f t="shared" si="35"/>
        <v>1081.1466815142221</v>
      </c>
      <c r="AJ38" s="148">
        <f t="shared" ref="AJ38:AJ64" si="36">(AA38+AC38)</f>
        <v>0</v>
      </c>
      <c r="AK38" s="147">
        <f t="shared" ref="AK38:AK64" si="37">(AE38+AG38)</f>
        <v>1081.1466815142221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42.906628605974241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1.9843784909016771E-4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10.72665715149356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21.45331430298712</v>
      </c>
      <c r="AF42" s="122">
        <f t="shared" si="31"/>
        <v>0.25</v>
      </c>
      <c r="AG42" s="147">
        <f t="shared" si="34"/>
        <v>10.72665715149356</v>
      </c>
      <c r="AH42" s="123">
        <f t="shared" si="35"/>
        <v>1</v>
      </c>
      <c r="AI42" s="112">
        <f t="shared" si="35"/>
        <v>42.906628605974241</v>
      </c>
      <c r="AJ42" s="148">
        <f t="shared" si="36"/>
        <v>10.72665715149356</v>
      </c>
      <c r="AK42" s="147">
        <f t="shared" si="37"/>
        <v>32.179971454480679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0.4</v>
      </c>
      <c r="F50" s="75">
        <f>Middle!F50</f>
        <v>1.18</v>
      </c>
      <c r="G50" s="22">
        <f t="shared" si="32"/>
        <v>1.65</v>
      </c>
      <c r="H50" s="24">
        <f t="shared" si="26"/>
        <v>0.47199999999999998</v>
      </c>
      <c r="I50" s="39">
        <f t="shared" si="27"/>
        <v>67968</v>
      </c>
      <c r="J50" s="38">
        <f t="shared" si="33"/>
        <v>67967.999999999985</v>
      </c>
      <c r="K50" s="40">
        <f t="shared" si="28"/>
        <v>0.66598218497655193</v>
      </c>
      <c r="L50" s="22">
        <f t="shared" si="29"/>
        <v>0.31434359130893247</v>
      </c>
      <c r="M50" s="24">
        <f t="shared" si="30"/>
        <v>0.31434359130893241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16991.999999999996</v>
      </c>
      <c r="AB50" s="156">
        <f>Poor!AB55</f>
        <v>0.25</v>
      </c>
      <c r="AC50" s="147">
        <f t="shared" si="39"/>
        <v>16991.999999999996</v>
      </c>
      <c r="AD50" s="156">
        <f>Poor!AD55</f>
        <v>0.25</v>
      </c>
      <c r="AE50" s="147">
        <f t="shared" si="40"/>
        <v>16991.999999999996</v>
      </c>
      <c r="AF50" s="122">
        <f t="shared" si="31"/>
        <v>0.25</v>
      </c>
      <c r="AG50" s="147">
        <f t="shared" si="34"/>
        <v>16991.999999999996</v>
      </c>
      <c r="AH50" s="123">
        <f t="shared" si="35"/>
        <v>1</v>
      </c>
      <c r="AI50" s="112">
        <f t="shared" si="35"/>
        <v>67967.999999999985</v>
      </c>
      <c r="AJ50" s="148">
        <f t="shared" si="36"/>
        <v>33983.999999999993</v>
      </c>
      <c r="AK50" s="147">
        <f t="shared" si="37"/>
        <v>33983.999999999993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121584.8</v>
      </c>
      <c r="J65" s="39">
        <f>SUM(J37:J64)</f>
        <v>120176.67558183425</v>
      </c>
      <c r="K65" s="40">
        <f>SUM(K37:K64)</f>
        <v>1.0000000000000002</v>
      </c>
      <c r="L65" s="22">
        <f>SUM(L37:L64)</f>
        <v>0.55542988225064971</v>
      </c>
      <c r="M65" s="24">
        <f>SUM(M37:M64)</f>
        <v>0.55580225685561246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26897.526657151488</v>
      </c>
      <c r="AB65" s="137"/>
      <c r="AC65" s="153">
        <f>SUM(AC37:AC64)</f>
        <v>26533.999999999996</v>
      </c>
      <c r="AD65" s="137"/>
      <c r="AE65" s="153">
        <f>SUM(AE37:AE64)</f>
        <v>26555.453314302984</v>
      </c>
      <c r="AF65" s="137"/>
      <c r="AG65" s="153">
        <f>SUM(AG37:AG64)</f>
        <v>33589.695610379786</v>
      </c>
      <c r="AH65" s="137"/>
      <c r="AI65" s="153">
        <f>SUM(AI37:AI64)</f>
        <v>113576.67558183425</v>
      </c>
      <c r="AJ65" s="153">
        <f>SUM(AJ37:AJ64)</f>
        <v>53431.526657151488</v>
      </c>
      <c r="AK65" s="153">
        <f>SUM(AK37:AK64)</f>
        <v>60145.14892468277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108420.72764704756</v>
      </c>
      <c r="J74" s="51">
        <f>J128*I$83</f>
        <v>9882.8862591935049</v>
      </c>
      <c r="K74" s="40">
        <f>B74/B$76</f>
        <v>5.1183310562586744E-2</v>
      </c>
      <c r="L74" s="22">
        <f>(L128*G$37*F$9/F$7)/B$130</f>
        <v>2.646340925304029E-2</v>
      </c>
      <c r="M74" s="24">
        <f>J74/B$76</f>
        <v>4.5707126283141886E-2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2322.1319946616982</v>
      </c>
      <c r="AB74" s="156"/>
      <c r="AC74" s="147">
        <f>AC30*$I$83/4</f>
        <v>2574.7612945691635</v>
      </c>
      <c r="AD74" s="156"/>
      <c r="AE74" s="147">
        <f>AE30*$I$83/4</f>
        <v>2500.9701885671798</v>
      </c>
      <c r="AF74" s="156"/>
      <c r="AG74" s="147">
        <f>AG30*$I$83/4</f>
        <v>2485.0227813954634</v>
      </c>
      <c r="AH74" s="155"/>
      <c r="AI74" s="147">
        <f>SUM(AA74,AC74,AE74,AG74)</f>
        <v>9882.8862591935067</v>
      </c>
      <c r="AJ74" s="148">
        <f>(AA74+AC74)</f>
        <v>4896.8932892308621</v>
      </c>
      <c r="AK74" s="147">
        <f>(AE74+AG74)</f>
        <v>4985.9929699626427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40635.250303021632</v>
      </c>
      <c r="K75" s="40">
        <f>B75/B$76</f>
        <v>0.6839057391631389</v>
      </c>
      <c r="L75" s="22">
        <f>(L129*G$37*F$9/F$7)/B$130</f>
        <v>0.20680434786871829</v>
      </c>
      <c r="M75" s="24">
        <f>J75/B$76</f>
        <v>0.18793300544357944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21284.376574251684</v>
      </c>
      <c r="AB75" s="158"/>
      <c r="AC75" s="149">
        <f>AA75+AC65-SUM(AC70,AC74)</f>
        <v>41952.597191444416</v>
      </c>
      <c r="AD75" s="158"/>
      <c r="AE75" s="149">
        <f>AC75+AE65-SUM(AE70,AE74)</f>
        <v>62716.062228942123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90529.716969688321</v>
      </c>
      <c r="AJ75" s="151">
        <f>AJ76-SUM(AJ70,AJ74)</f>
        <v>41952.597191444409</v>
      </c>
      <c r="AK75" s="149">
        <f>AJ75+AK76-SUM(AK70,AK74)</f>
        <v>90529.716969688321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121584.79999999999</v>
      </c>
      <c r="J76" s="51">
        <f>J130*I$83</f>
        <v>120176.67558183424</v>
      </c>
      <c r="K76" s="40">
        <f>SUM(K70:K75)</f>
        <v>0.87957207561364381</v>
      </c>
      <c r="L76" s="22">
        <f>SUM(L70:L75)</f>
        <v>0.41332493147474958</v>
      </c>
      <c r="M76" s="24">
        <f>SUM(M70:M75)</f>
        <v>0.41369730607971233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26897.526657151488</v>
      </c>
      <c r="AB76" s="137"/>
      <c r="AC76" s="153">
        <f>AC65</f>
        <v>26533.999999999996</v>
      </c>
      <c r="AD76" s="137"/>
      <c r="AE76" s="153">
        <f>AE65</f>
        <v>26555.453314302984</v>
      </c>
      <c r="AF76" s="137"/>
      <c r="AG76" s="153">
        <f>AG65</f>
        <v>33589.695610379786</v>
      </c>
      <c r="AH76" s="137"/>
      <c r="AI76" s="153">
        <f>SUM(AA76,AC76,AE76,AG76)</f>
        <v>113576.67558183425</v>
      </c>
      <c r="AJ76" s="154">
        <f>SUM(AA76,AC76)</f>
        <v>53431.52665715148</v>
      </c>
      <c r="AK76" s="154">
        <f>SUM(AE76,AG76)</f>
        <v>60145.14892468277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21284.376574251684</v>
      </c>
      <c r="AD78" s="112"/>
      <c r="AE78" s="112">
        <f>AC75</f>
        <v>41952.597191444416</v>
      </c>
      <c r="AF78" s="112"/>
      <c r="AG78" s="112">
        <f>AE75</f>
        <v>62716.062228942123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23606.508568913381</v>
      </c>
      <c r="AB79" s="112"/>
      <c r="AC79" s="112">
        <f>AA79-AA74+AC65-AC70</f>
        <v>44527.358486013574</v>
      </c>
      <c r="AD79" s="112"/>
      <c r="AE79" s="112">
        <f>AC79-AC74+AE65-AE70</f>
        <v>65217.032417509283</v>
      </c>
      <c r="AF79" s="112"/>
      <c r="AG79" s="112">
        <f>AE79-AE74+AG65-AG70</f>
        <v>93014.739751083776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0.27978685211853582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0.27978685211853582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5.0720932468754802E-2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5.0720932468754802E-2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2.0129222511579567E-3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2.0129222511579567E-3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0.28606060606060607</v>
      </c>
      <c r="I104" s="22">
        <f t="shared" si="59"/>
        <v>3.1886518240133697</v>
      </c>
      <c r="J104" s="24">
        <f t="shared" si="60"/>
        <v>3.1886518240133697</v>
      </c>
      <c r="K104" s="22">
        <f t="shared" si="61"/>
        <v>11.146770147504364</v>
      </c>
      <c r="L104" s="22">
        <f t="shared" si="62"/>
        <v>3.1886518240133697</v>
      </c>
      <c r="M104" s="227">
        <f t="shared" si="63"/>
        <v>3.1886518240133697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5.7040312248749521</v>
      </c>
      <c r="J119" s="24">
        <f>SUM(J91:J118)</f>
        <v>5.6379704537117288</v>
      </c>
      <c r="K119" s="22">
        <f>SUM(K91:K118)</f>
        <v>16.737339825233949</v>
      </c>
      <c r="L119" s="22">
        <f>SUM(L91:L118)</f>
        <v>5.6341931444356383</v>
      </c>
      <c r="M119" s="57">
        <f t="shared" si="50"/>
        <v>5.6379704537117288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5.0864517268805178</v>
      </c>
      <c r="J128" s="228">
        <f>(J30)</f>
        <v>0.46364588183989586</v>
      </c>
      <c r="K128" s="22">
        <f>(B128)</f>
        <v>0.85667246226650062</v>
      </c>
      <c r="L128" s="22">
        <f>IF(L124=L119,0,(L119-L124)/(B119-B124)*K128)</f>
        <v>0.26844065066810657</v>
      </c>
      <c r="M128" s="57">
        <f t="shared" si="90"/>
        <v>0.46364588183989586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1.906362773628322</v>
      </c>
      <c r="K129" s="29">
        <f>(B129)</f>
        <v>11.446762764801267</v>
      </c>
      <c r="L129" s="60">
        <f>IF(SUM(L124:L128)&gt;L130,0,L130-SUM(L124:L128))</f>
        <v>2.0977906955240209</v>
      </c>
      <c r="M129" s="57">
        <f t="shared" si="90"/>
        <v>1.906362773628322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5.7040312248749521</v>
      </c>
      <c r="J130" s="228">
        <f>(J119)</f>
        <v>5.6379704537117288</v>
      </c>
      <c r="K130" s="22">
        <f>(B130)</f>
        <v>16.737339825233949</v>
      </c>
      <c r="L130" s="22">
        <f>(L119)</f>
        <v>5.6341931444356383</v>
      </c>
      <c r="M130" s="57">
        <f t="shared" si="90"/>
        <v>5.6379704537117288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697.85366100523606</v>
      </c>
      <c r="I72" s="109">
        <f>Rich!T7</f>
        <v>556.52560212159665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292.30934887490855</v>
      </c>
      <c r="I73" s="109">
        <f>Rich!T8</f>
        <v>9593.1306057695565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5359.4979565706408</v>
      </c>
      <c r="I76" s="109">
        <f>Rich!T11</f>
        <v>11271.950325165275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491.59499516401553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58258.285714285717</v>
      </c>
      <c r="I78" s="109">
        <f>Rich!T13</f>
        <v>108748.79999999997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40288.141087565629</v>
      </c>
      <c r="G88" s="109">
        <f>Poor!T23</f>
        <v>53147.430511371524</v>
      </c>
      <c r="H88" s="109">
        <f>Middle!T23</f>
        <v>85878.322951396331</v>
      </c>
      <c r="I88" s="109">
        <f>Rich!T23</f>
        <v>195048.39517539364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7206.74676456835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23630.773431235022</v>
      </c>
      <c r="G99" s="239">
        <f t="shared" si="0"/>
        <v>10771.484007429128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56368.69343123502</v>
      </c>
      <c r="G100" s="239">
        <f t="shared" si="0"/>
        <v>43509.404007429126</v>
      </c>
      <c r="H100" s="239">
        <f t="shared" si="0"/>
        <v>10778.511567404305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2016-06-02T07:19:27Z</dcterms:modified>
  <cp:category/>
</cp:coreProperties>
</file>