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E47" i="7"/>
  <c r="E47" i="8"/>
  <c r="H101" i="8"/>
  <c r="I101" i="8"/>
  <c r="B102" i="8"/>
  <c r="C102" i="8"/>
  <c r="D102" i="8"/>
  <c r="G48" i="8"/>
  <c r="F48" i="7"/>
  <c r="F48" i="8"/>
  <c r="E48" i="7"/>
  <c r="E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E51" i="7"/>
  <c r="E51" i="8"/>
  <c r="H105" i="8"/>
  <c r="I105" i="8"/>
  <c r="B106" i="8"/>
  <c r="C106" i="8"/>
  <c r="D106" i="8"/>
  <c r="G52" i="8"/>
  <c r="F52" i="7"/>
  <c r="F52" i="8"/>
  <c r="E52" i="7"/>
  <c r="E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E47" i="12"/>
  <c r="H101" i="12"/>
  <c r="I101" i="12"/>
  <c r="B102" i="12"/>
  <c r="C102" i="12"/>
  <c r="D102" i="12"/>
  <c r="G48" i="12"/>
  <c r="F48" i="12"/>
  <c r="E48" i="12"/>
  <c r="H102" i="12"/>
  <c r="I102" i="12"/>
  <c r="B103" i="12"/>
  <c r="C103" i="12"/>
  <c r="D103" i="12"/>
  <c r="G49" i="12"/>
  <c r="F49" i="12"/>
  <c r="E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E51" i="12"/>
  <c r="H105" i="12"/>
  <c r="I105" i="12"/>
  <c r="B106" i="12"/>
  <c r="C106" i="12"/>
  <c r="D106" i="12"/>
  <c r="G52" i="12"/>
  <c r="F52" i="12"/>
  <c r="E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E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F54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F54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F54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<sst xmlns="http://schemas.openxmlformats.org/spreadsheetml/2006/main" count="790" uniqueCount="145">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</sst>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0.0260241164383562</c:v>
                </c:pt>
                <c:pt idx="2" formatCode="0.0%">
                  <c:v>0.0260241164383562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0.0132564620174346</c:v>
                </c:pt>
                <c:pt idx="2" formatCode="0.0%">
                  <c:v>0.0132564620174346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0.000350312110834371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0.0518675517194276</c:v>
                </c:pt>
                <c:pt idx="2" formatCode="0.0%">
                  <c:v>0.421670222940722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983784"/>
        <c:axId val="1813987080"/>
      </c:barChart>
      <c:catAx>
        <c:axId val="181398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98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98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98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0.0106655911833249</c:v>
                </c:pt>
                <c:pt idx="2">
                  <c:v>0.0106655911833249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0.0333299724478902</c:v>
                </c:pt>
                <c:pt idx="2">
                  <c:v>0.0333299724478902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0.00933239228540925</c:v>
                </c:pt>
                <c:pt idx="2">
                  <c:v>0.0104978373217683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0.00266639779583121</c:v>
                </c:pt>
                <c:pt idx="2">
                  <c:v>0.00266639779583121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0.000474528421291996</c:v>
                </c:pt>
                <c:pt idx="2">
                  <c:v>0.000474528421291996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0.00614514305573134</c:v>
                </c:pt>
                <c:pt idx="2">
                  <c:v>0.00614514305573134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0.287970961949771</c:v>
                </c:pt>
                <c:pt idx="2">
                  <c:v>0.287970961949771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0.0357899214839586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870904"/>
        <c:axId val="1815873928"/>
      </c:barChart>
      <c:catAx>
        <c:axId val="181587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73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87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70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0.00117908061562124</c:v>
                </c:pt>
                <c:pt idx="2">
                  <c:v>0.00117908061562124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0.0235816123124247</c:v>
                </c:pt>
                <c:pt idx="2">
                  <c:v>0.0235816123124247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0.00825356430934866</c:v>
                </c:pt>
                <c:pt idx="2">
                  <c:v>0.00822095927308627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0.00176862092343186</c:v>
                </c:pt>
                <c:pt idx="2">
                  <c:v>0.00176862092343186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0.00125901828447691</c:v>
                </c:pt>
                <c:pt idx="2">
                  <c:v>0.00123912368607952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0.000141217227057261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0.00139890920497435</c:v>
                </c:pt>
                <c:pt idx="2">
                  <c:v>0.00137680409564391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0.000139890920497435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0.00652824295654696</c:v>
                </c:pt>
                <c:pt idx="2">
                  <c:v>0.00652824295654696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0.00326412147827348</c:v>
                </c:pt>
                <c:pt idx="2">
                  <c:v>0.00326412147827348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0.000186521227329913</c:v>
                </c:pt>
                <c:pt idx="2">
                  <c:v>0.000186521227329913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0.000233151534162391</c:v>
                </c:pt>
                <c:pt idx="2">
                  <c:v>0.000233151534162391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0.481064891173465</c:v>
                </c:pt>
                <c:pt idx="2">
                  <c:v>0.481064891173465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0.0160380597353193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015128"/>
        <c:axId val="1816018184"/>
      </c:barChart>
      <c:catAx>
        <c:axId val="181601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018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01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015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0.00874957890079917</c:v>
                </c:pt>
                <c:pt idx="2">
                  <c:v>0.00874957890079917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0.0279986524825574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0.0248562189756432</c:v>
                </c:pt>
                <c:pt idx="2">
                  <c:v>0.0248562189756432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0.0740748247618506</c:v>
                </c:pt>
                <c:pt idx="2">
                  <c:v>0.0740748247618506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0.102503541292074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523880"/>
        <c:axId val="1774494696"/>
      </c:barChart>
      <c:catAx>
        <c:axId val="181352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494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494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52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561.3832244311223</c:v>
                </c:pt>
                <c:pt idx="5">
                  <c:v>859.7521829039957</c:v>
                </c:pt>
                <c:pt idx="6">
                  <c:v>885.572085784103</c:v>
                </c:pt>
                <c:pt idx="7">
                  <c:v>1407.597974866087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42</c:v>
                </c:pt>
                <c:pt idx="7">
                  <c:v>4722.946158195415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30.64739618218351</c:v>
                </c:pt>
                <c:pt idx="6">
                  <c:v>334.9936537173475</c:v>
                </c:pt>
                <c:pt idx="7">
                  <c:v>570.2360214333555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454.3</c:v>
                </c:pt>
                <c:pt idx="5">
                  <c:v>1767.64</c:v>
                </c:pt>
                <c:pt idx="6">
                  <c:v>5177.152286208287</c:v>
                </c:pt>
                <c:pt idx="7">
                  <c:v>13093.33303442296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948.5442690890826</c:v>
                </c:pt>
                <c:pt idx="5">
                  <c:v>948.5442690890826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3335.550000000001</c:v>
                </c:pt>
                <c:pt idx="5">
                  <c:v>6687.750000000001</c:v>
                </c:pt>
                <c:pt idx="6">
                  <c:v>1019.42346089378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25488.0</c:v>
                </c:pt>
                <c:pt idx="7">
                  <c:v>173318.4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3456</c:v>
                </c:pt>
                <c:pt idx="5">
                  <c:v>3935.999999999999</c:v>
                </c:pt>
                <c:pt idx="6">
                  <c:v>3167.727442401812</c:v>
                </c:pt>
                <c:pt idx="7">
                  <c:v>5778.203530192031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995912"/>
        <c:axId val="18139992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995912"/>
        <c:axId val="1813999288"/>
      </c:lineChart>
      <c:catAx>
        <c:axId val="181399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99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99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99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096696"/>
        <c:axId val="18130934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96696"/>
        <c:axId val="1813093448"/>
      </c:lineChart>
      <c:catAx>
        <c:axId val="181309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09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09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09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003544"/>
        <c:axId val="18130002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03544"/>
        <c:axId val="1813000248"/>
      </c:lineChart>
      <c:catAx>
        <c:axId val="1813003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0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00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00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0.103772496898131</c:v>
                </c:pt>
                <c:pt idx="2">
                  <c:v>0.122726989558517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0.0150960350814027</c:v>
                </c:pt>
                <c:pt idx="2">
                  <c:v>0.122726989558517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-0.341107275633258</c:v>
                </c:pt>
                <c:pt idx="2">
                  <c:v>-0.341107275633258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596296"/>
        <c:axId val="1816599672"/>
      </c:barChart>
      <c:catAx>
        <c:axId val="181659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59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59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596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0.0371683009079844</c:v>
                </c:pt>
                <c:pt idx="2">
                  <c:v>0.0924933623482064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0.125433841492558</c:v>
                </c:pt>
                <c:pt idx="2">
                  <c:v>0.0745250548269172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0.0371683009079844</c:v>
                </c:pt>
                <c:pt idx="2">
                  <c:v>0.0924933623482064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658248"/>
        <c:axId val="1816661656"/>
      </c:barChart>
      <c:catAx>
        <c:axId val="181665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66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66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65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0.00896772461638161</c:v>
                </c:pt>
                <c:pt idx="2">
                  <c:v>0.0170000942676772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0.399414953261226</c:v>
                </c:pt>
                <c:pt idx="2">
                  <c:v>0.391359831136684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0.00896772461638161</c:v>
                </c:pt>
                <c:pt idx="2">
                  <c:v>0.0170000942676772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713576"/>
        <c:axId val="1816717080"/>
      </c:barChart>
      <c:catAx>
        <c:axId val="181671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71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71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713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0.312583896659212</c:v>
                </c:pt>
                <c:pt idx="2">
                  <c:v>0.335267550704403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-0.510609685131037</c:v>
                </c:pt>
                <c:pt idx="2">
                  <c:v>-0.510609685131037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6774632"/>
        <c:axId val="1816778008"/>
      </c:barChart>
      <c:catAx>
        <c:axId val="181677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77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77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774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0.00279858642590286</c:v>
                </c:pt>
                <c:pt idx="2" formatCode="0.0%">
                  <c:v>0.00279858642590286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0.00118617310087173</c:v>
                </c:pt>
                <c:pt idx="2" formatCode="0.0%">
                  <c:v>0.00118617310087173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0.00148597509339975</c:v>
                </c:pt>
                <c:pt idx="2" formatCode="0.0%">
                  <c:v>0.00148597509339975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0.0366575183096394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0.0114163045386775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0.226747984189499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0.253600953066474</c:v>
                </c:pt>
                <c:pt idx="2" formatCode="0.0%">
                  <c:v>0.63108628241839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207224"/>
        <c:axId val="1813230616"/>
      </c:barChart>
      <c:catAx>
        <c:axId val="181320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230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230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207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330632"/>
        <c:axId val="18153271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330632"/>
        <c:axId val="18153271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30632"/>
        <c:axId val="1815327192"/>
      </c:scatterChart>
      <c:catAx>
        <c:axId val="1815330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3271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53271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330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239160"/>
        <c:axId val="181523576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239160"/>
        <c:axId val="1815235768"/>
      </c:lineChart>
      <c:catAx>
        <c:axId val="1815239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2357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5235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2391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621720"/>
        <c:axId val="18176250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628680"/>
        <c:axId val="1817631576"/>
      </c:scatterChart>
      <c:valAx>
        <c:axId val="18176217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625064"/>
        <c:crosses val="autoZero"/>
        <c:crossBetween val="midCat"/>
      </c:valAx>
      <c:valAx>
        <c:axId val="1817625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621720"/>
        <c:crosses val="autoZero"/>
        <c:crossBetween val="midCat"/>
      </c:valAx>
      <c:valAx>
        <c:axId val="18176286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17631576"/>
        <c:crosses val="autoZero"/>
        <c:crossBetween val="midCat"/>
      </c:valAx>
      <c:valAx>
        <c:axId val="18176315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6286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711928"/>
        <c:axId val="18177176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711928"/>
        <c:axId val="1817717672"/>
      </c:lineChart>
      <c:catAx>
        <c:axId val="181771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717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7717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7119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0.018019403237858</c:v>
                </c:pt>
                <c:pt idx="2" formatCode="0.0%">
                  <c:v>0.018019403237858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0.0259393897882939</c:v>
                </c:pt>
                <c:pt idx="2" formatCode="0.0%">
                  <c:v>0.0259393897882939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0.0610383821917808</c:v>
                </c:pt>
                <c:pt idx="2" formatCode="0.0%">
                  <c:v>0.0628328169997602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0.00585004931506849</c:v>
                </c:pt>
                <c:pt idx="2" formatCode="0.0%">
                  <c:v>0.00582483824751837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0.0120191922291407</c:v>
                </c:pt>
                <c:pt idx="2" formatCode="0.0%">
                  <c:v>0.0120191922291407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0.000938510585305106</c:v>
                </c:pt>
                <c:pt idx="2" formatCode="0.0%">
                  <c:v>0.000983000704511205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0.00284681544209215</c:v>
                </c:pt>
                <c:pt idx="2" formatCode="0.0%">
                  <c:v>0.00284681544209215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0.0017831701120797</c:v>
                </c:pt>
                <c:pt idx="2" formatCode="0.0%">
                  <c:v>0.0017831701120797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0.0138868282938979</c:v>
                </c:pt>
                <c:pt idx="2" formatCode="0.0%">
                  <c:v>0.0138868282938979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0.0538813651582348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0.321496089498068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0.249065964123201</c:v>
                </c:pt>
                <c:pt idx="2" formatCode="0.0%">
                  <c:v>0.472153756955212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3518072"/>
        <c:axId val="1812286200"/>
      </c:barChart>
      <c:catAx>
        <c:axId val="181351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28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28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3518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0.00413639850560398</c:v>
                </c:pt>
                <c:pt idx="2" formatCode="0.0%">
                  <c:v>0.00413639850560398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0.00707011307596513</c:v>
                </c:pt>
                <c:pt idx="2" formatCode="0.0%">
                  <c:v>0.00707011307596513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0.00528303250311332</c:v>
                </c:pt>
                <c:pt idx="2" formatCode="0.0%">
                  <c:v>0.00528303250311332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0.000350312110834371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040232"/>
        <c:axId val="1815043560"/>
      </c:barChart>
      <c:catAx>
        <c:axId val="181504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043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043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04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0.104096465753425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0.0530258480697385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0.00140124844333748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-0.0612778107906294</c:v>
                </c:pt>
                <c:pt idx="1">
                  <c:v>-0.606338578501731</c:v>
                </c:pt>
                <c:pt idx="2">
                  <c:v>-0.606338578501731</c:v>
                </c:pt>
                <c:pt idx="3">
                  <c:v>-0.606338578501731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315704"/>
        <c:axId val="1814312312"/>
      </c:barChart>
      <c:catAx>
        <c:axId val="18143157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12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4312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1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0.0738138575342466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0.0165455940224159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0.0282804523038605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0.00528303250311332</c:v>
                </c:pt>
                <c:pt idx="1">
                  <c:v>0.00528303250311332</c:v>
                </c:pt>
                <c:pt idx="2">
                  <c:v>0.00528303250311332</c:v>
                </c:pt>
                <c:pt idx="3">
                  <c:v>0.00528303250311332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-0.161354502740392</c:v>
                </c:pt>
                <c:pt idx="1">
                  <c:v>-0.301440214068012</c:v>
                </c:pt>
                <c:pt idx="2">
                  <c:v>-0.301440214068012</c:v>
                </c:pt>
                <c:pt idx="3">
                  <c:v>-0.301440214068012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208440"/>
        <c:axId val="1814205048"/>
      </c:barChart>
      <c:catAx>
        <c:axId val="1814208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050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420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0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0.0432323163138232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0.141949726027397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0.0111943457036115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0.000838402789539228</c:v>
                </c:pt>
                <c:pt idx="3">
                  <c:v>0.000412944657534246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0.00474469240348692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0.005943900373599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0.0431239045394598</c:v>
                </c:pt>
                <c:pt idx="1">
                  <c:v>0.0258802079266054</c:v>
                </c:pt>
                <c:pt idx="2">
                  <c:v>0.0345020562330326</c:v>
                </c:pt>
                <c:pt idx="3">
                  <c:v>0.0431239045394598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0.226747984189499</c:v>
                </c:pt>
                <c:pt idx="1">
                  <c:v>0.226747984189499</c:v>
                </c:pt>
                <c:pt idx="2">
                  <c:v>0.226747984189499</c:v>
                </c:pt>
                <c:pt idx="3">
                  <c:v>0.226747984189499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0.477342481717835</c:v>
                </c:pt>
                <c:pt idx="1">
                  <c:v>0.708228250891918</c:v>
                </c:pt>
                <c:pt idx="2">
                  <c:v>0.695101551776026</c:v>
                </c:pt>
                <c:pt idx="3">
                  <c:v>0.64367284528778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097560"/>
        <c:axId val="1814094168"/>
      </c:barChart>
      <c:catAx>
        <c:axId val="1814097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094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409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09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0.0122531942017435</c:v>
                </c:pt>
                <c:pt idx="1">
                  <c:v>0.0122531942017435</c:v>
                </c:pt>
                <c:pt idx="2">
                  <c:v>0.0237856122739726</c:v>
                </c:pt>
                <c:pt idx="3">
                  <c:v>0.0237856122739726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0.103757559153176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0.251331267999041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0.0232993529900735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0.0480767689165629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0.00263444188809003</c:v>
                </c:pt>
                <c:pt idx="3">
                  <c:v>0.00129756092995479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0.0113872617683686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0.0071326804483188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0.0138868282938979</c:v>
                </c:pt>
                <c:pt idx="1">
                  <c:v>0.0138868282938979</c:v>
                </c:pt>
                <c:pt idx="2">
                  <c:v>0.0138868282938979</c:v>
                </c:pt>
                <c:pt idx="3">
                  <c:v>0.0138868282938979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0.321496089498068</c:v>
                </c:pt>
                <c:pt idx="1">
                  <c:v>0.321496089498068</c:v>
                </c:pt>
                <c:pt idx="2">
                  <c:v>0.321496089498068</c:v>
                </c:pt>
                <c:pt idx="3">
                  <c:v>0.321496089498068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0.231054537840677</c:v>
                </c:pt>
                <c:pt idx="1">
                  <c:v>0.591349842399737</c:v>
                </c:pt>
                <c:pt idx="2">
                  <c:v>0.584315662887737</c:v>
                </c:pt>
                <c:pt idx="3">
                  <c:v>0.481894984692696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532744"/>
        <c:axId val="1815536120"/>
      </c:barChart>
      <c:catAx>
        <c:axId val="18155327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5361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553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532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0.0344178406025485</c:v>
                </c:pt>
                <c:pt idx="2">
                  <c:v>0.0344178406025485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0.0211802096015683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0.0379796608083207</c:v>
                </c:pt>
                <c:pt idx="2">
                  <c:v>0.0379796608083207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0.112071130254061</c:v>
                </c:pt>
                <c:pt idx="2">
                  <c:v>0.112071130254061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0.0883107044404373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724040"/>
        <c:axId val="1815727096"/>
      </c:barChart>
      <c:catAx>
        <c:axId val="181572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72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4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561.38322443112236</v>
      </c>
      <c r="T7" s="222">
        <f>IF($B$81=0,0,(SUMIF($N$6:$N$28,$U7,M$6:M$28)+SUMIF($N$91:$N$118,$U7,M$91:M$118))*$I$83*Poor!$B$81/$B$81)</f>
        <v>561.38322443112236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1.845346438356164E-2</v>
      </c>
      <c r="J9" s="24">
        <f t="shared" si="3"/>
        <v>1.845346438356164E-2</v>
      </c>
      <c r="K9" s="22">
        <f t="shared" si="4"/>
        <v>6.1511547945205469E-2</v>
      </c>
      <c r="L9" s="22">
        <f t="shared" si="5"/>
        <v>1.845346438356164E-2</v>
      </c>
      <c r="M9" s="224">
        <f t="shared" si="6"/>
        <v>1.845346438356164E-2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7.381385753424656E-2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7.381385753424656E-2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1.845346438356164E-2</v>
      </c>
      <c r="AJ9" s="120">
        <f t="shared" si="14"/>
        <v>3.690692876712328E-2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0.2</v>
      </c>
      <c r="H10" s="24">
        <f t="shared" si="1"/>
        <v>0.2</v>
      </c>
      <c r="I10" s="22">
        <f t="shared" si="2"/>
        <v>4.1363985056039852E-3</v>
      </c>
      <c r="J10" s="24">
        <f t="shared" si="3"/>
        <v>4.1363985056039852E-3</v>
      </c>
      <c r="K10" s="22">
        <f t="shared" si="4"/>
        <v>2.0681992528019926E-2</v>
      </c>
      <c r="L10" s="22">
        <f t="shared" si="5"/>
        <v>4.1363985056039852E-3</v>
      </c>
      <c r="M10" s="224">
        <f t="shared" si="6"/>
        <v>4.1363985056039852E-3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1.6545594022415941E-2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1.6545594022415941E-2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4.1363985056039852E-3</v>
      </c>
      <c r="AJ10" s="120">
        <f t="shared" si="14"/>
        <v>8.2727970112079705E-3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0.2</v>
      </c>
      <c r="H11" s="24">
        <f t="shared" si="1"/>
        <v>0.2</v>
      </c>
      <c r="I11" s="22">
        <f t="shared" si="2"/>
        <v>7.070113075965132E-3</v>
      </c>
      <c r="J11" s="24">
        <f t="shared" si="3"/>
        <v>7.070113075965132E-3</v>
      </c>
      <c r="K11" s="22">
        <f t="shared" si="4"/>
        <v>3.5350565379825657E-2</v>
      </c>
      <c r="L11" s="22">
        <f t="shared" si="5"/>
        <v>7.070113075965132E-3</v>
      </c>
      <c r="M11" s="224">
        <f t="shared" si="6"/>
        <v>7.070113075965132E-3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454.29999999999995</v>
      </c>
      <c r="T11" s="222">
        <f>IF($B$81=0,0,(SUMIF($N$6:$N$28,$U11,M$6:M$28)+SUMIF($N$91:$N$118,$U11,M$91:M$118))*$I$83*Poor!$B$81/$B$81)</f>
        <v>454.29999999999995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2.8280452303860528E-2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2.8280452303860528E-2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7.070113075965132E-3</v>
      </c>
      <c r="AJ11" s="120">
        <f t="shared" si="14"/>
        <v>1.4140226151930264E-2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948.5442690890826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3335.5500000000006</v>
      </c>
      <c r="T13" s="222">
        <f>IF($B$81=0,0,(SUMIF($N$6:$N$28,$U13,M$6:M$28)+SUMIF($N$91:$N$118,$U13,M$91:M$118))*$I$83*Poor!$B$81/$B$81)</f>
        <v>3335.5500000000006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0.2</v>
      </c>
      <c r="F15" s="22"/>
      <c r="H15" s="24">
        <f t="shared" si="1"/>
        <v>0.2</v>
      </c>
      <c r="I15" s="22">
        <f t="shared" si="2"/>
        <v>5.2830325031133253E-3</v>
      </c>
      <c r="J15" s="24">
        <f t="shared" ref="J15:J25" si="17">IF(I$32&lt;=1+I131,I15,B15*H15+J$33*(I15-B15*H15))</f>
        <v>5.2830325031133253E-3</v>
      </c>
      <c r="K15" s="22">
        <f t="shared" si="4"/>
        <v>2.6415162515566623E-2</v>
      </c>
      <c r="L15" s="22">
        <f t="shared" si="5"/>
        <v>5.2830325031133253E-3</v>
      </c>
      <c r="M15" s="226">
        <f t="shared" si="6"/>
        <v>5.2830325031133253E-3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2.1132130012453301E-2</v>
      </c>
      <c r="Z15" s="156">
        <f>Poor!Z15</f>
        <v>0.25</v>
      </c>
      <c r="AA15" s="121">
        <f t="shared" si="16"/>
        <v>5.2830325031133253E-3</v>
      </c>
      <c r="AB15" s="156">
        <f>Poor!AB15</f>
        <v>0.25</v>
      </c>
      <c r="AC15" s="121">
        <f t="shared" si="7"/>
        <v>5.2830325031133253E-3</v>
      </c>
      <c r="AD15" s="156">
        <f>Poor!AD15</f>
        <v>0.25</v>
      </c>
      <c r="AE15" s="121">
        <f t="shared" si="8"/>
        <v>5.2830325031133253E-3</v>
      </c>
      <c r="AF15" s="122">
        <f t="shared" si="10"/>
        <v>0.25</v>
      </c>
      <c r="AG15" s="121">
        <f t="shared" si="11"/>
        <v>5.2830325031133253E-3</v>
      </c>
      <c r="AH15" s="123">
        <f t="shared" si="12"/>
        <v>1</v>
      </c>
      <c r="AI15" s="184">
        <f t="shared" si="13"/>
        <v>5.2830325031133253E-3</v>
      </c>
      <c r="AJ15" s="120">
        <f t="shared" si="14"/>
        <v>5.2830325031133253E-3</v>
      </c>
      <c r="AK15" s="119">
        <f t="shared" si="15"/>
        <v>5.2830325031133253E-3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3.5031211083437112E-4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3.5031211083437112E-4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3455.9999999999995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0.5</v>
      </c>
      <c r="F17" s="22"/>
      <c r="H17" s="24">
        <f t="shared" si="19"/>
        <v>0.5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12179.322604861256</v>
      </c>
      <c r="T23" s="179">
        <f>SUM(T7:T22)</f>
        <v>12948.666873950338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0.71161696139476982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11190.816833461988</v>
      </c>
      <c r="T30" s="234">
        <f t="shared" si="24"/>
        <v>10421.472564372905</v>
      </c>
      <c r="U30" s="56"/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-0.16135450274039195</v>
      </c>
      <c r="AB30" s="122">
        <f>IF($Y30=0,0,AC30/($Y$30))</f>
        <v>0</v>
      </c>
      <c r="AC30" s="188">
        <f>IF(AC79*4/$I$83+SUM(AC6:AC29)&lt;1,AC79*4/$I$83,1-SUM(AC6:AC29))</f>
        <v>-0.30144021406801158</v>
      </c>
      <c r="AD30" s="122">
        <f>IF($Y30=0,0,AE30/($Y$30))</f>
        <v>0</v>
      </c>
      <c r="AE30" s="188">
        <f>IF(AE79*4/$I$83+SUM(AE6:AE29)&lt;1,AE79*4/$I$83,1-SUM(AE6:AE29))</f>
        <v>-0.30144021406801158</v>
      </c>
      <c r="AF30" s="122">
        <f>IF($Y30=0,0,AG30/($Y$30))</f>
        <v>0</v>
      </c>
      <c r="AG30" s="188">
        <f>IF(AG79*4/$I$83+SUM(AG6:AG29)&lt;1,AG79*4/$I$83,1-SUM(AG6:AG29))</f>
        <v>-0.30144021406801158</v>
      </c>
      <c r="AH30" s="123">
        <f t="shared" si="12"/>
        <v>0</v>
      </c>
      <c r="AI30" s="184">
        <f t="shared" si="13"/>
        <v>-0.26641878623610671</v>
      </c>
      <c r="AJ30" s="120">
        <f t="shared" si="14"/>
        <v>-0.23139735840420178</v>
      </c>
      <c r="AK30" s="119">
        <f t="shared" si="15"/>
        <v>-0.30144021406801158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0.64823354231490338</v>
      </c>
      <c r="K31" s="22" t="str">
        <f t="shared" si="4"/>
        <v/>
      </c>
      <c r="L31" s="22">
        <f>(1-SUM(L6:L30))</f>
        <v>0.65355691375793157</v>
      </c>
      <c r="M31" s="241">
        <f t="shared" si="6"/>
        <v>0.64823354231490338</v>
      </c>
      <c r="N31" s="167">
        <f>M31*I83</f>
        <v>8408.9232365727494</v>
      </c>
      <c r="P31" s="22"/>
      <c r="Q31" s="238" t="s">
        <v>142</v>
      </c>
      <c r="R31" s="234">
        <f t="shared" si="24"/>
        <v>0</v>
      </c>
      <c r="S31" s="234">
        <f t="shared" si="24"/>
        <v>26393.936833461987</v>
      </c>
      <c r="T31" s="234">
        <f>IF(T25&gt;T$23,T25-T$23,0)</f>
        <v>25624.592564372906</v>
      </c>
      <c r="U31" s="242">
        <f>T31/$B$81</f>
        <v>4270.765427395484</v>
      </c>
      <c r="V31" s="56"/>
      <c r="W31" s="129" t="s">
        <v>84</v>
      </c>
      <c r="X31" s="130"/>
      <c r="Y31" s="121">
        <f>M31*4</f>
        <v>2.5929341692596135</v>
      </c>
      <c r="Z31" s="131"/>
      <c r="AA31" s="132">
        <f>1-AA32+IF($Y32&lt;0,$Y32/4,0)</f>
        <v>0.69595842927073748</v>
      </c>
      <c r="AB31" s="131"/>
      <c r="AC31" s="133">
        <f>1-AC32+IF($Y32&lt;0,$Y32/4,0)</f>
        <v>0.98801737779221344</v>
      </c>
      <c r="AD31" s="134"/>
      <c r="AE31" s="133">
        <f>1-AE32+IF($Y32&lt;0,$Y32/4,0)</f>
        <v>0.98801737779221344</v>
      </c>
      <c r="AF31" s="134"/>
      <c r="AG31" s="133">
        <f>1-AG32+IF($Y32&lt;0,$Y32/4,0)</f>
        <v>0.98801737779221344</v>
      </c>
      <c r="AH31" s="123"/>
      <c r="AI31" s="183">
        <f>SUM(AA31,AC31,AE31,AG31)/4</f>
        <v>0.91500264066184456</v>
      </c>
      <c r="AJ31" s="135">
        <f t="shared" si="14"/>
        <v>0.84198790353147546</v>
      </c>
      <c r="AK31" s="136">
        <f t="shared" si="15"/>
        <v>0.98801737779221344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0.35176645768509662</v>
      </c>
      <c r="J32" s="17"/>
      <c r="L32" s="22">
        <f>SUM(L6:L30)</f>
        <v>0.34644308624206843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50947.376833461989</v>
      </c>
      <c r="T32" s="234">
        <f t="shared" si="24"/>
        <v>50178.032564372908</v>
      </c>
      <c r="U32" s="56"/>
      <c r="V32" s="56"/>
      <c r="W32" s="110"/>
      <c r="X32" s="118"/>
      <c r="Y32" s="115">
        <f>SUM(Y6:Y31)</f>
        <v>3.9985987515566626</v>
      </c>
      <c r="Z32" s="137"/>
      <c r="AA32" s="138">
        <f>SUM(AA6:AA30)</f>
        <v>0.30404157072926252</v>
      </c>
      <c r="AB32" s="137"/>
      <c r="AC32" s="139">
        <f>SUM(AC6:AC30)</f>
        <v>1.1982622207786564E-2</v>
      </c>
      <c r="AD32" s="137"/>
      <c r="AE32" s="139">
        <f>SUM(AE6:AE30)</f>
        <v>1.1982622207786564E-2</v>
      </c>
      <c r="AF32" s="137"/>
      <c r="AG32" s="139">
        <f>SUM(AG6:AG30)</f>
        <v>1.1982622207786564E-2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141.60200423685549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17215.669327800162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295</v>
      </c>
      <c r="J37" s="38">
        <f>J91*I$83</f>
        <v>295</v>
      </c>
      <c r="K37" s="40">
        <f>(B37/B$65)</f>
        <v>1.4829794747117245E-2</v>
      </c>
      <c r="L37" s="22">
        <f t="shared" ref="L37" si="28">(K37*H37)</f>
        <v>8.749578900799174E-3</v>
      </c>
      <c r="M37" s="24">
        <f>J37/B$65</f>
        <v>8.7495789007991757E-3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295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295</v>
      </c>
      <c r="AJ37" s="148">
        <f>(AA37+AC37)</f>
        <v>295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944.00000000000023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2.7998652482557368E-2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236.00000000000006</v>
      </c>
      <c r="AB50" s="156">
        <f>Poor!AB55</f>
        <v>0.25</v>
      </c>
      <c r="AC50" s="147">
        <f t="shared" si="41"/>
        <v>236.00000000000006</v>
      </c>
      <c r="AD50" s="156">
        <f>Poor!AD55</f>
        <v>0.25</v>
      </c>
      <c r="AE50" s="147">
        <f t="shared" si="42"/>
        <v>236.00000000000006</v>
      </c>
      <c r="AF50" s="122">
        <f t="shared" si="29"/>
        <v>0.25</v>
      </c>
      <c r="AG50" s="147">
        <f t="shared" si="36"/>
        <v>236.00000000000006</v>
      </c>
      <c r="AH50" s="123">
        <f t="shared" si="37"/>
        <v>1</v>
      </c>
      <c r="AI50" s="112">
        <f t="shared" si="37"/>
        <v>944.00000000000023</v>
      </c>
      <c r="AJ50" s="148">
        <f t="shared" si="38"/>
        <v>472.00000000000011</v>
      </c>
      <c r="AK50" s="147">
        <f t="shared" si="39"/>
        <v>472.00000000000011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838.05000000000007</v>
      </c>
      <c r="J51" s="38">
        <f t="shared" si="32"/>
        <v>838.05000000000007</v>
      </c>
      <c r="K51" s="40">
        <f t="shared" si="33"/>
        <v>4.4785980136294083E-2</v>
      </c>
      <c r="L51" s="22">
        <f t="shared" si="34"/>
        <v>2.4856218975643218E-2</v>
      </c>
      <c r="M51" s="24">
        <f t="shared" si="35"/>
        <v>2.4856218975643218E-2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209.51250000000002</v>
      </c>
      <c r="AB51" s="156">
        <f>Poor!AB56</f>
        <v>0.25</v>
      </c>
      <c r="AC51" s="147">
        <f t="shared" si="41"/>
        <v>209.51250000000002</v>
      </c>
      <c r="AD51" s="156">
        <f>Poor!AD56</f>
        <v>0.25</v>
      </c>
      <c r="AE51" s="147">
        <f t="shared" si="42"/>
        <v>209.51250000000002</v>
      </c>
      <c r="AF51" s="122">
        <f t="shared" si="29"/>
        <v>0.25</v>
      </c>
      <c r="AG51" s="147">
        <f t="shared" si="36"/>
        <v>209.51250000000002</v>
      </c>
      <c r="AH51" s="123">
        <f t="shared" si="37"/>
        <v>1</v>
      </c>
      <c r="AI51" s="112">
        <f t="shared" si="37"/>
        <v>838.05000000000007</v>
      </c>
      <c r="AJ51" s="148">
        <f t="shared" si="38"/>
        <v>419.02500000000003</v>
      </c>
      <c r="AK51" s="147">
        <f t="shared" si="39"/>
        <v>419.02500000000003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2497.5</v>
      </c>
      <c r="J52" s="38">
        <f t="shared" si="32"/>
        <v>2497.5000000000005</v>
      </c>
      <c r="K52" s="40">
        <f t="shared" si="33"/>
        <v>0.13346815272405521</v>
      </c>
      <c r="L52" s="22">
        <f t="shared" si="34"/>
        <v>7.4074824761850649E-2</v>
      </c>
      <c r="M52" s="24">
        <f t="shared" si="35"/>
        <v>7.4074824761850649E-2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624.37500000000011</v>
      </c>
      <c r="AB52" s="156">
        <f>Poor!AB57</f>
        <v>0.25</v>
      </c>
      <c r="AC52" s="147">
        <f t="shared" si="41"/>
        <v>624.37500000000011</v>
      </c>
      <c r="AD52" s="156">
        <f>Poor!AD57</f>
        <v>0.25</v>
      </c>
      <c r="AE52" s="147">
        <f t="shared" si="42"/>
        <v>624.37500000000011</v>
      </c>
      <c r="AF52" s="122">
        <f t="shared" si="29"/>
        <v>0.25</v>
      </c>
      <c r="AG52" s="147">
        <f t="shared" si="36"/>
        <v>624.37500000000011</v>
      </c>
      <c r="AH52" s="123">
        <f t="shared" si="37"/>
        <v>1</v>
      </c>
      <c r="AI52" s="112">
        <f t="shared" si="37"/>
        <v>2497.5000000000005</v>
      </c>
      <c r="AJ52" s="148">
        <f t="shared" si="38"/>
        <v>1248.7500000000002</v>
      </c>
      <c r="AK52" s="147">
        <f t="shared" si="39"/>
        <v>1248.7500000000002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3455.9999999999995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0.10250354129207438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0.59262553829668929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11303.85</v>
      </c>
      <c r="J65" s="39">
        <f>SUM(J37:J64)</f>
        <v>11303.85</v>
      </c>
      <c r="K65" s="40">
        <f>SUM(K37:K64)</f>
        <v>1</v>
      </c>
      <c r="L65" s="22">
        <f>SUM(L37:L64)</f>
        <v>0.31258389665921205</v>
      </c>
      <c r="M65" s="24">
        <f>SUM(M37:M64)</f>
        <v>0.33526755070440251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2302.6875000000005</v>
      </c>
      <c r="AB65" s="137"/>
      <c r="AC65" s="153">
        <f>SUM(AC37:AC64)</f>
        <v>1848.3875000000003</v>
      </c>
      <c r="AD65" s="137"/>
      <c r="AE65" s="153">
        <f>SUM(AE37:AE64)</f>
        <v>1848.3875000000003</v>
      </c>
      <c r="AF65" s="137"/>
      <c r="AG65" s="153">
        <f>SUM(AG37:AG64)</f>
        <v>1848.3875000000003</v>
      </c>
      <c r="AH65" s="137"/>
      <c r="AI65" s="153">
        <f>SUM(AI37:AI64)</f>
        <v>7847.85</v>
      </c>
      <c r="AJ65" s="153">
        <f>SUM(AJ37:AJ64)</f>
        <v>4151.0750000000007</v>
      </c>
      <c r="AK65" s="153">
        <f>SUM(AK37:AK64)</f>
        <v>3696.7750000000005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11303.85</v>
      </c>
      <c r="J70" s="51">
        <f t="shared" ref="J70:J77" si="44">J124*I$83</f>
        <v>11303.85</v>
      </c>
      <c r="K70" s="40">
        <f>B70/B$76</f>
        <v>0.28211352685989483</v>
      </c>
      <c r="L70" s="22">
        <f t="shared" ref="L70:L74" si="45">(L124*G$37*F$9/F$7)/B$130</f>
        <v>0.31258389665921205</v>
      </c>
      <c r="M70" s="24">
        <f>J70/B$76</f>
        <v>0.33526755070440256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2825.9625000000001</v>
      </c>
      <c r="AB70" s="156">
        <f>Poor!AB70</f>
        <v>0.25</v>
      </c>
      <c r="AC70" s="147">
        <f>$J70*AB70</f>
        <v>2825.9625000000001</v>
      </c>
      <c r="AD70" s="156">
        <f>Poor!AD70</f>
        <v>0.25</v>
      </c>
      <c r="AE70" s="147">
        <f>$J70*AD70</f>
        <v>2825.9625000000001</v>
      </c>
      <c r="AF70" s="156">
        <f>Poor!AF70</f>
        <v>0.25</v>
      </c>
      <c r="AG70" s="147">
        <f>$J70*AF70</f>
        <v>2825.9625000000001</v>
      </c>
      <c r="AH70" s="155">
        <f>SUM(Z70,AB70,AD70,AF70)</f>
        <v>1</v>
      </c>
      <c r="AI70" s="147">
        <f>SUM(AA70,AC70,AE70,AG70)</f>
        <v>11303.85</v>
      </c>
      <c r="AJ70" s="148">
        <f>(AA70+AC70)</f>
        <v>5651.9250000000002</v>
      </c>
      <c r="AK70" s="147">
        <f>(AE70+AG70)</f>
        <v>5651.9250000000002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0.38213415104371717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0.61715673819603134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0.16593437771979364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-523.27499999999964</v>
      </c>
      <c r="AB74" s="156"/>
      <c r="AC74" s="147">
        <f>AC30*$I$83/4</f>
        <v>-977.57499999999982</v>
      </c>
      <c r="AD74" s="156"/>
      <c r="AE74" s="147">
        <f>AE30*$I$83/4</f>
        <v>-977.57499999999982</v>
      </c>
      <c r="AF74" s="156"/>
      <c r="AG74" s="147">
        <f>AG30*$I$83/4</f>
        <v>-977.57499999999982</v>
      </c>
      <c r="AH74" s="155"/>
      <c r="AI74" s="147">
        <f>SUM(AA74,AC74,AE74,AG74)</f>
        <v>-3455.9999999999991</v>
      </c>
      <c r="AJ74" s="148">
        <f>(AA74+AC74)</f>
        <v>-1500.8499999999995</v>
      </c>
      <c r="AK74" s="147">
        <f>(AE74+AG74)</f>
        <v>-1955.1499999999996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11303.85</v>
      </c>
      <c r="J76" s="51">
        <f t="shared" si="44"/>
        <v>11303.85</v>
      </c>
      <c r="K76" s="40">
        <f>SUM(K70:K75)</f>
        <v>1.4800236614420834</v>
      </c>
      <c r="L76" s="22">
        <f>SUM(L70:L75)</f>
        <v>0.31258389665921205</v>
      </c>
      <c r="M76" s="24">
        <f>SUM(M70:M75)</f>
        <v>0.33526755070440256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2302.6875000000005</v>
      </c>
      <c r="AB76" s="137"/>
      <c r="AC76" s="153">
        <f>AC65</f>
        <v>1848.3875000000003</v>
      </c>
      <c r="AD76" s="137"/>
      <c r="AE76" s="153">
        <f>AE65</f>
        <v>1848.3875000000003</v>
      </c>
      <c r="AF76" s="137"/>
      <c r="AG76" s="153">
        <f>AG65</f>
        <v>1848.3875000000003</v>
      </c>
      <c r="AH76" s="137"/>
      <c r="AI76" s="153">
        <f>SUM(AA76,AC76,AE76,AG76)</f>
        <v>7847.8500000000022</v>
      </c>
      <c r="AJ76" s="154">
        <f>SUM(AA76,AC76)</f>
        <v>4151.0750000000007</v>
      </c>
      <c r="AK76" s="154">
        <f>SUM(AE76,AG76)</f>
        <v>3696.7750000000005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17215.669327800162</v>
      </c>
      <c r="J77" s="100">
        <f t="shared" si="44"/>
        <v>17215.669327800162</v>
      </c>
      <c r="K77" s="40"/>
      <c r="L77" s="22">
        <f>-(L131*G$37*F$9/F$7)/B$130</f>
        <v>-0.51060968513103655</v>
      </c>
      <c r="M77" s="24">
        <f>-J77/B$76</f>
        <v>-0.51060968513103666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2257.0033119099321</v>
      </c>
      <c r="AB77" s="112"/>
      <c r="AC77" s="111">
        <f>AC31*$I$83/4</f>
        <v>3204.1547312506327</v>
      </c>
      <c r="AD77" s="112"/>
      <c r="AE77" s="111">
        <f>AE31*$I$83/4</f>
        <v>3204.1547312506327</v>
      </c>
      <c r="AF77" s="112"/>
      <c r="AG77" s="111">
        <f>AG31*$I$83/4</f>
        <v>3204.1547312506327</v>
      </c>
      <c r="AH77" s="110"/>
      <c r="AI77" s="154">
        <f>SUM(AA77,AC77,AE77,AG77)</f>
        <v>11869.467505661833</v>
      </c>
      <c r="AJ77" s="153">
        <f>SUM(AA77,AC77)</f>
        <v>5461.1580431605653</v>
      </c>
      <c r="AK77" s="160">
        <f>SUM(AE77,AG77)</f>
        <v>6408.3094625012654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-523.27499999999964</v>
      </c>
      <c r="AB79" s="112"/>
      <c r="AC79" s="112">
        <f>AA79-AA74+AC65-AC70</f>
        <v>-977.57499999999982</v>
      </c>
      <c r="AD79" s="112"/>
      <c r="AE79" s="112">
        <f>AC79-AC74+AE65-AE70</f>
        <v>-977.57499999999982</v>
      </c>
      <c r="AF79" s="112"/>
      <c r="AG79" s="112">
        <f>AE79-AE74+AG65-AG70</f>
        <v>-977.57499999999982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0.3575757575757576</v>
      </c>
      <c r="I91" s="22">
        <f t="shared" ref="I91:I106" si="54">(D91*H91)</f>
        <v>2.2741186903834341E-2</v>
      </c>
      <c r="J91" s="24">
        <f t="shared" ref="J91:J99" si="55">IF(I$32&lt;=1+I$131,I91,L91+J$33*(I91-L91))</f>
        <v>2.2741186903834341E-2</v>
      </c>
      <c r="K91" s="22">
        <f t="shared" ref="K91:K106" si="56">(B91)</f>
        <v>6.3598234561570613E-2</v>
      </c>
      <c r="L91" s="22">
        <f t="shared" ref="L91:L106" si="57">(K91*H91)</f>
        <v>2.2741186903834341E-2</v>
      </c>
      <c r="M91" s="227">
        <f t="shared" si="49"/>
        <v>2.2741186903834341E-2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7.2771798092269913E-2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7.2771798092269913E-2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0.33636363636363642</v>
      </c>
      <c r="I105" s="22">
        <f t="shared" si="54"/>
        <v>6.4604242999180925E-2</v>
      </c>
      <c r="J105" s="24">
        <f>IF(I$32&lt;=1+I131,I105,L105+J$33*(I105-L105))</f>
        <v>6.4604242999180925E-2</v>
      </c>
      <c r="K105" s="22">
        <f t="shared" si="56"/>
        <v>0.19206666837594324</v>
      </c>
      <c r="L105" s="22">
        <f t="shared" si="57"/>
        <v>6.4604242999180925E-2</v>
      </c>
      <c r="M105" s="228">
        <f t="shared" si="49"/>
        <v>6.4604242999180925E-2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0.33636363636363642</v>
      </c>
      <c r="I106" s="22">
        <f t="shared" si="54"/>
        <v>0.19252920099093654</v>
      </c>
      <c r="J106" s="24">
        <f>IF(I$32&lt;=1+I132,I106,L106+J$33*(I106-L106))</f>
        <v>0.19252920099093654</v>
      </c>
      <c r="K106" s="22">
        <f t="shared" si="56"/>
        <v>0.57238411105413556</v>
      </c>
      <c r="L106" s="22">
        <f t="shared" si="57"/>
        <v>0.19252920099093654</v>
      </c>
      <c r="M106" s="228">
        <f>(J106)</f>
        <v>0.19252920099093654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0.42909090909090908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0.26641878623610671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0.26641878623610671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</v>
      </c>
      <c r="I110" s="22">
        <f t="shared" si="61"/>
        <v>0</v>
      </c>
      <c r="J110" s="24">
        <f t="shared" si="62"/>
        <v>0</v>
      </c>
      <c r="K110" s="22">
        <f t="shared" si="63"/>
        <v>2.5415009873347314</v>
      </c>
      <c r="L110" s="22">
        <f t="shared" si="64"/>
        <v>0</v>
      </c>
      <c r="M110" s="228">
        <f t="shared" si="65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0.871399883331891</v>
      </c>
      <c r="J119" s="24">
        <f>SUM(J91:J118)</f>
        <v>0.871399883331891</v>
      </c>
      <c r="K119" s="22">
        <f>SUM(K91:K118)</f>
        <v>4.2885444907410761</v>
      </c>
      <c r="L119" s="22">
        <f>SUM(L91:L118)</f>
        <v>0.81244239267408591</v>
      </c>
      <c r="M119" s="57">
        <f t="shared" si="49"/>
        <v>0.871399883331891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0.871399883331891</v>
      </c>
      <c r="J124" s="237">
        <f>IF(SUMPRODUCT($B$124:$B124,$H$124:$H124)&lt;J$119,($B124*$H124),J$119)</f>
        <v>0.871399883331891</v>
      </c>
      <c r="K124" s="29">
        <f>(B124)</f>
        <v>1.2098564113785366</v>
      </c>
      <c r="L124" s="29">
        <f>IF(SUMPRODUCT($B$124:$B124,$H$124:$H124)&lt;L$119,($B124*$H124),L$119)</f>
        <v>0.81244239267408591</v>
      </c>
      <c r="M124" s="240">
        <f t="shared" si="66"/>
        <v>0.871399883331891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0.71161696139476982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0.871399883331891</v>
      </c>
      <c r="J130" s="228">
        <f>(J119)</f>
        <v>0.871399883331891</v>
      </c>
      <c r="K130" s="29">
        <f>(B130)</f>
        <v>4.2885444907410761</v>
      </c>
      <c r="L130" s="29">
        <f>(L119)</f>
        <v>0.81244239267408591</v>
      </c>
      <c r="M130" s="240">
        <f t="shared" si="66"/>
        <v>0.871399883331891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1.3271347588410563</v>
      </c>
      <c r="J131" s="237">
        <f>IF(SUMPRODUCT($B124:$B125,$H124:$H125)&gt;(J119-J128),SUMPRODUCT($B124:$B125,$H124:$H125)+J128-J119,0)</f>
        <v>1.3271347588410563</v>
      </c>
      <c r="K131" s="29"/>
      <c r="L131" s="29">
        <f>IF(I131&lt;SUM(L126:L127),0,I131-(SUM(L126:L127)))</f>
        <v>1.3271347588410563</v>
      </c>
      <c r="M131" s="237">
        <f>IF(I131&lt;SUM(M126:M127),0,I131-(SUM(M126:M127)))</f>
        <v>1.3271347588410563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33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2.3625700498132009E-3</v>
      </c>
      <c r="J7" s="24">
        <f t="shared" si="3"/>
        <v>2.3625700498132009E-3</v>
      </c>
      <c r="K7" s="22">
        <f t="shared" si="4"/>
        <v>1.1812850249066004E-2</v>
      </c>
      <c r="L7" s="22">
        <f t="shared" si="5"/>
        <v>2.3625700498132009E-3</v>
      </c>
      <c r="M7" s="224">
        <f t="shared" si="6"/>
        <v>2.3625700498132009E-3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859.75218290399573</v>
      </c>
      <c r="T7" s="222">
        <f>IF($B$81=0,0,(SUMIF($N$6:$N$28,$U7,M$6:M$28)+SUMIF($N$91:$N$118,$U7,M$91:M$118))*$I$83*Poor!$B$81/$B$81)</f>
        <v>859.75218290399573</v>
      </c>
      <c r="U7" s="223">
        <v>1</v>
      </c>
      <c r="V7" s="56"/>
      <c r="W7" s="115"/>
      <c r="X7" s="124">
        <v>4</v>
      </c>
      <c r="Y7" s="184">
        <f t="shared" ref="Y7:Y29" si="9">M7*4</f>
        <v>9.4502801992528036E-3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9.4502801992528036E-3</v>
      </c>
      <c r="AH7" s="123">
        <f t="shared" ref="AH7:AH30" si="12">SUM(Z7,AB7,AD7,AF7)</f>
        <v>1</v>
      </c>
      <c r="AI7" s="184">
        <f t="shared" ref="AI7:AI30" si="13">SUM(AA7,AC7,AE7,AG7)/4</f>
        <v>2.3625700498132009E-3</v>
      </c>
      <c r="AJ7" s="120">
        <f t="shared" ref="AJ7:AJ31" si="14">(AA7+AC7)/2</f>
        <v>0</v>
      </c>
      <c r="AK7" s="119">
        <f t="shared" ref="AK7:AK31" si="15">(AE7+AG7)/2</f>
        <v>4.7251400996264018E-3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0.3</v>
      </c>
      <c r="F9" s="28">
        <v>8800</v>
      </c>
      <c r="H9" s="24">
        <f t="shared" si="1"/>
        <v>0.3</v>
      </c>
      <c r="I9" s="22">
        <f t="shared" si="2"/>
        <v>2.602411643835616E-2</v>
      </c>
      <c r="J9" s="24">
        <f t="shared" si="3"/>
        <v>2.602411643835616E-2</v>
      </c>
      <c r="K9" s="22">
        <f t="shared" si="4"/>
        <v>8.6747054794520537E-2</v>
      </c>
      <c r="L9" s="22">
        <f t="shared" si="5"/>
        <v>2.602411643835616E-2</v>
      </c>
      <c r="M9" s="224">
        <f t="shared" si="6"/>
        <v>2.602411643835616E-2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30.64739618218351</v>
      </c>
      <c r="T9" s="222">
        <f>IF($B$81=0,0,(SUMIF($N$6:$N$28,$U9,M$6:M$28)+SUMIF($N$91:$N$118,$U9,M$91:M$118))*$I$83*Poor!$B$81/$B$81)</f>
        <v>30.64739618218351</v>
      </c>
      <c r="U9" s="223">
        <v>3</v>
      </c>
      <c r="V9" s="56"/>
      <c r="W9" s="115"/>
      <c r="X9" s="124">
        <v>1</v>
      </c>
      <c r="Y9" s="184">
        <f t="shared" si="9"/>
        <v>0.10409646575342464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0.10409646575342464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2.602411643835616E-2</v>
      </c>
      <c r="AJ9" s="120">
        <f t="shared" si="14"/>
        <v>5.2048232876712321E-2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0.2</v>
      </c>
      <c r="H11" s="24">
        <f t="shared" si="1"/>
        <v>0.2</v>
      </c>
      <c r="I11" s="22">
        <f t="shared" si="2"/>
        <v>1.325646201743462E-2</v>
      </c>
      <c r="J11" s="24">
        <f t="shared" si="3"/>
        <v>1.325646201743462E-2</v>
      </c>
      <c r="K11" s="22">
        <f t="shared" si="4"/>
        <v>6.6282310087173099E-2</v>
      </c>
      <c r="L11" s="22">
        <f t="shared" si="5"/>
        <v>1.325646201743462E-2</v>
      </c>
      <c r="M11" s="224">
        <f t="shared" si="6"/>
        <v>1.325646201743462E-2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1767.64</v>
      </c>
      <c r="T11" s="222">
        <f>IF($B$81=0,0,(SUMIF($N$6:$N$28,$U11,M$6:M$28)+SUMIF($N$91:$N$118,$U11,M$91:M$118))*$I$83*Poor!$B$81/$B$81)</f>
        <v>1767.64</v>
      </c>
      <c r="U11" s="223">
        <v>5</v>
      </c>
      <c r="V11" s="56"/>
      <c r="W11" s="115"/>
      <c r="X11" s="124">
        <v>1</v>
      </c>
      <c r="Y11" s="184">
        <f t="shared" si="9"/>
        <v>5.3025848069738479E-2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5.3025848069738479E-2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1.325646201743462E-2</v>
      </c>
      <c r="AJ11" s="120">
        <f t="shared" si="14"/>
        <v>2.651292403486924E-2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948.5442690890826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6687.7500000000009</v>
      </c>
      <c r="T13" s="222">
        <f>IF($B$81=0,0,(SUMIF($N$6:$N$28,$U13,M$6:M$28)+SUMIF($N$91:$N$118,$U13,M$91:M$118))*$I$83*Poor!$B$81/$B$81)</f>
        <v>6687.7500000000009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4.6289427646326278E-2</v>
      </c>
      <c r="Z15" s="116">
        <v>0.25</v>
      </c>
      <c r="AA15" s="121">
        <f t="shared" si="16"/>
        <v>1.157235691158157E-2</v>
      </c>
      <c r="AB15" s="116">
        <v>0.25</v>
      </c>
      <c r="AC15" s="121">
        <f t="shared" si="7"/>
        <v>1.157235691158157E-2</v>
      </c>
      <c r="AD15" s="116"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3.5031211083437112E-4</v>
      </c>
      <c r="K16" s="22">
        <f t="shared" si="4"/>
        <v>0</v>
      </c>
      <c r="L16" s="22">
        <f t="shared" si="5"/>
        <v>0</v>
      </c>
      <c r="M16" s="224">
        <f t="shared" si="6"/>
        <v>3.5031211083437112E-4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3935.9999999999986</v>
      </c>
      <c r="U16" s="223">
        <v>10</v>
      </c>
      <c r="V16" s="56"/>
      <c r="W16" s="110"/>
      <c r="X16" s="118"/>
      <c r="Y16" s="184">
        <f t="shared" si="9"/>
        <v>1.4012484433374845E-3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1.4012484433374845E-3</v>
      </c>
      <c r="AH16" s="123">
        <f t="shared" si="12"/>
        <v>1</v>
      </c>
      <c r="AI16" s="184">
        <f t="shared" si="13"/>
        <v>3.5031211083437112E-4</v>
      </c>
      <c r="AJ16" s="120">
        <f t="shared" si="14"/>
        <v>0</v>
      </c>
      <c r="AK16" s="119">
        <f t="shared" si="15"/>
        <v>7.0062422166874223E-4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19891.074578697982</v>
      </c>
      <c r="T23" s="179">
        <f>SUM(T7:T22)</f>
        <v>20740.418847787063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0.22496954936955371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0.22496954936955371</v>
      </c>
      <c r="N29" s="229"/>
      <c r="P29" s="22"/>
      <c r="V29" s="56"/>
      <c r="W29" s="110"/>
      <c r="X29" s="118"/>
      <c r="Y29" s="184">
        <f t="shared" si="9"/>
        <v>0.89987819747821485</v>
      </c>
      <c r="Z29" s="116">
        <v>0.25</v>
      </c>
      <c r="AA29" s="121">
        <f t="shared" si="16"/>
        <v>0.22496954936955371</v>
      </c>
      <c r="AB29" s="116">
        <v>0.25</v>
      </c>
      <c r="AC29" s="121">
        <f t="shared" si="7"/>
        <v>0.22496954936955371</v>
      </c>
      <c r="AD29" s="116">
        <v>0.25</v>
      </c>
      <c r="AE29" s="121">
        <f t="shared" si="8"/>
        <v>0.22496954936955371</v>
      </c>
      <c r="AF29" s="122">
        <f t="shared" si="10"/>
        <v>0.25</v>
      </c>
      <c r="AG29" s="121">
        <f t="shared" si="11"/>
        <v>0.22496954936955371</v>
      </c>
      <c r="AH29" s="123">
        <f t="shared" si="12"/>
        <v>1</v>
      </c>
      <c r="AI29" s="184">
        <f t="shared" si="13"/>
        <v>0.22496954936955371</v>
      </c>
      <c r="AJ29" s="120">
        <f t="shared" si="14"/>
        <v>0.22496954936955371</v>
      </c>
      <c r="AK29" s="119">
        <f t="shared" si="15"/>
        <v>0.22496954936955371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0.42167022294072165</v>
      </c>
      <c r="J30" s="231">
        <f>IF(I$32&lt;=1,I30,1-SUM(J6:J29))</f>
        <v>0.42167022294072165</v>
      </c>
      <c r="K30" s="22">
        <f t="shared" si="4"/>
        <v>0.64870199252802008</v>
      </c>
      <c r="L30" s="22">
        <f>IF(L124=L119,0,IF(K30="",0,(L119-L124)/(B119-B124)*K30))</f>
        <v>5.1867551719427592E-2</v>
      </c>
      <c r="M30" s="175">
        <f t="shared" si="6"/>
        <v>0.42167022294072165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3479.0648596252613</v>
      </c>
      <c r="T30" s="234">
        <f t="shared" si="50"/>
        <v>2629.7205905361807</v>
      </c>
      <c r="V30" s="56"/>
      <c r="W30" s="110"/>
      <c r="X30" s="118"/>
      <c r="Y30" s="184">
        <f>M30*4</f>
        <v>1.6866808917628866</v>
      </c>
      <c r="Z30" s="122">
        <f>IF($Y30=0,0,AA30/($Y$30))</f>
        <v>-3.6330411454761319E-2</v>
      </c>
      <c r="AA30" s="188">
        <f>IF(AA79*4/$I$83+SUM(AA6:AA29)&lt;1,AA79*4/$I$83,1-SUM(AA6:AA29))</f>
        <v>-6.1277810790629411E-2</v>
      </c>
      <c r="AB30" s="122">
        <f>IF($Y30=0,0,AC30/($Y$30))</f>
        <v>-0.35948624393793743</v>
      </c>
      <c r="AC30" s="188">
        <f>IF(AC79*4/$I$83+SUM(AC6:AC29)&lt;1,AC79*4/$I$83,1-SUM(AC6:AC29))</f>
        <v>-0.6063385785017309</v>
      </c>
      <c r="AD30" s="122">
        <f>IF($Y30=0,0,AE30/($Y$30))</f>
        <v>-0.35948624393793743</v>
      </c>
      <c r="AE30" s="188">
        <f>IF(AE79*4/$I$83+SUM(AE6:AE29)&lt;1,AE79*4/$I$83,1-SUM(AE6:AE29))</f>
        <v>-0.6063385785017309</v>
      </c>
      <c r="AF30" s="122">
        <f>IF($Y30=0,0,AG30/($Y$30))</f>
        <v>-0.35948624393793743</v>
      </c>
      <c r="AG30" s="188">
        <f>IF(AG79*4/$I$83+SUM(AG6:AG29)&lt;1,AG79*4/$I$83,1-SUM(AG6:AG29))</f>
        <v>-0.6063385785017309</v>
      </c>
      <c r="AH30" s="123">
        <f t="shared" si="12"/>
        <v>-1.1147891432685735</v>
      </c>
      <c r="AI30" s="184">
        <f t="shared" si="13"/>
        <v>-0.47007338657395559</v>
      </c>
      <c r="AJ30" s="120">
        <f t="shared" si="14"/>
        <v>-0.33380819464618017</v>
      </c>
      <c r="AK30" s="119">
        <f t="shared" si="15"/>
        <v>-0.6063385785017309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0.20272192357371122</v>
      </c>
      <c r="K31" s="22" t="str">
        <f t="shared" si="4"/>
        <v/>
      </c>
      <c r="L31" s="22">
        <f>(1-SUM(L6:L30))</f>
        <v>0.58741432738373711</v>
      </c>
      <c r="M31" s="178">
        <f t="shared" si="6"/>
        <v>0.20272192357371122</v>
      </c>
      <c r="N31" s="167">
        <f>M31*I83</f>
        <v>2629.7205905361766</v>
      </c>
      <c r="P31" s="22"/>
      <c r="Q31" s="238" t="s">
        <v>142</v>
      </c>
      <c r="R31" s="234">
        <f t="shared" si="50"/>
        <v>0</v>
      </c>
      <c r="S31" s="234">
        <f t="shared" si="50"/>
        <v>18682.18485962526</v>
      </c>
      <c r="T31" s="234">
        <f>IF(T25&gt;T$23,T25-T$23,0)</f>
        <v>17832.84059053618</v>
      </c>
      <c r="V31" s="56"/>
      <c r="W31" s="129" t="s">
        <v>84</v>
      </c>
      <c r="X31" s="130"/>
      <c r="Y31" s="121">
        <f>M31*4</f>
        <v>0.81088769429484486</v>
      </c>
      <c r="Z31" s="131"/>
      <c r="AA31" s="132">
        <f>1-AA32+IF($Y32&lt;0,$Y32/4,0)</f>
        <v>0.52426819749808851</v>
      </c>
      <c r="AB31" s="131"/>
      <c r="AC31" s="133">
        <f>1-AC32+IF($Y32&lt;0,$Y32/4,0)</f>
        <v>1.2881484878326852</v>
      </c>
      <c r="AD31" s="134"/>
      <c r="AE31" s="133">
        <f>1-AE32+IF($Y32&lt;0,$Y32/4,0)</f>
        <v>1.2881484878326852</v>
      </c>
      <c r="AF31" s="134"/>
      <c r="AG31" s="133">
        <f>1-AG32+IF($Y32&lt;0,$Y32/4,0)</f>
        <v>1.2772969591900949</v>
      </c>
      <c r="AH31" s="123"/>
      <c r="AI31" s="183">
        <f>SUM(AA31,AC31,AE31,AG31)/4</f>
        <v>1.0944655330883886</v>
      </c>
      <c r="AJ31" s="135">
        <f t="shared" si="14"/>
        <v>0.90620834266538686</v>
      </c>
      <c r="AK31" s="136">
        <f t="shared" si="15"/>
        <v>1.2827227235113901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0.79727807642628878</v>
      </c>
      <c r="J32" s="17"/>
      <c r="L32" s="22">
        <f>SUM(L6:L30)</f>
        <v>0.41258567261626289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43235.624859625263</v>
      </c>
      <c r="T32" s="234">
        <f t="shared" si="50"/>
        <v>42386.280590536182</v>
      </c>
      <c r="V32" s="56"/>
      <c r="W32" s="110"/>
      <c r="X32" s="118"/>
      <c r="Y32" s="115">
        <f>SUM(Y6:Y31)</f>
        <v>4</v>
      </c>
      <c r="Z32" s="137"/>
      <c r="AA32" s="138">
        <f>SUM(AA6:AA30)</f>
        <v>0.47573180250191149</v>
      </c>
      <c r="AB32" s="137"/>
      <c r="AC32" s="139">
        <f>SUM(AC6:AC30)</f>
        <v>-0.28814848783268521</v>
      </c>
      <c r="AD32" s="137"/>
      <c r="AE32" s="139">
        <f>SUM(AE6:AE30)</f>
        <v>-0.28814848783268521</v>
      </c>
      <c r="AF32" s="137"/>
      <c r="AG32" s="139">
        <f>SUM(AG6:AG30)</f>
        <v>-0.27729695919009489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2.1637609281281756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15203.120000000004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1534</v>
      </c>
      <c r="J37" s="38">
        <f t="shared" ref="J37:J49" si="53">J91*I$83</f>
        <v>1534</v>
      </c>
      <c r="K37" s="40">
        <f t="shared" ref="K37:K49" si="54">(B37/B$65)</f>
        <v>5.833532305516697E-2</v>
      </c>
      <c r="L37" s="22">
        <f t="shared" ref="L37:L49" si="55">(K37*H37)</f>
        <v>3.4417840602548509E-2</v>
      </c>
      <c r="M37" s="24">
        <f t="shared" ref="M37:M49" si="56">J37/B$65</f>
        <v>3.4417840602548509E-2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1534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1534</v>
      </c>
      <c r="AJ37" s="148">
        <f>(AA37+AC37)</f>
        <v>1534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233.64000000000001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944.00000000000023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2.1180209601568321E-2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1692.7500000000002</v>
      </c>
      <c r="J51" s="38">
        <f t="shared" si="70"/>
        <v>1692.7500000000002</v>
      </c>
      <c r="K51" s="40">
        <f t="shared" si="71"/>
        <v>6.8431821276253565E-2</v>
      </c>
      <c r="L51" s="22">
        <f t="shared" si="72"/>
        <v>3.7979660808320735E-2</v>
      </c>
      <c r="M51" s="24">
        <f t="shared" si="73"/>
        <v>3.7979660808320728E-2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0.5</v>
      </c>
      <c r="F52" s="26">
        <v>1.1100000000000001</v>
      </c>
      <c r="G52" s="22">
        <f t="shared" si="59"/>
        <v>1.65</v>
      </c>
      <c r="H52" s="24">
        <f t="shared" si="68"/>
        <v>0.55500000000000005</v>
      </c>
      <c r="I52" s="39">
        <f t="shared" si="69"/>
        <v>4995</v>
      </c>
      <c r="J52" s="38">
        <f t="shared" si="70"/>
        <v>4995.0000000000009</v>
      </c>
      <c r="K52" s="40">
        <f t="shared" si="71"/>
        <v>0.20192996442173181</v>
      </c>
      <c r="L52" s="22">
        <f t="shared" si="72"/>
        <v>0.11207113025406117</v>
      </c>
      <c r="M52" s="24">
        <f t="shared" si="73"/>
        <v>0.11207113025406118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0.6</v>
      </c>
      <c r="F53" s="26">
        <v>1.18</v>
      </c>
      <c r="G53" s="22">
        <f t="shared" si="59"/>
        <v>1.65</v>
      </c>
      <c r="H53" s="24">
        <f t="shared" si="68"/>
        <v>0.70799999999999996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3935.9999999999991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8.8310704440437357E-2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0</v>
      </c>
      <c r="F56" s="26">
        <v>1.18</v>
      </c>
      <c r="G56" s="22">
        <f t="shared" si="59"/>
        <v>1.65</v>
      </c>
      <c r="H56" s="24">
        <f t="shared" si="68"/>
        <v>0</v>
      </c>
      <c r="I56" s="39">
        <f t="shared" si="69"/>
        <v>0</v>
      </c>
      <c r="J56" s="38">
        <f t="shared" si="70"/>
        <v>0</v>
      </c>
      <c r="K56" s="40">
        <f t="shared" si="71"/>
        <v>0.44830490053711514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18786.329999999998</v>
      </c>
      <c r="J65" s="39">
        <f>SUM(J37:J64)</f>
        <v>18786.329999999998</v>
      </c>
      <c r="K65" s="40">
        <f>SUM(K37:K64)</f>
        <v>0.99999999999999989</v>
      </c>
      <c r="L65" s="22">
        <f>SUM(L37:L64)</f>
        <v>0.40254805717460385</v>
      </c>
      <c r="M65" s="24">
        <f>SUM(M37:M64)</f>
        <v>0.42150254983499036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3130.375</v>
      </c>
      <c r="AB65" s="137"/>
      <c r="AC65" s="153">
        <f>SUM(AC37:AC64)</f>
        <v>1362.7350000000001</v>
      </c>
      <c r="AD65" s="137"/>
      <c r="AE65" s="153">
        <f>SUM(AE37:AE64)</f>
        <v>1362.7350000000001</v>
      </c>
      <c r="AF65" s="137"/>
      <c r="AG65" s="153">
        <f>SUM(AG37:AG64)</f>
        <v>1362.7350000000001</v>
      </c>
      <c r="AH65" s="137"/>
      <c r="AI65" s="153">
        <f>SUM(AI37:AI64)</f>
        <v>7218.5800000000008</v>
      </c>
      <c r="AJ65" s="153">
        <f>SUM(AJ37:AJ64)</f>
        <v>4493.1099999999997</v>
      </c>
      <c r="AK65" s="153">
        <f>SUM(AK37:AK64)</f>
        <v>2725.4700000000003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5469.9306721998446</v>
      </c>
      <c r="J71" s="51">
        <f t="shared" si="75"/>
        <v>5469.9306721998446</v>
      </c>
      <c r="K71" s="40">
        <f t="shared" ref="K71:K72" si="78">B71/B$76</f>
        <v>0.28907396240106586</v>
      </c>
      <c r="L71" s="22">
        <f t="shared" si="76"/>
        <v>0.10377249689813063</v>
      </c>
      <c r="M71" s="24">
        <f t="shared" ref="M71:M72" si="79">J71/B$76</f>
        <v>0.12272698955851714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0.46686207774304395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5469.9306721998446</v>
      </c>
      <c r="J74" s="51">
        <f t="shared" si="75"/>
        <v>5469.9306721998446</v>
      </c>
      <c r="K74" s="40">
        <f>B74/B$76</f>
        <v>0.11442697983898133</v>
      </c>
      <c r="L74" s="22">
        <f t="shared" si="76"/>
        <v>1.5096035081402717E-2</v>
      </c>
      <c r="M74" s="24">
        <f>J74/B$76</f>
        <v>0.12272698955851714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-198.72483195003952</v>
      </c>
      <c r="AB74" s="156"/>
      <c r="AC74" s="147">
        <f>AC30*$I$83/4</f>
        <v>-1966.3648319500394</v>
      </c>
      <c r="AD74" s="156"/>
      <c r="AE74" s="147">
        <f>AE30*$I$83/4</f>
        <v>-1966.3648319500394</v>
      </c>
      <c r="AF74" s="156"/>
      <c r="AG74" s="147">
        <f>AG30*$I$83/4</f>
        <v>-1966.3648319500394</v>
      </c>
      <c r="AH74" s="155"/>
      <c r="AI74" s="147">
        <f>SUM(AA74,AC74,AE74,AG74)</f>
        <v>-6097.8193278001581</v>
      </c>
      <c r="AJ74" s="148">
        <f>(AA74+AC74)</f>
        <v>-2165.0896639000789</v>
      </c>
      <c r="AK74" s="147">
        <f>(AE74+AG74)</f>
        <v>-3932.7296639000788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18786.330000000002</v>
      </c>
      <c r="J76" s="51">
        <f t="shared" si="75"/>
        <v>18786.330000000002</v>
      </c>
      <c r="K76" s="40">
        <f>SUM(K70:K75)</f>
        <v>1.1441960671538112</v>
      </c>
      <c r="L76" s="22">
        <f>SUM(L70:L75)</f>
        <v>0.41764409225600668</v>
      </c>
      <c r="M76" s="24">
        <f>SUM(M70:M75)</f>
        <v>0.5442295393935076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3130.375</v>
      </c>
      <c r="AB76" s="137"/>
      <c r="AC76" s="153">
        <f>AC65</f>
        <v>1362.7350000000001</v>
      </c>
      <c r="AD76" s="137"/>
      <c r="AE76" s="153">
        <f>AE65</f>
        <v>1362.7350000000001</v>
      </c>
      <c r="AF76" s="137"/>
      <c r="AG76" s="153">
        <f>AG65</f>
        <v>1362.7350000000001</v>
      </c>
      <c r="AH76" s="137"/>
      <c r="AI76" s="153">
        <f>SUM(AA76,AC76,AE76,AG76)</f>
        <v>7218.5800000000017</v>
      </c>
      <c r="AJ76" s="154">
        <f>SUM(AA76,AC76)</f>
        <v>4493.1100000000006</v>
      </c>
      <c r="AK76" s="154">
        <f>SUM(AE76,AG76)</f>
        <v>2725.4700000000003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75"/>
        <v>15203.120000000004</v>
      </c>
      <c r="K77" s="40"/>
      <c r="L77" s="22">
        <f>-(L131*G$37*F$9/F$7)/B$130</f>
        <v>-0.34110727563325788</v>
      </c>
      <c r="M77" s="24">
        <f>-J77/B$76</f>
        <v>-0.34110727563325782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1700.2093922795577</v>
      </c>
      <c r="AB77" s="112"/>
      <c r="AC77" s="111">
        <f>AC31*$I$83/4</f>
        <v>4177.4842878426289</v>
      </c>
      <c r="AD77" s="112"/>
      <c r="AE77" s="111">
        <f>AE31*$I$83/4</f>
        <v>4177.4842878426289</v>
      </c>
      <c r="AF77" s="112"/>
      <c r="AG77" s="111">
        <f>AG31*$I$83/4</f>
        <v>4142.2926225713636</v>
      </c>
      <c r="AH77" s="110"/>
      <c r="AI77" s="154">
        <f>SUM(AA77,AC77,AE77,AG77)</f>
        <v>14197.470590536179</v>
      </c>
      <c r="AJ77" s="153">
        <f>SUM(AA77,AC77)</f>
        <v>5877.6936801221864</v>
      </c>
      <c r="AK77" s="160">
        <f>SUM(AE77,AG77)</f>
        <v>8319.7769104139916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-198.72483195003952</v>
      </c>
      <c r="AB79" s="112"/>
      <c r="AC79" s="112">
        <f>AA79-AA74+AC65-AC70</f>
        <v>-1966.3648319500394</v>
      </c>
      <c r="AD79" s="112"/>
      <c r="AE79" s="112">
        <f>AC79-AC74+AE65-AE70</f>
        <v>-1966.3648319500394</v>
      </c>
      <c r="AF79" s="112"/>
      <c r="AG79" s="112">
        <f>AE79-AE74+AG65-AG70</f>
        <v>-1966.3648319500394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0.3575757575757576</v>
      </c>
      <c r="I91" s="22">
        <f t="shared" ref="I91" si="82">(D91*H91)</f>
        <v>0.11825417189993859</v>
      </c>
      <c r="J91" s="24">
        <f>IF(I$32&lt;=1+I$131,I91,L91+J$33*(I91-L91))</f>
        <v>0.11825417189993859</v>
      </c>
      <c r="K91" s="22">
        <f t="shared" ref="K91" si="83">IF(B91="",0,B91)</f>
        <v>0.33071081972016719</v>
      </c>
      <c r="L91" s="22">
        <f t="shared" ref="L91" si="84">(K91*H91)</f>
        <v>0.11825417189993859</v>
      </c>
      <c r="M91" s="227">
        <f t="shared" si="80"/>
        <v>0.11825417189993859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0.3575757575757576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7.2771798092269913E-2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7.2771798092269913E-2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0.33636363636363642</v>
      </c>
      <c r="I105" s="22">
        <f t="shared" si="88"/>
        <v>0.1304920140049681</v>
      </c>
      <c r="J105" s="24">
        <f t="shared" si="89"/>
        <v>0.1304920140049681</v>
      </c>
      <c r="K105" s="22">
        <f t="shared" si="90"/>
        <v>0.38794923082558075</v>
      </c>
      <c r="L105" s="22">
        <f t="shared" si="91"/>
        <v>0.1304920140049681</v>
      </c>
      <c r="M105" s="227">
        <f t="shared" si="92"/>
        <v>0.1304920140049681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0.33636363636363642</v>
      </c>
      <c r="I106" s="22">
        <f t="shared" si="88"/>
        <v>0.38505840198187308</v>
      </c>
      <c r="J106" s="24">
        <f t="shared" si="89"/>
        <v>0.38505840198187308</v>
      </c>
      <c r="K106" s="22">
        <f t="shared" si="90"/>
        <v>1.1447682221082711</v>
      </c>
      <c r="L106" s="22">
        <f t="shared" si="91"/>
        <v>0.38505840198187308</v>
      </c>
      <c r="M106" s="227">
        <f t="shared" si="92"/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0.42909090909090908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0.30342139543556595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0.30342139543556595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</v>
      </c>
      <c r="I110" s="22">
        <f t="shared" si="88"/>
        <v>0</v>
      </c>
      <c r="J110" s="24">
        <f t="shared" si="89"/>
        <v>0</v>
      </c>
      <c r="K110" s="22">
        <f t="shared" si="90"/>
        <v>2.5415009873347314</v>
      </c>
      <c r="L110" s="22">
        <f t="shared" si="91"/>
        <v>0</v>
      </c>
      <c r="M110" s="227">
        <f t="shared" si="92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1.4482150568376619</v>
      </c>
      <c r="J119" s="24">
        <f>SUM(J91:J118)</f>
        <v>1.4482150568376619</v>
      </c>
      <c r="K119" s="22">
        <f>SUM(K91:K118)</f>
        <v>5.6691349666036501</v>
      </c>
      <c r="L119" s="22">
        <f>SUM(L91:L118)</f>
        <v>1.3830904646466138</v>
      </c>
      <c r="M119" s="57">
        <f t="shared" si="80"/>
        <v>1.4482150568376619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0.42167022294072165</v>
      </c>
      <c r="J125" s="237">
        <f>IF(SUMPRODUCT($B$124:$B125,$H$124:$H125)&lt;J$119,($B125*$H125),IF(SUMPRODUCT($B$124:$B124,$H$124:$H124)&lt;J$119,J$119-SUMPRODUCT($B$124:$B124,$H$124:$H124),0))</f>
        <v>0.42167022294072165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0.35654563074967349</v>
      </c>
      <c r="M125" s="240">
        <f t="shared" si="93"/>
        <v>0.42167022294072165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0.42167022294072165</v>
      </c>
      <c r="J128" s="228">
        <f>(J30)</f>
        <v>0.42167022294072165</v>
      </c>
      <c r="K128" s="29">
        <f>(B128)</f>
        <v>0.64870199252802008</v>
      </c>
      <c r="L128" s="29">
        <f>IF(L124=L119,0,(L119-L124)/(B119-B124)*K128)</f>
        <v>5.1867551719427592E-2</v>
      </c>
      <c r="M128" s="240">
        <f t="shared" si="93"/>
        <v>0.42167022294072165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1.4482150568376619</v>
      </c>
      <c r="J130" s="228">
        <f>(J119)</f>
        <v>1.4482150568376619</v>
      </c>
      <c r="K130" s="29">
        <f>(B130)</f>
        <v>5.6691349666036501</v>
      </c>
      <c r="L130" s="29">
        <f>(L119)</f>
        <v>1.3830904646466138</v>
      </c>
      <c r="M130" s="240">
        <f t="shared" si="93"/>
        <v>1.4482150568376619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1.171989808276007</v>
      </c>
      <c r="K131" s="29"/>
      <c r="L131" s="29">
        <f>IF(I131&lt;SUM(L126:L127),0,I131-(SUM(L126:L127)))</f>
        <v>1.171989808276007</v>
      </c>
      <c r="M131" s="237">
        <f>IF(I131&lt;SUM(M126:M127),0,I131-(SUM(M126:M127)))</f>
        <v>1.171989808276007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1.501616936488169E-2</v>
      </c>
      <c r="J6" s="24">
        <f t="shared" ref="J6:J13" si="3">IF(I$32&lt;=1+I$131,I6,B6*H6+J$33*(I6-B6*H6))</f>
        <v>1.501616936488169E-2</v>
      </c>
      <c r="K6" s="22">
        <f t="shared" ref="K6:K31" si="4">B6</f>
        <v>7.5080846824408451E-2</v>
      </c>
      <c r="L6" s="22">
        <f t="shared" ref="L6:L29" si="5">IF(K6="","",K6*H6)</f>
        <v>1.501616936488169E-2</v>
      </c>
      <c r="M6" s="224">
        <f t="shared" ref="M6:M31" si="6">J6</f>
        <v>1.501616936488169E-2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6.0064677459526761E-2</v>
      </c>
      <c r="Z6" s="156">
        <f>Poor!Z6</f>
        <v>0.17</v>
      </c>
      <c r="AA6" s="121">
        <f>$M6*Z6*4</f>
        <v>1.021099516811955E-2</v>
      </c>
      <c r="AB6" s="156">
        <f>Poor!AB6</f>
        <v>0.17</v>
      </c>
      <c r="AC6" s="121">
        <f t="shared" ref="AC6:AC29" si="7">$M6*AB6*4</f>
        <v>1.021099516811955E-2</v>
      </c>
      <c r="AD6" s="156">
        <f>Poor!AD6</f>
        <v>0.33</v>
      </c>
      <c r="AE6" s="121">
        <f t="shared" ref="AE6:AE29" si="8">$M6*AD6*4</f>
        <v>1.982134356164383E-2</v>
      </c>
      <c r="AF6" s="122">
        <f>1-SUM(Z6,AB6,AD6)</f>
        <v>0.32999999999999996</v>
      </c>
      <c r="AG6" s="121">
        <f>$M6*AF6*4</f>
        <v>1.982134356164383E-2</v>
      </c>
      <c r="AH6" s="123">
        <f>SUM(Z6,AB6,AD6,AF6)</f>
        <v>1</v>
      </c>
      <c r="AI6" s="184">
        <f>SUM(AA6,AC6,AE6,AG6)/4</f>
        <v>1.501616936488169E-2</v>
      </c>
      <c r="AJ6" s="120">
        <f>(AA6+AC6)/2</f>
        <v>1.021099516811955E-2</v>
      </c>
      <c r="AK6" s="119">
        <f>(AE6+AG6)/2</f>
        <v>1.982134356164383E-2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1.0808079078455794E-2</v>
      </c>
      <c r="J7" s="24">
        <f t="shared" si="3"/>
        <v>1.0808079078455794E-2</v>
      </c>
      <c r="K7" s="22">
        <f t="shared" si="4"/>
        <v>5.4040395392278964E-2</v>
      </c>
      <c r="L7" s="22">
        <f t="shared" si="5"/>
        <v>1.0808079078455794E-2</v>
      </c>
      <c r="M7" s="224">
        <f t="shared" si="6"/>
        <v>1.0808079078455794E-2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885.57208578410291</v>
      </c>
      <c r="T7" s="222">
        <f>IF($B$81=0,0,(SUMIF($N$6:$N$28,$U7,M$6:M$28)+SUMIF($N$91:$N$118,$U7,M$91:M$118))*$I$83*Poor!$B$81/$B$81)</f>
        <v>885.57208578410291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4.3232316313823176E-2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4.3232316313823176E-2</v>
      </c>
      <c r="AH7" s="123">
        <f t="shared" ref="AH7:AH30" si="12">SUM(Z7,AB7,AD7,AF7)</f>
        <v>1</v>
      </c>
      <c r="AI7" s="184">
        <f t="shared" ref="AI7:AI30" si="13">SUM(AA7,AC7,AE7,AG7)/4</f>
        <v>1.0808079078455794E-2</v>
      </c>
      <c r="AJ7" s="120">
        <f t="shared" ref="AJ7:AJ31" si="14">(AA7+AC7)/2</f>
        <v>0</v>
      </c>
      <c r="AK7" s="119">
        <f t="shared" ref="AK7:AK31" si="15">(AE7+AG7)/2</f>
        <v>2.1616158156911588E-2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41.999999999999993</v>
      </c>
      <c r="T8" s="222">
        <f>IF($B$81=0,0,(SUMIF($N$6:$N$28,$U8,M$6:M$28)+SUMIF($N$91:$N$118,$U8,M$91:M$118))*$I$83*Poor!$B$81/$B$81)</f>
        <v>41.999999999999993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3.5487431506849305E-2</v>
      </c>
      <c r="J9" s="24">
        <f t="shared" si="3"/>
        <v>3.5487431506849305E-2</v>
      </c>
      <c r="K9" s="22">
        <f t="shared" si="4"/>
        <v>0.11829143835616435</v>
      </c>
      <c r="L9" s="22">
        <f t="shared" si="5"/>
        <v>3.5487431506849305E-2</v>
      </c>
      <c r="M9" s="224">
        <f t="shared" si="6"/>
        <v>3.5487431506849305E-2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334.99365371734746</v>
      </c>
      <c r="T9" s="222">
        <f>IF($B$81=0,0,(SUMIF($N$6:$N$28,$U9,M$6:M$28)+SUMIF($N$91:$N$118,$U9,M$91:M$118))*$I$83*Poor!$B$81/$B$81)</f>
        <v>334.99365371734746</v>
      </c>
      <c r="U9" s="223">
        <v>3</v>
      </c>
      <c r="V9" s="56"/>
      <c r="W9" s="115"/>
      <c r="X9" s="118">
        <f>Poor!X9</f>
        <v>1</v>
      </c>
      <c r="Y9" s="184">
        <f t="shared" si="9"/>
        <v>0.14194972602739722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0.14194972602739722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3.5487431506849305E-2</v>
      </c>
      <c r="AJ9" s="120">
        <f t="shared" si="14"/>
        <v>7.0974863013698611E-2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0.2</v>
      </c>
      <c r="H11" s="24">
        <f t="shared" si="1"/>
        <v>0.2</v>
      </c>
      <c r="I11" s="22">
        <f t="shared" si="2"/>
        <v>2.7985864259028647E-3</v>
      </c>
      <c r="J11" s="24">
        <f t="shared" si="3"/>
        <v>2.7985864259028647E-3</v>
      </c>
      <c r="K11" s="22">
        <f t="shared" si="4"/>
        <v>1.3992932129514322E-2</v>
      </c>
      <c r="L11" s="22">
        <f t="shared" si="5"/>
        <v>2.7985864259028647E-3</v>
      </c>
      <c r="M11" s="224">
        <f t="shared" si="6"/>
        <v>2.7985864259028647E-3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5074</v>
      </c>
      <c r="T11" s="222">
        <f>IF($B$81=0,0,(SUMIF($N$6:$N$28,$U11,M$6:M$28)+SUMIF($N$91:$N$118,$U11,M$91:M$118))*$I$83*Poor!$B$81/$B$81)</f>
        <v>5177.1522862082875</v>
      </c>
      <c r="U11" s="223">
        <v>5</v>
      </c>
      <c r="V11" s="56"/>
      <c r="W11" s="115"/>
      <c r="X11" s="118">
        <f>Poor!X11</f>
        <v>1</v>
      </c>
      <c r="Y11" s="184">
        <f t="shared" si="9"/>
        <v>1.1194345703611459E-2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1.1194345703611459E-2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2.7985864259028647E-3</v>
      </c>
      <c r="AJ11" s="120">
        <f t="shared" si="14"/>
        <v>5.5971728518057293E-3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0.2</v>
      </c>
      <c r="H12" s="24">
        <f t="shared" si="1"/>
        <v>0.2</v>
      </c>
      <c r="I12" s="22">
        <f t="shared" si="2"/>
        <v>3.1283686176836862E-4</v>
      </c>
      <c r="J12" s="24">
        <f t="shared" si="3"/>
        <v>3.1283686176836862E-4</v>
      </c>
      <c r="K12" s="22">
        <f t="shared" si="4"/>
        <v>1.5641843088418431E-3</v>
      </c>
      <c r="L12" s="22">
        <f t="shared" si="5"/>
        <v>3.1283686176836862E-4</v>
      </c>
      <c r="M12" s="224">
        <f t="shared" si="6"/>
        <v>3.1283686176836862E-4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1.2513474470734745E-3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8.3840278953922797E-4</v>
      </c>
      <c r="AF12" s="122">
        <f>1-SUM(Z12,AB12,AD12)</f>
        <v>0.32999999999999996</v>
      </c>
      <c r="AG12" s="121">
        <f>$M12*AF12*4</f>
        <v>4.129446575342465E-4</v>
      </c>
      <c r="AH12" s="123">
        <f t="shared" si="12"/>
        <v>1</v>
      </c>
      <c r="AI12" s="184">
        <f t="shared" si="13"/>
        <v>3.1283686176836862E-4</v>
      </c>
      <c r="AJ12" s="120">
        <f t="shared" si="14"/>
        <v>0</v>
      </c>
      <c r="AK12" s="119">
        <f t="shared" si="15"/>
        <v>6.2567372353673724E-4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0.2</v>
      </c>
      <c r="H13" s="24">
        <f t="shared" si="1"/>
        <v>0.2</v>
      </c>
      <c r="I13" s="22">
        <f t="shared" si="2"/>
        <v>1.1861731008717311E-3</v>
      </c>
      <c r="J13" s="24">
        <f t="shared" si="3"/>
        <v>1.1861731008717311E-3</v>
      </c>
      <c r="K13" s="22">
        <f t="shared" si="4"/>
        <v>5.9308655043586551E-3</v>
      </c>
      <c r="L13" s="22">
        <f t="shared" si="5"/>
        <v>1.1861731008717311E-3</v>
      </c>
      <c r="M13" s="225">
        <f t="shared" si="6"/>
        <v>1.1861731008717311E-3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1311.1417113194907</v>
      </c>
      <c r="T13" s="222">
        <f>IF($B$81=0,0,(SUMIF($N$6:$N$28,$U13,M$6:M$28)+SUMIF($N$91:$N$118,$U13,M$91:M$118))*$I$83*Poor!$B$81/$B$81)</f>
        <v>1019.4234608937803</v>
      </c>
      <c r="U13" s="223">
        <v>7</v>
      </c>
      <c r="V13" s="56"/>
      <c r="W13" s="110"/>
      <c r="X13" s="118"/>
      <c r="Y13" s="184">
        <f t="shared" si="9"/>
        <v>4.7446924034869244E-3</v>
      </c>
      <c r="Z13" s="156">
        <f>Poor!Z13</f>
        <v>1</v>
      </c>
      <c r="AA13" s="121">
        <f>$M13*Z13*4</f>
        <v>4.7446924034869244E-3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1.1861731008717311E-3</v>
      </c>
      <c r="AJ13" s="120">
        <f t="shared" si="14"/>
        <v>2.3723462017434622E-3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1.4859750933997509E-3</v>
      </c>
      <c r="J14" s="24">
        <f>IF(I$32&lt;=1+I131,I14,B14*H14+J$33*(I14-B14*H14))</f>
        <v>1.4859750933997509E-3</v>
      </c>
      <c r="K14" s="22">
        <f t="shared" si="4"/>
        <v>7.4298754669987538E-3</v>
      </c>
      <c r="L14" s="22">
        <f t="shared" si="5"/>
        <v>1.4859750933997509E-3</v>
      </c>
      <c r="M14" s="225">
        <f t="shared" si="6"/>
        <v>1.4859750933997509E-3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25488</v>
      </c>
      <c r="T14" s="222">
        <f>IF($B$81=0,0,(SUMIF($N$6:$N$28,$U14,M$6:M$28)+SUMIF($N$91:$N$118,$U14,M$91:M$118))*$I$83*Poor!$B$81/$B$81)</f>
        <v>25488</v>
      </c>
      <c r="U14" s="223">
        <v>8</v>
      </c>
      <c r="V14" s="56"/>
      <c r="W14" s="110"/>
      <c r="X14" s="118"/>
      <c r="Y14" s="184">
        <f>M14*4</f>
        <v>5.9439003735990035E-3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5.9439003735990035E-3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1.4859750933997509E-3</v>
      </c>
      <c r="AJ14" s="120">
        <f t="shared" si="14"/>
        <v>2.9719501867995018E-3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4.6289427646326278E-2</v>
      </c>
      <c r="Z15" s="156">
        <f>Poor!Z15</f>
        <v>0.25</v>
      </c>
      <c r="AA15" s="121">
        <f t="shared" si="16"/>
        <v>1.157235691158157E-2</v>
      </c>
      <c r="AB15" s="156">
        <f>Poor!AB15</f>
        <v>0.25</v>
      </c>
      <c r="AC15" s="121">
        <f t="shared" si="7"/>
        <v>1.157235691158157E-2</v>
      </c>
      <c r="AD15" s="156">
        <f>Poor!AD15</f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3167.7274424018119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0.5</v>
      </c>
      <c r="F17" s="22"/>
      <c r="H17" s="24">
        <f t="shared" si="1"/>
        <v>0.5</v>
      </c>
      <c r="I17" s="22">
        <f t="shared" si="2"/>
        <v>1.4126712328767124E-2</v>
      </c>
      <c r="J17" s="24">
        <f t="shared" ref="J17:J25" si="17">IF(I$32&lt;=1+I131,I17,B17*H17+J$33*(I17-B17*H17))</f>
        <v>3.6657518309639384E-2</v>
      </c>
      <c r="K17" s="22">
        <f t="shared" si="4"/>
        <v>0.1182914383561644</v>
      </c>
      <c r="L17" s="22">
        <f t="shared" si="5"/>
        <v>5.9145719178082201E-2</v>
      </c>
      <c r="M17" s="225">
        <f t="shared" si="6"/>
        <v>3.6657518309639384E-2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0.14663007323855753</v>
      </c>
      <c r="Z17" s="156">
        <f>Poor!Z17</f>
        <v>0.29409999999999997</v>
      </c>
      <c r="AA17" s="121">
        <f t="shared" si="16"/>
        <v>4.3123904539459766E-2</v>
      </c>
      <c r="AB17" s="156">
        <f>Poor!AB17</f>
        <v>0.17649999999999999</v>
      </c>
      <c r="AC17" s="121">
        <f t="shared" si="7"/>
        <v>2.5880207926605402E-2</v>
      </c>
      <c r="AD17" s="156">
        <f>Poor!AD17</f>
        <v>0.23530000000000001</v>
      </c>
      <c r="AE17" s="121">
        <f t="shared" si="8"/>
        <v>3.4502056233032589E-2</v>
      </c>
      <c r="AF17" s="122">
        <f t="shared" si="10"/>
        <v>0.29410000000000003</v>
      </c>
      <c r="AG17" s="121">
        <f t="shared" si="11"/>
        <v>4.3123904539459773E-2</v>
      </c>
      <c r="AH17" s="123">
        <f t="shared" si="12"/>
        <v>1</v>
      </c>
      <c r="AI17" s="184">
        <f t="shared" si="13"/>
        <v>3.6657518309639384E-2</v>
      </c>
      <c r="AJ17" s="120">
        <f t="shared" si="14"/>
        <v>3.4502056233032583E-2</v>
      </c>
      <c r="AK17" s="119">
        <f t="shared" si="15"/>
        <v>3.8812980386246185E-2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69452.507450820951</v>
      </c>
      <c r="T23" s="179">
        <f>SUM(T7:T22)</f>
        <v>69551.668929005333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1.1416304538677481E-2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1.1416304538677481E-2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4.5665218154709926E-2</v>
      </c>
      <c r="Z27" s="156">
        <f>Poor!Z27</f>
        <v>0.25</v>
      </c>
      <c r="AA27" s="121">
        <f t="shared" si="16"/>
        <v>1.1416304538677481E-2</v>
      </c>
      <c r="AB27" s="156">
        <f>Poor!AB27</f>
        <v>0.25</v>
      </c>
      <c r="AC27" s="121">
        <f t="shared" si="7"/>
        <v>1.1416304538677481E-2</v>
      </c>
      <c r="AD27" s="156">
        <f>Poor!AD27</f>
        <v>0.25</v>
      </c>
      <c r="AE27" s="121">
        <f t="shared" si="8"/>
        <v>1.1416304538677481E-2</v>
      </c>
      <c r="AF27" s="122">
        <f t="shared" si="10"/>
        <v>0.25</v>
      </c>
      <c r="AG27" s="121">
        <f t="shared" si="11"/>
        <v>1.1416304538677481E-2</v>
      </c>
      <c r="AH27" s="123">
        <f t="shared" si="12"/>
        <v>1</v>
      </c>
      <c r="AI27" s="184">
        <f t="shared" si="13"/>
        <v>1.1416304538677481E-2</v>
      </c>
      <c r="AJ27" s="120">
        <f t="shared" si="14"/>
        <v>1.1416304538677481E-2</v>
      </c>
      <c r="AK27" s="119">
        <f t="shared" si="15"/>
        <v>1.1416304538677481E-2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0.22674798418949935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0.22674798418949935</v>
      </c>
      <c r="N29" s="229"/>
      <c r="P29" s="22"/>
      <c r="V29" s="56"/>
      <c r="W29" s="110"/>
      <c r="X29" s="118"/>
      <c r="Y29" s="184">
        <f t="shared" si="9"/>
        <v>0.90699193675799739</v>
      </c>
      <c r="Z29" s="156">
        <f>Poor!Z29</f>
        <v>0.25</v>
      </c>
      <c r="AA29" s="121">
        <f t="shared" si="16"/>
        <v>0.22674798418949935</v>
      </c>
      <c r="AB29" s="156">
        <f>Poor!AB29</f>
        <v>0.25</v>
      </c>
      <c r="AC29" s="121">
        <f t="shared" si="7"/>
        <v>0.22674798418949935</v>
      </c>
      <c r="AD29" s="156">
        <f>Poor!AD29</f>
        <v>0.25</v>
      </c>
      <c r="AE29" s="121">
        <f t="shared" si="8"/>
        <v>0.22674798418949935</v>
      </c>
      <c r="AF29" s="122">
        <f t="shared" si="10"/>
        <v>0.25</v>
      </c>
      <c r="AG29" s="121">
        <f t="shared" si="11"/>
        <v>0.22674798418949935</v>
      </c>
      <c r="AH29" s="123">
        <f t="shared" si="12"/>
        <v>1</v>
      </c>
      <c r="AI29" s="184">
        <f t="shared" si="13"/>
        <v>0.22674798418949935</v>
      </c>
      <c r="AJ29" s="120">
        <f t="shared" si="14"/>
        <v>0.22674798418949935</v>
      </c>
      <c r="AK29" s="119">
        <f t="shared" si="15"/>
        <v>0.22674798418949935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4.2345478130975112</v>
      </c>
      <c r="J30" s="231">
        <f>IF(I$32&lt;=1,I30,1-SUM(J6:J29))</f>
        <v>0.63108628241838971</v>
      </c>
      <c r="K30" s="22">
        <f t="shared" si="4"/>
        <v>0.61046637608966381</v>
      </c>
      <c r="L30" s="22">
        <f>IF(L124=L119,0,IF(K30="",0,(L119-L124)/(B119-B124)*K30))</f>
        <v>0.25360095306647429</v>
      </c>
      <c r="M30" s="175">
        <f t="shared" si="6"/>
        <v>0.63108628241838971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2.5243451296735588</v>
      </c>
      <c r="Z30" s="122">
        <f>IF($Y30=0,0,AA30/($Y$30))</f>
        <v>0.1890955702160913</v>
      </c>
      <c r="AA30" s="188">
        <f>IF(AA79*4/$I$84+SUM(AA6:AA29)&lt;1,AA79*4/$I$84,1-SUM(AA6:AA29))</f>
        <v>0.47734248171783455</v>
      </c>
      <c r="AB30" s="122">
        <f>IF($Y30=0,0,AC30/($Y$30))</f>
        <v>0.28055920031168785</v>
      </c>
      <c r="AC30" s="188">
        <f>IF(AC79*4/$I$84+SUM(AC6:AC29)&lt;1,AC79*4/$I$84,1-SUM(AC6:AC29))</f>
        <v>0.70822825089191765</v>
      </c>
      <c r="AD30" s="122">
        <f>IF($Y30=0,0,AE30/($Y$30))</f>
        <v>0.27535915893795176</v>
      </c>
      <c r="AE30" s="188">
        <f>IF(AE79*4/$I$84+SUM(AE6:AE29)&lt;1,AE79*4/$I$84,1-SUM(AE6:AE29))</f>
        <v>0.69510155177602595</v>
      </c>
      <c r="AF30" s="122">
        <f>IF($Y30=0,0,AG30/($Y$30))</f>
        <v>0.25498607053426903</v>
      </c>
      <c r="AG30" s="188">
        <f>IF(AG79*4/$I$84+SUM(AG6:AG29)&lt;1,AG79*4/$I$84,1-SUM(AG6:AG29))</f>
        <v>0.64367284528778057</v>
      </c>
      <c r="AH30" s="123">
        <f t="shared" si="12"/>
        <v>1</v>
      </c>
      <c r="AI30" s="184">
        <f t="shared" si="13"/>
        <v>0.63108628241838971</v>
      </c>
      <c r="AJ30" s="120">
        <f t="shared" si="14"/>
        <v>0.5927853663048761</v>
      </c>
      <c r="AK30" s="119">
        <f t="shared" si="15"/>
        <v>0.66938719853190332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0.34182734000118864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4.5677359853396258</v>
      </c>
      <c r="J32" s="17"/>
      <c r="L32" s="22">
        <f>SUM(L6:L30)</f>
        <v>0.65817265999881136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0.49952680972536717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</v>
      </c>
      <c r="J37" s="38">
        <f>J91*I$83</f>
        <v>944</v>
      </c>
      <c r="K37" s="40">
        <f>(B37/B$65)</f>
        <v>1.807727319207603E-2</v>
      </c>
      <c r="L37" s="22">
        <f t="shared" ref="L37" si="28">(K37*H37)</f>
        <v>1.0665591183324857E-2</v>
      </c>
      <c r="M37" s="24">
        <f>J37/B$65</f>
        <v>1.0665591183324859E-2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0.16961301395120992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160.11468516994216</v>
      </c>
      <c r="AD37" s="122">
        <f>IF($J37=0,0,AE37/($J37))</f>
        <v>0.1499177912558258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141.52239494549954</v>
      </c>
      <c r="AF37" s="122">
        <f t="shared" ref="AF37:AF64" si="29">1-SUM(Z37,AB37,AD37)</f>
        <v>0.6804691947929643</v>
      </c>
      <c r="AG37" s="147">
        <f>$J37*AF37</f>
        <v>642.36291988455832</v>
      </c>
      <c r="AH37" s="123">
        <f>SUM(Z37,AB37,AD37,AF37)</f>
        <v>1</v>
      </c>
      <c r="AI37" s="112">
        <f>SUM(AA37,AC37,AE37,AG37)</f>
        <v>944</v>
      </c>
      <c r="AJ37" s="148">
        <f>(AA37+AC37)</f>
        <v>160.11468516994216</v>
      </c>
      <c r="AK37" s="147">
        <f>(AE37+AG37)</f>
        <v>783.88531483005784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2950</v>
      </c>
      <c r="J38" s="38">
        <f t="shared" ref="J38:J64" si="32">J92*I$83</f>
        <v>2949.9999999999995</v>
      </c>
      <c r="K38" s="40">
        <f t="shared" ref="K38:K64" si="33">(B38/B$65)</f>
        <v>5.6491478725237597E-2</v>
      </c>
      <c r="L38" s="22">
        <f t="shared" ref="L38:L64" si="34">(K38*H38)</f>
        <v>3.3329972447890183E-2</v>
      </c>
      <c r="M38" s="24">
        <f t="shared" ref="M38:M64" si="35">J38/B$65</f>
        <v>3.3329972447890176E-2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0.16961301395120992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500.35839115606916</v>
      </c>
      <c r="AD38" s="122">
        <f>IF($J38=0,0,AE38/($J38))</f>
        <v>0.14991779125582577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442.25748420468597</v>
      </c>
      <c r="AF38" s="122">
        <f t="shared" si="29"/>
        <v>0.6804691947929643</v>
      </c>
      <c r="AG38" s="147">
        <f t="shared" ref="AG38:AG64" si="36">$J38*AF38</f>
        <v>2007.3841246392444</v>
      </c>
      <c r="AH38" s="123">
        <f t="shared" ref="AH38:AI58" si="37">SUM(Z38,AB38,AD38,AF38)</f>
        <v>1</v>
      </c>
      <c r="AI38" s="112">
        <f t="shared" si="37"/>
        <v>2949.9999999999995</v>
      </c>
      <c r="AJ38" s="148">
        <f t="shared" ref="AJ38:AJ64" si="38">(AA38+AC38)</f>
        <v>500.35839115606916</v>
      </c>
      <c r="AK38" s="147">
        <f t="shared" ref="AK38:AK64" si="39">(AE38+AG38)</f>
        <v>2449.6416088439305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1032.5</v>
      </c>
      <c r="J39" s="38">
        <f t="shared" si="32"/>
        <v>929.15228620828816</v>
      </c>
      <c r="K39" s="40">
        <f t="shared" si="33"/>
        <v>1.5817614043066527E-2</v>
      </c>
      <c r="L39" s="22">
        <f t="shared" si="34"/>
        <v>9.3323922854092502E-3</v>
      </c>
      <c r="M39" s="24">
        <f t="shared" si="35"/>
        <v>1.0497837321768276E-2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929.15228620828816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929.15228620828816</v>
      </c>
      <c r="AJ39" s="148">
        <f t="shared" si="38"/>
        <v>929.15228620828816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236</v>
      </c>
      <c r="J40" s="38">
        <f t="shared" si="32"/>
        <v>236</v>
      </c>
      <c r="K40" s="40">
        <f t="shared" si="33"/>
        <v>4.5193182980190075E-3</v>
      </c>
      <c r="L40" s="22">
        <f t="shared" si="34"/>
        <v>2.6663977958312143E-3</v>
      </c>
      <c r="M40" s="24">
        <f t="shared" si="35"/>
        <v>2.6663977958312148E-3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236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236</v>
      </c>
      <c r="AJ40" s="148">
        <f t="shared" si="38"/>
        <v>236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118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41.999999999999993</v>
      </c>
      <c r="J45" s="38">
        <f t="shared" si="32"/>
        <v>41.999999999999993</v>
      </c>
      <c r="K45" s="40">
        <f t="shared" si="33"/>
        <v>1.6947443617571279E-3</v>
      </c>
      <c r="L45" s="22">
        <f t="shared" si="34"/>
        <v>4.7452842129199575E-4</v>
      </c>
      <c r="M45" s="24">
        <f t="shared" si="35"/>
        <v>4.7452842129199575E-4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10.499999999999998</v>
      </c>
      <c r="AB45" s="156">
        <f>Poor!AB45</f>
        <v>0.25</v>
      </c>
      <c r="AC45" s="147">
        <f t="shared" si="41"/>
        <v>10.499999999999998</v>
      </c>
      <c r="AD45" s="156">
        <f>Poor!AD45</f>
        <v>0.25</v>
      </c>
      <c r="AE45" s="147">
        <f t="shared" si="42"/>
        <v>10.499999999999998</v>
      </c>
      <c r="AF45" s="122">
        <f t="shared" si="29"/>
        <v>0.25</v>
      </c>
      <c r="AG45" s="147">
        <f t="shared" si="36"/>
        <v>10.499999999999998</v>
      </c>
      <c r="AH45" s="123">
        <f t="shared" si="37"/>
        <v>1</v>
      </c>
      <c r="AI45" s="112">
        <f t="shared" si="37"/>
        <v>41.999999999999993</v>
      </c>
      <c r="AJ45" s="148">
        <f t="shared" si="38"/>
        <v>20.999999999999996</v>
      </c>
      <c r="AK45" s="147">
        <f t="shared" si="39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543.90000000000009</v>
      </c>
      <c r="J51" s="38">
        <f t="shared" si="32"/>
        <v>543.9</v>
      </c>
      <c r="K51" s="40">
        <f t="shared" si="33"/>
        <v>1.1072329830146568E-2</v>
      </c>
      <c r="L51" s="22">
        <f t="shared" si="34"/>
        <v>6.1451430557313462E-3</v>
      </c>
      <c r="M51" s="24">
        <f t="shared" si="35"/>
        <v>6.1451430557313454E-3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135.97499999999999</v>
      </c>
      <c r="AB51" s="156">
        <f>Poor!AB56</f>
        <v>0.25</v>
      </c>
      <c r="AC51" s="147">
        <f t="shared" si="41"/>
        <v>135.97499999999999</v>
      </c>
      <c r="AD51" s="156">
        <f>Poor!AD56</f>
        <v>0.25</v>
      </c>
      <c r="AE51" s="147">
        <f t="shared" si="42"/>
        <v>135.97499999999999</v>
      </c>
      <c r="AF51" s="122">
        <f t="shared" si="29"/>
        <v>0.25</v>
      </c>
      <c r="AG51" s="147">
        <f t="shared" si="36"/>
        <v>135.97499999999999</v>
      </c>
      <c r="AH51" s="123">
        <f t="shared" si="37"/>
        <v>1</v>
      </c>
      <c r="AI51" s="112">
        <f t="shared" si="37"/>
        <v>543.9</v>
      </c>
      <c r="AJ51" s="148">
        <f t="shared" si="38"/>
        <v>271.95</v>
      </c>
      <c r="AK51" s="147">
        <f t="shared" si="39"/>
        <v>271.95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25488</v>
      </c>
      <c r="J53" s="38">
        <f t="shared" si="32"/>
        <v>25488</v>
      </c>
      <c r="K53" s="40">
        <f t="shared" si="33"/>
        <v>0.40673864682171068</v>
      </c>
      <c r="L53" s="22">
        <f t="shared" si="34"/>
        <v>0.28797096194977112</v>
      </c>
      <c r="M53" s="24">
        <f t="shared" si="35"/>
        <v>0.28797096194977118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3167.7274424018115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3.5789921483958646E-2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9.1278073225827899E-2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68247.199999999997</v>
      </c>
      <c r="J65" s="39">
        <f>SUM(J37:J64)</f>
        <v>67855.579728610101</v>
      </c>
      <c r="K65" s="40">
        <f>SUM(K37:K64)</f>
        <v>0.99999999999999978</v>
      </c>
      <c r="L65" s="22">
        <f>SUM(L37:L64)</f>
        <v>0.76223613295090731</v>
      </c>
      <c r="M65" s="24">
        <f>SUM(M37:M64)</f>
        <v>0.76665240772548826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8089.6272862082888</v>
      </c>
      <c r="AB65" s="137"/>
      <c r="AC65" s="153">
        <f>SUM(AC37:AC64)</f>
        <v>7466.9480763260126</v>
      </c>
      <c r="AD65" s="137"/>
      <c r="AE65" s="153">
        <f>SUM(AE37:AE64)</f>
        <v>7390.2548791501868</v>
      </c>
      <c r="AF65" s="137"/>
      <c r="AG65" s="153">
        <f>SUM(AG37:AG64)</f>
        <v>9456.2220445238036</v>
      </c>
      <c r="AH65" s="137"/>
      <c r="AI65" s="153">
        <f>SUM(AI37:AI64)</f>
        <v>32403.052286208291</v>
      </c>
      <c r="AJ65" s="153">
        <f>SUM(AJ37:AJ64)</f>
        <v>15556.575362534302</v>
      </c>
      <c r="AK65" s="153">
        <f>SUM(AK37:AK64)</f>
        <v>16846.476923673988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6596.132417544869</v>
      </c>
      <c r="K73" s="40">
        <f>B73/B$76</f>
        <v>0.25330779060396541</v>
      </c>
      <c r="L73" s="22">
        <f t="shared" si="45"/>
        <v>0.12543384149255846</v>
      </c>
      <c r="M73" s="24">
        <f>J73/B$76</f>
        <v>7.4525054826917195E-2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54930.800672199846</v>
      </c>
      <c r="J74" s="51">
        <f t="shared" si="44"/>
        <v>8186.4879832650759</v>
      </c>
      <c r="K74" s="40">
        <f>B74/B$76</f>
        <v>5.4225008815229715E-2</v>
      </c>
      <c r="L74" s="22">
        <f t="shared" si="45"/>
        <v>3.7168300907984363E-2</v>
      </c>
      <c r="M74" s="24">
        <f>J74/B$76</f>
        <v>9.2493362348206459E-2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2788.8900893952641</v>
      </c>
      <c r="AB74" s="156"/>
      <c r="AC74" s="147">
        <f>AC30*$I$84/4</f>
        <v>4137.8482443759731</v>
      </c>
      <c r="AD74" s="156"/>
      <c r="AE74" s="147">
        <f>AE30*$I$84/4</f>
        <v>4061.1550472001477</v>
      </c>
      <c r="AF74" s="156"/>
      <c r="AG74" s="147">
        <f>AG30*$I$84/4</f>
        <v>3760.6810367594239</v>
      </c>
      <c r="AH74" s="155"/>
      <c r="AI74" s="147">
        <f>SUM(AA74,AC74,AE74,AG74)</f>
        <v>14748.57441773081</v>
      </c>
      <c r="AJ74" s="148">
        <f>(AA74+AC74)</f>
        <v>6926.7383337712372</v>
      </c>
      <c r="AK74" s="147">
        <f>(AE74+AG74)</f>
        <v>7821.8360839595716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0.20433886472106502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6011.3191751079748</v>
      </c>
      <c r="AB75" s="158"/>
      <c r="AC75" s="149">
        <f>AA75+AC65-SUM(AC70,AC74)</f>
        <v>6011.3191751079739</v>
      </c>
      <c r="AD75" s="158"/>
      <c r="AE75" s="149">
        <f>AC75+AE65-SUM(AE70,AE74)</f>
        <v>6011.3191751079739</v>
      </c>
      <c r="AF75" s="158"/>
      <c r="AG75" s="149">
        <f>IF(SUM(AG6:AG29)+((AG65-AG70-$J$75)*4/I$83)&lt;1,0,AG65-AG70-$J$75-(1-SUM(AG6:AG29))*I$83/4)</f>
        <v>4039.6818102449897</v>
      </c>
      <c r="AH75" s="134"/>
      <c r="AI75" s="149">
        <f>AI76-SUM(AI70,AI74)</f>
        <v>4338.0785406773284</v>
      </c>
      <c r="AJ75" s="151">
        <f>AJ76-SUM(AJ70,AJ74)</f>
        <v>1971.6373648629851</v>
      </c>
      <c r="AK75" s="149">
        <f>AJ75+AK76-SUM(AK70,AK74)</f>
        <v>4338.078540677323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68247.199999999997</v>
      </c>
      <c r="J76" s="51">
        <f t="shared" si="44"/>
        <v>67855.579728610101</v>
      </c>
      <c r="K76" s="40">
        <f>SUM(K70:K75)</f>
        <v>0.99999999999999978</v>
      </c>
      <c r="L76" s="22">
        <f>SUM(L70:L75)</f>
        <v>0.76223613295090753</v>
      </c>
      <c r="M76" s="24">
        <f>SUM(M70:M75)</f>
        <v>0.76665240772548815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8089.6272862082888</v>
      </c>
      <c r="AB76" s="137"/>
      <c r="AC76" s="153">
        <f>AC65</f>
        <v>7466.9480763260126</v>
      </c>
      <c r="AD76" s="137"/>
      <c r="AE76" s="153">
        <f>AE65</f>
        <v>7390.2548791501868</v>
      </c>
      <c r="AF76" s="137"/>
      <c r="AG76" s="153">
        <f>AG65</f>
        <v>9456.2220445238036</v>
      </c>
      <c r="AH76" s="137"/>
      <c r="AI76" s="153">
        <f>SUM(AA76,AC76,AE76,AG76)</f>
        <v>32403.052286208294</v>
      </c>
      <c r="AJ76" s="154">
        <f>SUM(AA76,AC76)</f>
        <v>15556.575362534302</v>
      </c>
      <c r="AK76" s="154">
        <f>SUM(AE76,AG76)</f>
        <v>16846.476923673988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4039.6818102449897</v>
      </c>
      <c r="AB78" s="112"/>
      <c r="AC78" s="112">
        <f>IF(AA75&lt;0,0,AA75)</f>
        <v>6011.3191751079748</v>
      </c>
      <c r="AD78" s="112"/>
      <c r="AE78" s="112">
        <f>AC75</f>
        <v>6011.3191751079739</v>
      </c>
      <c r="AF78" s="112"/>
      <c r="AG78" s="112">
        <f>AE75</f>
        <v>6011.3191751079739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8800.209264503239</v>
      </c>
      <c r="AB79" s="112"/>
      <c r="AC79" s="112">
        <f>AA79-AA74+AC65-AC70</f>
        <v>10149.167419483947</v>
      </c>
      <c r="AD79" s="112"/>
      <c r="AE79" s="112">
        <f>AC79-AC74+AE65-AE70</f>
        <v>10072.474222308121</v>
      </c>
      <c r="AF79" s="112"/>
      <c r="AG79" s="112">
        <f>AE79-AE74+AG65-AG70</f>
        <v>12138.441387681738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0.3575757575757576</v>
      </c>
      <c r="I91" s="22">
        <f t="shared" ref="I91" si="52">(D91*H91)</f>
        <v>7.2771798092269899E-2</v>
      </c>
      <c r="J91" s="24">
        <f>IF(I$32&lt;=1+I$131,I91,L91+J$33*(I91-L91))</f>
        <v>7.2771798092269899E-2</v>
      </c>
      <c r="K91" s="22">
        <f t="shared" ref="K91" si="53">(B91)</f>
        <v>0.20351435059702597</v>
      </c>
      <c r="L91" s="22">
        <f t="shared" ref="L91" si="54">(K91*H91)</f>
        <v>7.2771798092269899E-2</v>
      </c>
      <c r="M91" s="227">
        <f t="shared" si="49"/>
        <v>7.2771798092269899E-2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0.3575757575757576</v>
      </c>
      <c r="I92" s="22">
        <f t="shared" ref="I92:I118" si="58">(D92*H92)</f>
        <v>0.2274118690383434</v>
      </c>
      <c r="J92" s="24">
        <f t="shared" ref="J92:J118" si="59">IF(I$32&lt;=1+I$131,I92,L92+J$33*(I92-L92))</f>
        <v>0.2274118690383434</v>
      </c>
      <c r="K92" s="22">
        <f t="shared" ref="K92:K118" si="60">(B92)</f>
        <v>0.6359823456157061</v>
      </c>
      <c r="L92" s="22">
        <f t="shared" ref="L92:L118" si="61">(K92*H92)</f>
        <v>0.2274118690383434</v>
      </c>
      <c r="M92" s="227">
        <f t="shared" ref="M92:M118" si="62">(J92)</f>
        <v>0.2274118690383434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0.3575757575757576</v>
      </c>
      <c r="I93" s="22">
        <f t="shared" si="58"/>
        <v>7.9594154163420194E-2</v>
      </c>
      <c r="J93" s="24">
        <f t="shared" si="59"/>
        <v>7.162720611114462E-2</v>
      </c>
      <c r="K93" s="22">
        <f t="shared" si="60"/>
        <v>0.17807505677239771</v>
      </c>
      <c r="L93" s="22">
        <f t="shared" si="61"/>
        <v>6.3675323330736153E-2</v>
      </c>
      <c r="M93" s="227">
        <f t="shared" si="62"/>
        <v>7.162720611114462E-2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0.3575757575757576</v>
      </c>
      <c r="I94" s="22">
        <f t="shared" si="58"/>
        <v>1.8192949523067475E-2</v>
      </c>
      <c r="J94" s="24">
        <f t="shared" si="59"/>
        <v>1.8192949523067475E-2</v>
      </c>
      <c r="K94" s="22">
        <f t="shared" si="60"/>
        <v>5.0878587649256492E-2</v>
      </c>
      <c r="L94" s="22">
        <f t="shared" si="61"/>
        <v>1.8192949523067475E-2</v>
      </c>
      <c r="M94" s="227">
        <f t="shared" si="62"/>
        <v>1.8192949523067475E-2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0.16969696969696968</v>
      </c>
      <c r="I99" s="22">
        <f t="shared" si="58"/>
        <v>3.2377283049526855E-3</v>
      </c>
      <c r="J99" s="24">
        <f t="shared" si="59"/>
        <v>3.2377283049526855E-3</v>
      </c>
      <c r="K99" s="22">
        <f t="shared" si="60"/>
        <v>1.9079470368471185E-2</v>
      </c>
      <c r="L99" s="22">
        <f t="shared" si="61"/>
        <v>3.2377283049526855E-3</v>
      </c>
      <c r="M99" s="227">
        <f t="shared" si="62"/>
        <v>3.2377283049526855E-3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0.33636363636363642</v>
      </c>
      <c r="I105" s="22">
        <f t="shared" si="58"/>
        <v>4.1928581549137284E-2</v>
      </c>
      <c r="J105" s="24">
        <f t="shared" si="59"/>
        <v>4.1928581549137284E-2</v>
      </c>
      <c r="K105" s="22">
        <f t="shared" si="60"/>
        <v>0.1246525397406784</v>
      </c>
      <c r="L105" s="22">
        <f t="shared" si="61"/>
        <v>4.1928581549137284E-2</v>
      </c>
      <c r="M105" s="227">
        <f t="shared" si="62"/>
        <v>4.1928581549137284E-2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0.33636363636363642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0.42909090909090908</v>
      </c>
      <c r="I107" s="22">
        <f t="shared" si="58"/>
        <v>1.9648385484912871</v>
      </c>
      <c r="J107" s="24">
        <f t="shared" si="59"/>
        <v>1.9648385484912871</v>
      </c>
      <c r="K107" s="22">
        <f t="shared" si="60"/>
        <v>4.5790728884330845</v>
      </c>
      <c r="L107" s="22">
        <f t="shared" si="61"/>
        <v>1.9648385484912871</v>
      </c>
      <c r="M107" s="227">
        <f t="shared" si="62"/>
        <v>1.9648385484912871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0.24419620958666011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0.24419620958666011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</v>
      </c>
      <c r="I110" s="22">
        <f t="shared" si="58"/>
        <v>0</v>
      </c>
      <c r="J110" s="24">
        <f t="shared" si="59"/>
        <v>0</v>
      </c>
      <c r="K110" s="22">
        <f t="shared" si="60"/>
        <v>1.0276106135545324</v>
      </c>
      <c r="L110" s="22">
        <f t="shared" si="61"/>
        <v>0</v>
      </c>
      <c r="M110" s="227">
        <f t="shared" si="62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5.2610926469944514</v>
      </c>
      <c r="J119" s="24">
        <f>SUM(J91:J118)</f>
        <v>5.2309031222927294</v>
      </c>
      <c r="K119" s="22">
        <f>SUM(K91:K118)</f>
        <v>11.258022625128781</v>
      </c>
      <c r="L119" s="22">
        <f>SUM(L91:L118)</f>
        <v>5.200770685122416</v>
      </c>
      <c r="M119" s="57">
        <f t="shared" si="49"/>
        <v>5.2309031222927294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0.5084877293214527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0.85584062150305495</v>
      </c>
      <c r="M127" s="57">
        <f t="shared" si="63"/>
        <v>0.5084877293214527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4.2345478130975112</v>
      </c>
      <c r="J128" s="228">
        <f>(J30)</f>
        <v>0.63108628241838971</v>
      </c>
      <c r="K128" s="22">
        <f>(B128)</f>
        <v>0.61046637608966381</v>
      </c>
      <c r="L128" s="22">
        <f>IF(L124=L119,0,(L119-L124)/(B119-B124)*K128)</f>
        <v>0.25360095306647429</v>
      </c>
      <c r="M128" s="57">
        <f t="shared" si="63"/>
        <v>0.63108628241838971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2.3004515622228796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5.2610926469944514</v>
      </c>
      <c r="J130" s="228">
        <f>(J119)</f>
        <v>5.2309031222927294</v>
      </c>
      <c r="K130" s="22">
        <f>(B130)</f>
        <v>11.258022625128781</v>
      </c>
      <c r="L130" s="22">
        <f>(L119)</f>
        <v>5.200770685122416</v>
      </c>
      <c r="M130" s="57">
        <f t="shared" si="63"/>
        <v>5.2309031222927294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1.8019403237858035E-2</v>
      </c>
      <c r="J6" s="24">
        <f t="shared" ref="J6:J13" si="3">IF(I$32&lt;=1+I$131,I6,B6*H6+J$33*(I6-B6*H6))</f>
        <v>1.8019403237858035E-2</v>
      </c>
      <c r="K6" s="22">
        <f t="shared" ref="K6:K31" si="4">B6</f>
        <v>9.0097016189290169E-2</v>
      </c>
      <c r="L6" s="22">
        <f t="shared" ref="L6:L29" si="5">IF(K6="","",K6*H6)</f>
        <v>1.8019403237858035E-2</v>
      </c>
      <c r="M6" s="177">
        <f t="shared" ref="M6:M31" si="6">J6</f>
        <v>1.8019403237858035E-2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7.2077612951432141E-2</v>
      </c>
      <c r="Z6" s="156">
        <f>Poor!Z6</f>
        <v>0.17</v>
      </c>
      <c r="AA6" s="121">
        <f>$M6*Z6*4</f>
        <v>1.2253194201743464E-2</v>
      </c>
      <c r="AB6" s="156">
        <f>Poor!AB6</f>
        <v>0.17</v>
      </c>
      <c r="AC6" s="121">
        <f t="shared" ref="AC6:AC29" si="7">$M6*AB6*4</f>
        <v>1.2253194201743464E-2</v>
      </c>
      <c r="AD6" s="156">
        <f>Poor!AD6</f>
        <v>0.33</v>
      </c>
      <c r="AE6" s="121">
        <f t="shared" ref="AE6:AE29" si="8">$M6*AD6*4</f>
        <v>2.3785612273972606E-2</v>
      </c>
      <c r="AF6" s="122">
        <f>1-SUM(Z6,AB6,AD6)</f>
        <v>0.32999999999999996</v>
      </c>
      <c r="AG6" s="121">
        <f>$M6*AF6*4</f>
        <v>2.3785612273972603E-2</v>
      </c>
      <c r="AH6" s="123">
        <f>SUM(Z6,AB6,AD6,AF6)</f>
        <v>1</v>
      </c>
      <c r="AI6" s="184">
        <f>SUM(AA6,AC6,AE6,AG6)/4</f>
        <v>1.8019403237858035E-2</v>
      </c>
      <c r="AJ6" s="120">
        <f>(AA6+AC6)/2</f>
        <v>1.2253194201743464E-2</v>
      </c>
      <c r="AK6" s="119">
        <f>(AE6+AG6)/2</f>
        <v>2.3785612273972606E-2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2.5939389788293899E-2</v>
      </c>
      <c r="J7" s="24">
        <f t="shared" si="3"/>
        <v>2.5939389788293899E-2</v>
      </c>
      <c r="K7" s="22">
        <f t="shared" si="4"/>
        <v>0.12969694894146949</v>
      </c>
      <c r="L7" s="22">
        <f t="shared" si="5"/>
        <v>2.5939389788293899E-2</v>
      </c>
      <c r="M7" s="177">
        <f t="shared" si="6"/>
        <v>2.5939389788293899E-2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1384.0703731250276</v>
      </c>
      <c r="T7" s="222">
        <f>IF($B$81=0,0,(SUMIF($N$6:$N$28,$U7,M$6:M$28)+SUMIF($N$91:$N$118,$U7,M$91:M$118))*$I$83*Poor!$B$81/$B$81)</f>
        <v>1407.5979748660873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0.1037575591531756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0.1037575591531756</v>
      </c>
      <c r="AH7" s="123">
        <f t="shared" ref="AH7:AH30" si="12">SUM(Z7,AB7,AD7,AF7)</f>
        <v>1</v>
      </c>
      <c r="AI7" s="184">
        <f t="shared" ref="AI7:AI30" si="13">SUM(AA7,AC7,AE7,AG7)/4</f>
        <v>2.5939389788293899E-2</v>
      </c>
      <c r="AJ7" s="120">
        <f t="shared" ref="AJ7:AJ31" si="14">(AA7+AC7)/2</f>
        <v>0</v>
      </c>
      <c r="AK7" s="119">
        <f t="shared" ref="AK7:AK31" si="15">(AE7+AG7)/2</f>
        <v>5.1878779576587798E-2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4737.6000000000004</v>
      </c>
      <c r="T8" s="222">
        <f>IF($B$81=0,0,(SUMIF($N$6:$N$28,$U8,M$6:M$28)+SUMIF($N$91:$N$118,$U8,M$91:M$118))*$I$83*Poor!$B$81/$B$81)</f>
        <v>4722.9461581954147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0.17459816301369865</v>
      </c>
      <c r="J9" s="24">
        <f t="shared" si="3"/>
        <v>6.2832816999760177E-2</v>
      </c>
      <c r="K9" s="22">
        <f t="shared" si="4"/>
        <v>0.20346127397260275</v>
      </c>
      <c r="L9" s="22">
        <f t="shared" si="5"/>
        <v>6.1038382191780823E-2</v>
      </c>
      <c r="M9" s="224">
        <f t="shared" si="6"/>
        <v>6.2832816999760177E-2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570.23602143335552</v>
      </c>
      <c r="T9" s="222">
        <f>IF($B$81=0,0,(SUMIF($N$6:$N$28,$U9,M$6:M$28)+SUMIF($N$91:$N$118,$U9,M$91:M$118))*$I$83*Poor!$B$81/$B$81)</f>
        <v>570.23602143335552</v>
      </c>
      <c r="U9" s="223">
        <v>3</v>
      </c>
      <c r="V9" s="56"/>
      <c r="W9" s="115"/>
      <c r="X9" s="118">
        <f>Poor!X9</f>
        <v>1</v>
      </c>
      <c r="Y9" s="184">
        <f t="shared" si="9"/>
        <v>0.25133126799904071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0.25133126799904071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6.2832816999760177E-2</v>
      </c>
      <c r="AJ9" s="120">
        <f t="shared" si="14"/>
        <v>0.12566563399952035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0.2</v>
      </c>
      <c r="H10" s="24">
        <f t="shared" si="1"/>
        <v>0.2</v>
      </c>
      <c r="I10" s="22">
        <f t="shared" si="2"/>
        <v>4.2545813200498134E-3</v>
      </c>
      <c r="J10" s="24">
        <f t="shared" si="3"/>
        <v>5.8248382475183701E-3</v>
      </c>
      <c r="K10" s="22">
        <f t="shared" si="4"/>
        <v>2.9250246575342465E-2</v>
      </c>
      <c r="L10" s="22">
        <f t="shared" si="5"/>
        <v>5.8500493150684934E-3</v>
      </c>
      <c r="M10" s="224">
        <f t="shared" si="6"/>
        <v>5.8248382475183701E-3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2.329935299007348E-2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2.329935299007348E-2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5.8248382475183701E-3</v>
      </c>
      <c r="AJ10" s="120">
        <f t="shared" si="14"/>
        <v>1.164967649503674E-2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0.2</v>
      </c>
      <c r="H11" s="24">
        <f t="shared" si="1"/>
        <v>0.2</v>
      </c>
      <c r="I11" s="22">
        <f t="shared" si="2"/>
        <v>1.2019192229140725E-2</v>
      </c>
      <c r="J11" s="24">
        <f t="shared" si="3"/>
        <v>1.2019192229140725E-2</v>
      </c>
      <c r="K11" s="22">
        <f t="shared" si="4"/>
        <v>6.0095961145703619E-2</v>
      </c>
      <c r="L11" s="22">
        <f t="shared" si="5"/>
        <v>1.2019192229140725E-2</v>
      </c>
      <c r="M11" s="224">
        <f t="shared" si="6"/>
        <v>1.2019192229140725E-2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13105.079999999998</v>
      </c>
      <c r="T11" s="222">
        <f>IF($B$81=0,0,(SUMIF($N$6:$N$28,$U11,M$6:M$28)+SUMIF($N$91:$N$118,$U11,M$91:M$118))*$I$83*Poor!$B$81/$B$81)</f>
        <v>13093.333034422958</v>
      </c>
      <c r="U11" s="223">
        <v>5</v>
      </c>
      <c r="V11" s="56"/>
      <c r="W11" s="115"/>
      <c r="X11" s="118">
        <f>Poor!X11</f>
        <v>1</v>
      </c>
      <c r="Y11" s="184">
        <f t="shared" si="9"/>
        <v>4.8076768916562901E-2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4.8076768916562901E-2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1.2019192229140725E-2</v>
      </c>
      <c r="AJ11" s="120">
        <f t="shared" si="14"/>
        <v>2.403838445828145E-2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0.2</v>
      </c>
      <c r="H12" s="24">
        <f t="shared" si="1"/>
        <v>0.2</v>
      </c>
      <c r="I12" s="22">
        <f t="shared" si="2"/>
        <v>3.7540423412204243E-3</v>
      </c>
      <c r="J12" s="24">
        <f t="shared" si="3"/>
        <v>9.830007045112056E-4</v>
      </c>
      <c r="K12" s="22">
        <f t="shared" si="4"/>
        <v>4.6925529265255299E-3</v>
      </c>
      <c r="L12" s="22">
        <f t="shared" si="5"/>
        <v>9.3851058530510607E-4</v>
      </c>
      <c r="M12" s="224">
        <f t="shared" si="6"/>
        <v>9.830007045112056E-4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3.9320028180448224E-3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2.6344418880900312E-3</v>
      </c>
      <c r="AF12" s="122">
        <f>1-SUM(Z12,AB12,AD12)</f>
        <v>0.32999999999999996</v>
      </c>
      <c r="AG12" s="121">
        <f>$M12*AF12*4</f>
        <v>1.2975609299547912E-3</v>
      </c>
      <c r="AH12" s="123">
        <f t="shared" si="12"/>
        <v>1</v>
      </c>
      <c r="AI12" s="184">
        <f t="shared" si="13"/>
        <v>9.830007045112056E-4</v>
      </c>
      <c r="AJ12" s="120">
        <f t="shared" si="14"/>
        <v>0</v>
      </c>
      <c r="AK12" s="119">
        <f t="shared" si="15"/>
        <v>1.9660014090224112E-3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0.2</v>
      </c>
      <c r="H13" s="24">
        <f t="shared" si="1"/>
        <v>0.2</v>
      </c>
      <c r="I13" s="22">
        <f t="shared" si="2"/>
        <v>2.8468154420921545E-3</v>
      </c>
      <c r="J13" s="24">
        <f t="shared" si="3"/>
        <v>2.8468154420921545E-3</v>
      </c>
      <c r="K13" s="22">
        <f t="shared" si="4"/>
        <v>1.4234077210460772E-2</v>
      </c>
      <c r="L13" s="22">
        <f t="shared" si="5"/>
        <v>2.8468154420921545E-3</v>
      </c>
      <c r="M13" s="225">
        <f t="shared" si="6"/>
        <v>2.8468154420921545E-3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1.1387261768368618E-2</v>
      </c>
      <c r="Z13" s="156">
        <f>Poor!Z13</f>
        <v>1</v>
      </c>
      <c r="AA13" s="121">
        <f>$M13*Z13*4</f>
        <v>1.1387261768368618E-2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2.8468154420921545E-3</v>
      </c>
      <c r="AJ13" s="120">
        <f t="shared" si="14"/>
        <v>5.693630884184309E-3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1.7831701120797011E-3</v>
      </c>
      <c r="J14" s="24">
        <f>IF(I$32&lt;=1+I131,I14,B14*H14+J$33*(I14-B14*H14))</f>
        <v>1.7831701120797011E-3</v>
      </c>
      <c r="K14" s="22">
        <f t="shared" si="4"/>
        <v>8.9158505603985048E-3</v>
      </c>
      <c r="L14" s="22">
        <f t="shared" si="5"/>
        <v>1.7831701120797011E-3</v>
      </c>
      <c r="M14" s="225">
        <f t="shared" si="6"/>
        <v>1.7831701120797011E-3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173318.39999999999</v>
      </c>
      <c r="T14" s="222">
        <f>IF($B$81=0,0,(SUMIF($N$6:$N$28,$U14,M$6:M$28)+SUMIF($N$91:$N$118,$U14,M$91:M$118))*$I$83*Poor!$B$81/$B$81)</f>
        <v>173318.39999999999</v>
      </c>
      <c r="U14" s="223">
        <v>8</v>
      </c>
      <c r="V14" s="56"/>
      <c r="W14" s="110"/>
      <c r="X14" s="118"/>
      <c r="Y14" s="184">
        <f>M14*4</f>
        <v>7.1326804483188046E-3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7.1326804483188046E-3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1.7831701120797011E-3</v>
      </c>
      <c r="AJ14" s="120">
        <f t="shared" si="14"/>
        <v>3.5663402241594023E-3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1.3886828293897882E-2</v>
      </c>
      <c r="J15" s="24">
        <f>IF(I$32&lt;=1+I131,I15,B15*H15+J$33*(I15-B15*H15))</f>
        <v>1.3886828293897882E-2</v>
      </c>
      <c r="K15" s="22">
        <f t="shared" si="4"/>
        <v>6.943414146948941E-2</v>
      </c>
      <c r="L15" s="22">
        <f t="shared" si="5"/>
        <v>1.3886828293897882E-2</v>
      </c>
      <c r="M15" s="226">
        <f t="shared" si="6"/>
        <v>1.3886828293897882E-2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5.5547313175591528E-2</v>
      </c>
      <c r="Z15" s="156">
        <f>Poor!Z15</f>
        <v>0.25</v>
      </c>
      <c r="AA15" s="121">
        <f t="shared" si="16"/>
        <v>1.3886828293897882E-2</v>
      </c>
      <c r="AB15" s="156">
        <f>Poor!AB15</f>
        <v>0.25</v>
      </c>
      <c r="AC15" s="121">
        <f t="shared" si="7"/>
        <v>1.3886828293897882E-2</v>
      </c>
      <c r="AD15" s="156">
        <f>Poor!AD15</f>
        <v>0.25</v>
      </c>
      <c r="AE15" s="121">
        <f t="shared" si="8"/>
        <v>1.3886828293897882E-2</v>
      </c>
      <c r="AF15" s="122">
        <f t="shared" si="10"/>
        <v>0.25</v>
      </c>
      <c r="AG15" s="121">
        <f t="shared" si="11"/>
        <v>1.3886828293897882E-2</v>
      </c>
      <c r="AH15" s="123">
        <f t="shared" si="12"/>
        <v>1</v>
      </c>
      <c r="AI15" s="184">
        <f t="shared" si="13"/>
        <v>1.3886828293897882E-2</v>
      </c>
      <c r="AJ15" s="120">
        <f t="shared" si="14"/>
        <v>1.3886828293897882E-2</v>
      </c>
      <c r="AK15" s="119">
        <f t="shared" si="15"/>
        <v>1.3886828293897882E-2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5778.2035301920314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263139.70639455842</v>
      </c>
      <c r="T23" s="179">
        <f>SUM(T7:T22)</f>
        <v>263155.03671910986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5.3881365158234794E-2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5.3881365158234794E-2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0.21552546063293918</v>
      </c>
      <c r="Z27" s="156">
        <f>Poor!Z27</f>
        <v>0.25</v>
      </c>
      <c r="AA27" s="121">
        <f t="shared" si="16"/>
        <v>5.3881365158234794E-2</v>
      </c>
      <c r="AB27" s="156">
        <f>Poor!AB27</f>
        <v>0.25</v>
      </c>
      <c r="AC27" s="121">
        <f t="shared" si="7"/>
        <v>5.3881365158234794E-2</v>
      </c>
      <c r="AD27" s="156">
        <f>Poor!AD27</f>
        <v>0.25</v>
      </c>
      <c r="AE27" s="121">
        <f t="shared" si="8"/>
        <v>5.3881365158234794E-2</v>
      </c>
      <c r="AF27" s="122">
        <f t="shared" si="10"/>
        <v>0.25</v>
      </c>
      <c r="AG27" s="121">
        <f t="shared" si="11"/>
        <v>5.3881365158234794E-2</v>
      </c>
      <c r="AH27" s="123">
        <f t="shared" si="12"/>
        <v>1</v>
      </c>
      <c r="AI27" s="184">
        <f t="shared" si="13"/>
        <v>5.3881365158234794E-2</v>
      </c>
      <c r="AJ27" s="120">
        <f t="shared" si="14"/>
        <v>5.3881365158234794E-2</v>
      </c>
      <c r="AK27" s="119">
        <f t="shared" si="15"/>
        <v>5.3881365158234794E-2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0.32149608949806796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0.32149608949806796</v>
      </c>
      <c r="N29" s="229"/>
      <c r="P29" s="22"/>
      <c r="V29" s="56"/>
      <c r="W29" s="110"/>
      <c r="X29" s="118"/>
      <c r="Y29" s="184">
        <f t="shared" si="9"/>
        <v>1.2859843579922718</v>
      </c>
      <c r="Z29" s="156">
        <f>Poor!Z29</f>
        <v>0.25</v>
      </c>
      <c r="AA29" s="121">
        <f t="shared" si="16"/>
        <v>0.32149608949806796</v>
      </c>
      <c r="AB29" s="156">
        <f>Poor!AB29</f>
        <v>0.25</v>
      </c>
      <c r="AC29" s="121">
        <f t="shared" si="7"/>
        <v>0.32149608949806796</v>
      </c>
      <c r="AD29" s="156">
        <f>Poor!AD29</f>
        <v>0.25</v>
      </c>
      <c r="AE29" s="121">
        <f t="shared" si="8"/>
        <v>0.32149608949806796</v>
      </c>
      <c r="AF29" s="122">
        <f t="shared" si="10"/>
        <v>0.25</v>
      </c>
      <c r="AG29" s="121">
        <f t="shared" si="11"/>
        <v>0.32149608949806796</v>
      </c>
      <c r="AH29" s="123">
        <f t="shared" si="12"/>
        <v>1</v>
      </c>
      <c r="AI29" s="184">
        <f t="shared" si="13"/>
        <v>0.32149608949806796</v>
      </c>
      <c r="AJ29" s="120">
        <f t="shared" si="14"/>
        <v>0.32149608949806796</v>
      </c>
      <c r="AK29" s="119">
        <f t="shared" si="15"/>
        <v>0.32149608949806796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19.067925606220008</v>
      </c>
      <c r="J30" s="231">
        <f>IF(I$32&lt;=1,I30,1-SUM(J6:J29))</f>
        <v>0.47215375695521178</v>
      </c>
      <c r="K30" s="22">
        <f t="shared" si="4"/>
        <v>0.58156372602739725</v>
      </c>
      <c r="L30" s="22">
        <f>IF(L124=L119,0,IF(K30="",0,(L119-L124)/(B119-B124)*K30))</f>
        <v>0.24906596412320084</v>
      </c>
      <c r="M30" s="175">
        <f t="shared" si="6"/>
        <v>0.47215375695521178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1.8886150278208471</v>
      </c>
      <c r="Z30" s="122">
        <f>IF($Y30=0,0,AA30/($Y$30))</f>
        <v>0.12234072822520957</v>
      </c>
      <c r="AA30" s="188">
        <f>IF(AA79*4/$I$83+SUM(AA6:AA29)&lt;1,AA79*4/$I$83,1-SUM(AA6:AA29))</f>
        <v>0.23105453784067687</v>
      </c>
      <c r="AB30" s="122">
        <f>IF($Y30=0,0,AC30/($Y$30))</f>
        <v>0.31311296039090514</v>
      </c>
      <c r="AC30" s="188">
        <f>IF(AC79*4/$I$83+SUM(AC6:AC29)&lt;1,AC79*4/$I$83,1-SUM(AC6:AC29))</f>
        <v>0.59134984239973709</v>
      </c>
      <c r="AD30" s="122">
        <f>IF($Y30=0,0,AE30/($Y$30))</f>
        <v>0.30938844300203489</v>
      </c>
      <c r="AE30" s="188">
        <f>IF(AE79*4/$I$83+SUM(AE6:AE29)&lt;1,AE79*4/$I$83,1-SUM(AE6:AE29))</f>
        <v>0.58431566288773673</v>
      </c>
      <c r="AF30" s="122">
        <f>IF($Y30=0,0,AG30/($Y$30))</f>
        <v>0.25515786838185039</v>
      </c>
      <c r="AG30" s="188">
        <f>IF(AG79*4/$I$83+SUM(AG6:AG29)&lt;1,AG79*4/$I$83,1-SUM(AG6:AG29))</f>
        <v>0.48189498469269643</v>
      </c>
      <c r="AH30" s="123">
        <f t="shared" si="12"/>
        <v>1</v>
      </c>
      <c r="AI30" s="184">
        <f t="shared" si="13"/>
        <v>0.47215375695521178</v>
      </c>
      <c r="AJ30" s="120">
        <f t="shared" si="14"/>
        <v>0.41120219012020698</v>
      </c>
      <c r="AK30" s="119">
        <f t="shared" si="15"/>
        <v>0.53310532379021658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0.22248665101170995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19.558330074701228</v>
      </c>
      <c r="J32" s="17"/>
      <c r="L32" s="22">
        <f>SUM(L6:L30)</f>
        <v>0.77751334898829005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1.5801675513915831E-2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354</v>
      </c>
      <c r="J37" s="38">
        <f>J91*I$83</f>
        <v>354</v>
      </c>
      <c r="K37" s="40">
        <f t="shared" ref="K37:K52" si="28">(B37/B$65)</f>
        <v>1.9984417213919272E-3</v>
      </c>
      <c r="L37" s="22">
        <f t="shared" ref="L37:L52" si="29">(K37*H37)</f>
        <v>1.179080615621237E-3</v>
      </c>
      <c r="M37" s="24">
        <f t="shared" ref="M37:M52" si="30">J37/B$65</f>
        <v>1.179080615621237E-3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354</v>
      </c>
      <c r="AH37" s="123">
        <f>SUM(Z37,AB37,AD37,AF37)</f>
        <v>1</v>
      </c>
      <c r="AI37" s="112">
        <f>SUM(AA37,AC37,AE37,AG37)</f>
        <v>354</v>
      </c>
      <c r="AJ37" s="148">
        <f>(AA37+AC37)</f>
        <v>0</v>
      </c>
      <c r="AK37" s="147">
        <f>(AE37+AG37)</f>
        <v>354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7080</v>
      </c>
      <c r="J38" s="38">
        <f t="shared" ref="J38:J64" si="33">J92*I$83</f>
        <v>7080.0000000000009</v>
      </c>
      <c r="K38" s="40">
        <f t="shared" si="28"/>
        <v>3.9968834427838544E-2</v>
      </c>
      <c r="L38" s="22">
        <f t="shared" si="29"/>
        <v>2.3581612312424741E-2</v>
      </c>
      <c r="M38" s="24">
        <f t="shared" si="30"/>
        <v>2.3581612312424744E-2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7080.0000000000009</v>
      </c>
      <c r="AH38" s="123">
        <f t="shared" ref="AH38:AI58" si="35">SUM(Z38,AB38,AD38,AF38)</f>
        <v>1</v>
      </c>
      <c r="AI38" s="112">
        <f t="shared" si="35"/>
        <v>7080.0000000000009</v>
      </c>
      <c r="AJ38" s="148">
        <f t="shared" ref="AJ38:AJ64" si="36">(AA38+AC38)</f>
        <v>0</v>
      </c>
      <c r="AK38" s="147">
        <f t="shared" ref="AK38:AK64" si="37">(AE38+AG38)</f>
        <v>7080.0000000000009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1858.5</v>
      </c>
      <c r="J39" s="38">
        <f t="shared" si="33"/>
        <v>2468.2108620191289</v>
      </c>
      <c r="K39" s="40">
        <f t="shared" si="28"/>
        <v>1.398909204974349E-2</v>
      </c>
      <c r="L39" s="22">
        <f t="shared" si="29"/>
        <v>8.2535643093486592E-3</v>
      </c>
      <c r="M39" s="24">
        <f t="shared" si="30"/>
        <v>8.220959273086267E-3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2468.2108620191289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2468.2108620191289</v>
      </c>
      <c r="AJ39" s="148">
        <f t="shared" si="36"/>
        <v>2468.2108620191289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531</v>
      </c>
      <c r="J40" s="38">
        <f t="shared" si="33"/>
        <v>531</v>
      </c>
      <c r="K40" s="40">
        <f t="shared" si="28"/>
        <v>2.9976625820878908E-3</v>
      </c>
      <c r="L40" s="22">
        <f t="shared" si="29"/>
        <v>1.7686209234318555E-3</v>
      </c>
      <c r="M40" s="24">
        <f t="shared" si="30"/>
        <v>1.7686209234318555E-3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531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531</v>
      </c>
      <c r="AJ40" s="148">
        <f t="shared" si="36"/>
        <v>531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477.90000000000003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477.90000000000003</v>
      </c>
      <c r="AJ41" s="148">
        <f t="shared" si="36"/>
        <v>477.90000000000003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372.02696665573984</v>
      </c>
      <c r="K42" s="40">
        <f t="shared" si="28"/>
        <v>2.9976625820878908E-3</v>
      </c>
      <c r="L42" s="22">
        <f t="shared" si="29"/>
        <v>1.259018284476914E-3</v>
      </c>
      <c r="M42" s="24">
        <f t="shared" si="30"/>
        <v>1.239123686079523E-3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93.00674166393496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186.01348332786992</v>
      </c>
      <c r="AF42" s="122">
        <f t="shared" si="31"/>
        <v>0.25</v>
      </c>
      <c r="AG42" s="147">
        <f t="shared" si="34"/>
        <v>93.00674166393496</v>
      </c>
      <c r="AH42" s="123">
        <f t="shared" si="35"/>
        <v>1</v>
      </c>
      <c r="AI42" s="112">
        <f t="shared" si="35"/>
        <v>372.02696665573984</v>
      </c>
      <c r="AJ42" s="148">
        <f t="shared" si="36"/>
        <v>93.00674166393496</v>
      </c>
      <c r="AK42" s="147">
        <f t="shared" si="37"/>
        <v>279.02022499180487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67.199999999999989</v>
      </c>
      <c r="J43" s="38">
        <f t="shared" si="33"/>
        <v>42.398202222950665</v>
      </c>
      <c r="K43" s="40">
        <f t="shared" si="28"/>
        <v>4.996104303479818E-4</v>
      </c>
      <c r="L43" s="22">
        <f t="shared" si="29"/>
        <v>1.3989092049743488E-4</v>
      </c>
      <c r="M43" s="24">
        <f t="shared" si="30"/>
        <v>1.4121722705726095E-4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10.599550555737666</v>
      </c>
      <c r="AB43" s="156">
        <f>Poor!AB43</f>
        <v>0.25</v>
      </c>
      <c r="AC43" s="147">
        <f t="shared" si="39"/>
        <v>10.599550555737666</v>
      </c>
      <c r="AD43" s="156">
        <f>Poor!AD43</f>
        <v>0.25</v>
      </c>
      <c r="AE43" s="147">
        <f t="shared" si="40"/>
        <v>10.599550555737666</v>
      </c>
      <c r="AF43" s="122">
        <f t="shared" si="31"/>
        <v>0.25</v>
      </c>
      <c r="AG43" s="147">
        <f t="shared" si="34"/>
        <v>10.599550555737666</v>
      </c>
      <c r="AH43" s="123">
        <f t="shared" si="35"/>
        <v>1</v>
      </c>
      <c r="AI43" s="112">
        <f t="shared" si="35"/>
        <v>42.398202222950665</v>
      </c>
      <c r="AJ43" s="148">
        <f t="shared" si="36"/>
        <v>21.199101111475333</v>
      </c>
      <c r="AK43" s="147">
        <f t="shared" si="37"/>
        <v>21.199101111475333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413.3632962841553</v>
      </c>
      <c r="K44" s="40">
        <f t="shared" si="28"/>
        <v>4.996104303479818E-3</v>
      </c>
      <c r="L44" s="22">
        <f t="shared" si="29"/>
        <v>1.398909204974349E-3</v>
      </c>
      <c r="M44" s="24">
        <f t="shared" si="30"/>
        <v>1.3768040956439141E-3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103.34082407103882</v>
      </c>
      <c r="AB44" s="156">
        <f>Poor!AB44</f>
        <v>0.25</v>
      </c>
      <c r="AC44" s="147">
        <f t="shared" si="39"/>
        <v>103.34082407103882</v>
      </c>
      <c r="AD44" s="156">
        <f>Poor!AD44</f>
        <v>0.25</v>
      </c>
      <c r="AE44" s="147">
        <f t="shared" si="40"/>
        <v>103.34082407103882</v>
      </c>
      <c r="AF44" s="122">
        <f t="shared" si="31"/>
        <v>0.25</v>
      </c>
      <c r="AG44" s="147">
        <f t="shared" si="34"/>
        <v>103.34082407103882</v>
      </c>
      <c r="AH44" s="123">
        <f t="shared" si="35"/>
        <v>1</v>
      </c>
      <c r="AI44" s="112">
        <f t="shared" si="35"/>
        <v>413.3632962841553</v>
      </c>
      <c r="AJ44" s="148">
        <f t="shared" si="36"/>
        <v>206.68164814207765</v>
      </c>
      <c r="AK44" s="147">
        <f t="shared" si="37"/>
        <v>206.68164814207765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41.999999999999993</v>
      </c>
      <c r="J45" s="38">
        <f t="shared" si="33"/>
        <v>41.999999999999993</v>
      </c>
      <c r="K45" s="40">
        <f t="shared" si="28"/>
        <v>4.996104303479818E-4</v>
      </c>
      <c r="L45" s="22">
        <f t="shared" si="29"/>
        <v>1.3989092049743488E-4</v>
      </c>
      <c r="M45" s="24">
        <f t="shared" si="30"/>
        <v>1.3989092049743488E-4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10.499999999999998</v>
      </c>
      <c r="AB45" s="156">
        <f>Poor!AB45</f>
        <v>0.25</v>
      </c>
      <c r="AC45" s="147">
        <f t="shared" si="39"/>
        <v>10.499999999999998</v>
      </c>
      <c r="AD45" s="156">
        <f>Poor!AD45</f>
        <v>0.25</v>
      </c>
      <c r="AE45" s="147">
        <f t="shared" si="40"/>
        <v>10.499999999999998</v>
      </c>
      <c r="AF45" s="122">
        <f t="shared" si="31"/>
        <v>0.25</v>
      </c>
      <c r="AG45" s="147">
        <f t="shared" si="34"/>
        <v>10.499999999999998</v>
      </c>
      <c r="AH45" s="123">
        <f t="shared" si="35"/>
        <v>1</v>
      </c>
      <c r="AI45" s="112">
        <f t="shared" si="35"/>
        <v>41.999999999999993</v>
      </c>
      <c r="AJ45" s="148">
        <f t="shared" si="36"/>
        <v>20.999999999999996</v>
      </c>
      <c r="AK45" s="147">
        <f t="shared" si="37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1959.9999999999998</v>
      </c>
      <c r="J46" s="38">
        <f t="shared" si="33"/>
        <v>1959.9999999999995</v>
      </c>
      <c r="K46" s="40">
        <f t="shared" si="28"/>
        <v>2.3315153416239152E-2</v>
      </c>
      <c r="L46" s="22">
        <f t="shared" si="29"/>
        <v>6.5282429565469624E-3</v>
      </c>
      <c r="M46" s="24">
        <f t="shared" si="30"/>
        <v>6.5282429565469606E-3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489.99999999999989</v>
      </c>
      <c r="AB46" s="156">
        <f>Poor!AB46</f>
        <v>0.25</v>
      </c>
      <c r="AC46" s="147">
        <f t="shared" si="39"/>
        <v>489.99999999999989</v>
      </c>
      <c r="AD46" s="156">
        <f>Poor!AD46</f>
        <v>0.25</v>
      </c>
      <c r="AE46" s="147">
        <f t="shared" si="40"/>
        <v>489.99999999999989</v>
      </c>
      <c r="AF46" s="122">
        <f t="shared" si="31"/>
        <v>0.25</v>
      </c>
      <c r="AG46" s="147">
        <f t="shared" si="34"/>
        <v>489.99999999999989</v>
      </c>
      <c r="AH46" s="123">
        <f t="shared" si="35"/>
        <v>1</v>
      </c>
      <c r="AI46" s="112">
        <f t="shared" si="35"/>
        <v>1959.9999999999995</v>
      </c>
      <c r="AJ46" s="148">
        <f t="shared" si="36"/>
        <v>979.99999999999977</v>
      </c>
      <c r="AK46" s="147">
        <f t="shared" si="37"/>
        <v>979.99999999999977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979.99999999999989</v>
      </c>
      <c r="J47" s="38">
        <f t="shared" si="33"/>
        <v>979.99999999999977</v>
      </c>
      <c r="K47" s="40">
        <f t="shared" si="28"/>
        <v>1.1657576708119576E-2</v>
      </c>
      <c r="L47" s="22">
        <f t="shared" si="29"/>
        <v>3.2641214782734812E-3</v>
      </c>
      <c r="M47" s="24">
        <f t="shared" si="30"/>
        <v>3.2641214782734803E-3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244.99999999999994</v>
      </c>
      <c r="AB47" s="156">
        <f>Poor!AB47</f>
        <v>0.25</v>
      </c>
      <c r="AC47" s="147">
        <f t="shared" si="39"/>
        <v>244.99999999999994</v>
      </c>
      <c r="AD47" s="156">
        <f>Poor!AD47</f>
        <v>0.25</v>
      </c>
      <c r="AE47" s="147">
        <f t="shared" si="40"/>
        <v>244.99999999999994</v>
      </c>
      <c r="AF47" s="122">
        <f t="shared" si="31"/>
        <v>0.25</v>
      </c>
      <c r="AG47" s="147">
        <f t="shared" si="34"/>
        <v>244.99999999999994</v>
      </c>
      <c r="AH47" s="123">
        <f t="shared" si="35"/>
        <v>1</v>
      </c>
      <c r="AI47" s="112">
        <f t="shared" si="35"/>
        <v>979.99999999999977</v>
      </c>
      <c r="AJ47" s="148">
        <f t="shared" si="36"/>
        <v>489.99999999999989</v>
      </c>
      <c r="AK47" s="147">
        <f t="shared" si="37"/>
        <v>489.99999999999989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55.999999999999993</v>
      </c>
      <c r="J48" s="38">
        <f t="shared" si="33"/>
        <v>55.999999999999986</v>
      </c>
      <c r="K48" s="40">
        <f t="shared" si="28"/>
        <v>6.6614724046397573E-4</v>
      </c>
      <c r="L48" s="22">
        <f t="shared" si="29"/>
        <v>1.8652122732991318E-4</v>
      </c>
      <c r="M48" s="24">
        <f t="shared" si="30"/>
        <v>1.8652122732991315E-4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13.999999999999996</v>
      </c>
      <c r="AB48" s="156">
        <f>Poor!AB48</f>
        <v>0.25</v>
      </c>
      <c r="AC48" s="147">
        <f t="shared" si="39"/>
        <v>13.999999999999996</v>
      </c>
      <c r="AD48" s="156">
        <f>Poor!AD48</f>
        <v>0.25</v>
      </c>
      <c r="AE48" s="147">
        <f t="shared" si="40"/>
        <v>13.999999999999996</v>
      </c>
      <c r="AF48" s="122">
        <f t="shared" si="31"/>
        <v>0.25</v>
      </c>
      <c r="AG48" s="147">
        <f t="shared" si="34"/>
        <v>13.999999999999996</v>
      </c>
      <c r="AH48" s="123">
        <f t="shared" si="35"/>
        <v>1</v>
      </c>
      <c r="AI48" s="112">
        <f t="shared" si="35"/>
        <v>55.999999999999986</v>
      </c>
      <c r="AJ48" s="148">
        <f t="shared" si="36"/>
        <v>27.999999999999993</v>
      </c>
      <c r="AK48" s="147">
        <f t="shared" si="37"/>
        <v>27.999999999999993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69.999999999999986</v>
      </c>
      <c r="J49" s="38">
        <f t="shared" si="33"/>
        <v>70</v>
      </c>
      <c r="K49" s="40">
        <f t="shared" si="28"/>
        <v>8.3268405057996967E-4</v>
      </c>
      <c r="L49" s="22">
        <f t="shared" si="29"/>
        <v>2.3315153416239147E-4</v>
      </c>
      <c r="M49" s="24">
        <f t="shared" si="30"/>
        <v>2.331515341623915E-4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17.5</v>
      </c>
      <c r="AB49" s="156">
        <f>Poor!AB49</f>
        <v>0.25</v>
      </c>
      <c r="AC49" s="147">
        <f t="shared" si="39"/>
        <v>17.5</v>
      </c>
      <c r="AD49" s="156">
        <f>Poor!AD49</f>
        <v>0.25</v>
      </c>
      <c r="AE49" s="147">
        <f t="shared" si="40"/>
        <v>17.5</v>
      </c>
      <c r="AF49" s="122">
        <f t="shared" si="31"/>
        <v>0.25</v>
      </c>
      <c r="AG49" s="147">
        <f t="shared" si="34"/>
        <v>17.5</v>
      </c>
      <c r="AH49" s="123">
        <f t="shared" si="35"/>
        <v>1</v>
      </c>
      <c r="AI49" s="112">
        <f t="shared" si="35"/>
        <v>70</v>
      </c>
      <c r="AJ49" s="148">
        <f t="shared" si="36"/>
        <v>35</v>
      </c>
      <c r="AK49" s="147">
        <f t="shared" si="37"/>
        <v>35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0.5</v>
      </c>
      <c r="F52" s="75">
        <f>Middle!F52</f>
        <v>1.1100000000000001</v>
      </c>
      <c r="G52" s="22">
        <f t="shared" si="32"/>
        <v>1.65</v>
      </c>
      <c r="H52" s="24">
        <f t="shared" si="26"/>
        <v>0.55500000000000005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0.6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0.70799999999999996</v>
      </c>
      <c r="I53" s="39">
        <f t="shared" ref="I53:I64" si="42">D53*H53</f>
        <v>144432</v>
      </c>
      <c r="J53" s="38">
        <f t="shared" si="33"/>
        <v>144432</v>
      </c>
      <c r="K53" s="40">
        <f t="shared" ref="K53:K64" si="43">(B53/B$65)</f>
        <v>0.67947018527325531</v>
      </c>
      <c r="L53" s="22">
        <f t="shared" ref="L53:L64" si="44">(K53*H53)</f>
        <v>0.48106489117346474</v>
      </c>
      <c r="M53" s="24">
        <f t="shared" ref="M53:M64" si="45">J53/B$65</f>
        <v>0.48106489117346474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4815.1696084933592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1.6038059735319268E-2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0</v>
      </c>
      <c r="F56" s="75">
        <f>Middle!F56</f>
        <v>1.18</v>
      </c>
      <c r="G56" s="22">
        <f t="shared" si="32"/>
        <v>1.65</v>
      </c>
      <c r="H56" s="24">
        <f t="shared" si="41"/>
        <v>0</v>
      </c>
      <c r="I56" s="39">
        <f t="shared" si="42"/>
        <v>0</v>
      </c>
      <c r="J56" s="38">
        <f t="shared" si="33"/>
        <v>0</v>
      </c>
      <c r="K56" s="40">
        <f t="shared" si="43"/>
        <v>2.6908764811235799E-2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217222.2</v>
      </c>
      <c r="J65" s="39">
        <f>SUM(J37:J64)</f>
        <v>217647.66893567535</v>
      </c>
      <c r="K65" s="40">
        <f>SUM(K37:K64)</f>
        <v>1</v>
      </c>
      <c r="L65" s="22">
        <f>SUM(L37:L64)</f>
        <v>0.72494972274783198</v>
      </c>
      <c r="M65" s="24">
        <f>SUM(M37:M64)</f>
        <v>0.72492697027458552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14451.057978309842</v>
      </c>
      <c r="AB65" s="137"/>
      <c r="AC65" s="153">
        <f>SUM(AC37:AC64)</f>
        <v>10880.940374626778</v>
      </c>
      <c r="AD65" s="137"/>
      <c r="AE65" s="153">
        <f>SUM(AE37:AE64)</f>
        <v>11066.953857954648</v>
      </c>
      <c r="AF65" s="137"/>
      <c r="AG65" s="153">
        <f>SUM(AG37:AG64)</f>
        <v>18407.947116290714</v>
      </c>
      <c r="AH65" s="137"/>
      <c r="AI65" s="153">
        <f>SUM(AI37:AI64)</f>
        <v>54806.899327181978</v>
      </c>
      <c r="AJ65" s="153">
        <f>SUM(AJ37:AJ64)</f>
        <v>25331.998352936622</v>
      </c>
      <c r="AK65" s="153">
        <f>SUM(AK37:AK64)</f>
        <v>29474.900974245364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206125.20056016653</v>
      </c>
      <c r="J74" s="51">
        <f>J128*I$83</f>
        <v>5104.0050112153885</v>
      </c>
      <c r="K74" s="40">
        <f>B74/B$76</f>
        <v>1.26905734201907E-2</v>
      </c>
      <c r="L74" s="22">
        <f>(L128*G$37*F$9/F$7)/B$130</f>
        <v>8.9677246163816157E-3</v>
      </c>
      <c r="M74" s="24">
        <f>J74/B$76</f>
        <v>1.7000094267677172E-2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624.42768993720961</v>
      </c>
      <c r="AB74" s="156"/>
      <c r="AC74" s="147">
        <f>AC30*$I$83/4</f>
        <v>1598.1301189116652</v>
      </c>
      <c r="AD74" s="156"/>
      <c r="AE74" s="147">
        <f>AE30*$I$83/4</f>
        <v>1579.1201634945128</v>
      </c>
      <c r="AF74" s="156"/>
      <c r="AG74" s="147">
        <f>AG30*$I$83/4</f>
        <v>1302.3270388720009</v>
      </c>
      <c r="AH74" s="155"/>
      <c r="AI74" s="147">
        <f>SUM(AA74,AC74,AE74,AG74)</f>
        <v>5104.0050112153885</v>
      </c>
      <c r="AJ74" s="148">
        <f>(AA74+AC74)</f>
        <v>2222.5578088488746</v>
      </c>
      <c r="AK74" s="147">
        <f>(AE74+AG74)</f>
        <v>2881.4472023665139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117499.4978179598</v>
      </c>
      <c r="K75" s="40">
        <f>B75/B$76</f>
        <v>0.72395446065450009</v>
      </c>
      <c r="L75" s="22">
        <f>(L129*G$37*F$9/F$7)/B$130</f>
        <v>0.39941495326122645</v>
      </c>
      <c r="M75" s="24">
        <f>J75/B$76</f>
        <v>0.39135983113668427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11052.380428414268</v>
      </c>
      <c r="AB75" s="158"/>
      <c r="AC75" s="149">
        <f>AA75+AC65-SUM(AC70,AC74)</f>
        <v>17560.940824171015</v>
      </c>
      <c r="AD75" s="158"/>
      <c r="AE75" s="149">
        <f>AC75+AE65-SUM(AE70,AE74)</f>
        <v>24274.524658672784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38605.894876133141</v>
      </c>
      <c r="AJ75" s="151">
        <f>AJ76-SUM(AJ70,AJ74)</f>
        <v>17560.940824171019</v>
      </c>
      <c r="AK75" s="149">
        <f>AJ75+AK76-SUM(AK70,AK74)</f>
        <v>38605.894876133141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217222.19999999998</v>
      </c>
      <c r="J76" s="51">
        <f>J130*I$83</f>
        <v>217647.66893567532</v>
      </c>
      <c r="K76" s="40">
        <f>SUM(K70:K75)</f>
        <v>0.90648402989286547</v>
      </c>
      <c r="L76" s="22">
        <f>SUM(L70:L75)</f>
        <v>0.61460087802141339</v>
      </c>
      <c r="M76" s="24">
        <f>SUM(M70:M75)</f>
        <v>0.61457812554816682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14451.057978309842</v>
      </c>
      <c r="AB76" s="137"/>
      <c r="AC76" s="153">
        <f>AC65</f>
        <v>10880.940374626778</v>
      </c>
      <c r="AD76" s="137"/>
      <c r="AE76" s="153">
        <f>AE65</f>
        <v>11066.953857954648</v>
      </c>
      <c r="AF76" s="137"/>
      <c r="AG76" s="153">
        <f>AG65</f>
        <v>18407.947116290714</v>
      </c>
      <c r="AH76" s="137"/>
      <c r="AI76" s="153">
        <f>SUM(AA76,AC76,AE76,AG76)</f>
        <v>54806.899327181985</v>
      </c>
      <c r="AJ76" s="154">
        <f>SUM(AA76,AC76)</f>
        <v>25331.998352936622</v>
      </c>
      <c r="AK76" s="154">
        <f>SUM(AE76,AG76)</f>
        <v>29474.900974245364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12669.266666666663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11052.380428414268</v>
      </c>
      <c r="AD78" s="112"/>
      <c r="AE78" s="112">
        <f>AC75</f>
        <v>17560.940824171015</v>
      </c>
      <c r="AF78" s="112"/>
      <c r="AG78" s="112">
        <f>AE75</f>
        <v>24274.524658672784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11676.808118351477</v>
      </c>
      <c r="AB79" s="112"/>
      <c r="AC79" s="112">
        <f>AA79-AA74+AC65-AC70</f>
        <v>19159.070943082683</v>
      </c>
      <c r="AD79" s="112"/>
      <c r="AE79" s="112">
        <f>AC79-AC74+AE65-AE70</f>
        <v>25853.644822167305</v>
      </c>
      <c r="AF79" s="112"/>
      <c r="AG79" s="112">
        <f>AE79-AE74+AG65-AG70</f>
        <v>39908.221915005139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0.3575757575757576</v>
      </c>
      <c r="I91" s="22">
        <f t="shared" ref="I91" si="52">(D91*H91)</f>
        <v>3.274730914152145E-2</v>
      </c>
      <c r="J91" s="24">
        <f>IF(I$32&lt;=1+I$131,I91,L91+J$33*(I91-L91))</f>
        <v>3.274730914152145E-2</v>
      </c>
      <c r="K91" s="22">
        <f t="shared" ref="K91" si="53">(B91)</f>
        <v>9.1581457768661667E-2</v>
      </c>
      <c r="L91" s="22">
        <f t="shared" ref="L91" si="54">(K91*H91)</f>
        <v>3.274730914152145E-2</v>
      </c>
      <c r="M91" s="227">
        <f t="shared" si="50"/>
        <v>3.274730914152145E-2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0.3575757575757576</v>
      </c>
      <c r="I92" s="22">
        <f t="shared" ref="I92:I118" si="59">(D92*H92)</f>
        <v>0.65494618283042905</v>
      </c>
      <c r="J92" s="24">
        <f t="shared" ref="J92:J118" si="60">IF(I$32&lt;=1+I$131,I92,L92+J$33*(I92-L92))</f>
        <v>0.65494618283042905</v>
      </c>
      <c r="K92" s="22">
        <f t="shared" ref="K92:K118" si="61">(B92)</f>
        <v>1.8316291553732336</v>
      </c>
      <c r="L92" s="22">
        <f t="shared" ref="L92:L118" si="62">(K92*H92)</f>
        <v>0.65494618283042905</v>
      </c>
      <c r="M92" s="227">
        <f t="shared" ref="M92:M118" si="63">(J92)</f>
        <v>0.65494618283042905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0.3575757575757576</v>
      </c>
      <c r="I93" s="22">
        <f t="shared" si="59"/>
        <v>0.1719233729929876</v>
      </c>
      <c r="J93" s="24">
        <f t="shared" si="60"/>
        <v>0.22832560487288575</v>
      </c>
      <c r="K93" s="22">
        <f t="shared" si="61"/>
        <v>0.64107020438063167</v>
      </c>
      <c r="L93" s="22">
        <f t="shared" si="62"/>
        <v>0.22923116399065013</v>
      </c>
      <c r="M93" s="227">
        <f t="shared" si="63"/>
        <v>0.22832560487288575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0.3575757575757576</v>
      </c>
      <c r="I94" s="22">
        <f t="shared" si="59"/>
        <v>4.9120963712282167E-2</v>
      </c>
      <c r="J94" s="24">
        <f t="shared" si="60"/>
        <v>4.9120963712282167E-2</v>
      </c>
      <c r="K94" s="22">
        <f t="shared" si="61"/>
        <v>0.1373721866529925</v>
      </c>
      <c r="L94" s="22">
        <f t="shared" si="62"/>
        <v>4.9120963712282167E-2</v>
      </c>
      <c r="M94" s="227">
        <f t="shared" si="63"/>
        <v>4.9120963712282167E-2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3.4414921147056507E-2</v>
      </c>
      <c r="K96" s="22">
        <f t="shared" si="61"/>
        <v>0.1373721866529925</v>
      </c>
      <c r="L96" s="22">
        <f t="shared" si="62"/>
        <v>3.4967465693489005E-2</v>
      </c>
      <c r="M96" s="227">
        <f t="shared" si="63"/>
        <v>3.4414921147056507E-2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0.16969696969696968</v>
      </c>
      <c r="I97" s="22">
        <f t="shared" si="59"/>
        <v>6.2164383455091546E-3</v>
      </c>
      <c r="J97" s="24">
        <f t="shared" si="60"/>
        <v>3.9221102690387213E-3</v>
      </c>
      <c r="K97" s="22">
        <f t="shared" si="61"/>
        <v>2.2895364442165417E-2</v>
      </c>
      <c r="L97" s="22">
        <f t="shared" si="62"/>
        <v>3.885273965943222E-3</v>
      </c>
      <c r="M97" s="227">
        <f t="shared" si="63"/>
        <v>3.9221102690387213E-3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3.8238801274507225E-2</v>
      </c>
      <c r="K98" s="22">
        <f t="shared" si="61"/>
        <v>0.2289536444216542</v>
      </c>
      <c r="L98" s="22">
        <f t="shared" si="62"/>
        <v>3.8852739659432221E-2</v>
      </c>
      <c r="M98" s="227">
        <f t="shared" si="63"/>
        <v>3.8238801274507225E-2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0.16969696969696968</v>
      </c>
      <c r="I99" s="22">
        <f t="shared" si="59"/>
        <v>3.885273965943222E-3</v>
      </c>
      <c r="J99" s="24">
        <f t="shared" si="60"/>
        <v>3.885273965943222E-3</v>
      </c>
      <c r="K99" s="22">
        <f t="shared" si="61"/>
        <v>2.2895364442165417E-2</v>
      </c>
      <c r="L99" s="22">
        <f t="shared" si="62"/>
        <v>3.885273965943222E-3</v>
      </c>
      <c r="M99" s="227">
        <f t="shared" si="63"/>
        <v>3.885273965943222E-3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0.16969696969696968</v>
      </c>
      <c r="I100" s="22">
        <f t="shared" si="59"/>
        <v>0.18131278507735035</v>
      </c>
      <c r="J100" s="24">
        <f t="shared" si="60"/>
        <v>0.18131278507735035</v>
      </c>
      <c r="K100" s="22">
        <f t="shared" si="61"/>
        <v>1.0684503406343862</v>
      </c>
      <c r="L100" s="22">
        <f t="shared" si="62"/>
        <v>0.18131278507735035</v>
      </c>
      <c r="M100" s="227">
        <f t="shared" si="63"/>
        <v>0.18131278507735035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0.16969696969696968</v>
      </c>
      <c r="I101" s="22">
        <f t="shared" si="59"/>
        <v>9.0656392538675176E-2</v>
      </c>
      <c r="J101" s="24">
        <f t="shared" si="60"/>
        <v>9.0656392538675176E-2</v>
      </c>
      <c r="K101" s="22">
        <f t="shared" si="61"/>
        <v>0.53422517031719308</v>
      </c>
      <c r="L101" s="22">
        <f t="shared" si="62"/>
        <v>9.0656392538675176E-2</v>
      </c>
      <c r="M101" s="227">
        <f t="shared" si="63"/>
        <v>9.0656392538675176E-2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0.16969696969696968</v>
      </c>
      <c r="I102" s="22">
        <f t="shared" si="59"/>
        <v>5.1803652879242957E-3</v>
      </c>
      <c r="J102" s="24">
        <f t="shared" si="60"/>
        <v>5.1803652879242957E-3</v>
      </c>
      <c r="K102" s="22">
        <f t="shared" si="61"/>
        <v>3.052715258955389E-2</v>
      </c>
      <c r="L102" s="22">
        <f t="shared" si="62"/>
        <v>5.1803652879242957E-3</v>
      </c>
      <c r="M102" s="227">
        <f t="shared" si="63"/>
        <v>5.1803652879242957E-3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0.16969696969696968</v>
      </c>
      <c r="I103" s="22">
        <f t="shared" si="59"/>
        <v>6.4754566099053702E-3</v>
      </c>
      <c r="J103" s="24">
        <f t="shared" si="60"/>
        <v>6.4754566099053702E-3</v>
      </c>
      <c r="K103" s="22">
        <f t="shared" si="61"/>
        <v>3.8158940736942364E-2</v>
      </c>
      <c r="L103" s="22">
        <f t="shared" si="62"/>
        <v>6.4754566099053702E-3</v>
      </c>
      <c r="M103" s="227">
        <f t="shared" si="63"/>
        <v>6.4754566099053702E-3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0.33636363636363642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0.42909090909090908</v>
      </c>
      <c r="I107" s="22">
        <f t="shared" si="59"/>
        <v>13.360902129740749</v>
      </c>
      <c r="J107" s="24">
        <f t="shared" si="60"/>
        <v>13.360902129740749</v>
      </c>
      <c r="K107" s="22">
        <f t="shared" si="61"/>
        <v>31.137695641344969</v>
      </c>
      <c r="L107" s="22">
        <f t="shared" si="62"/>
        <v>13.360902129740749</v>
      </c>
      <c r="M107" s="227">
        <f t="shared" si="63"/>
        <v>13.360902129740749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0.44543459813048258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0.44543459813048258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</v>
      </c>
      <c r="I110" s="22">
        <f t="shared" si="59"/>
        <v>0</v>
      </c>
      <c r="J110" s="24">
        <f t="shared" si="60"/>
        <v>0</v>
      </c>
      <c r="K110" s="22">
        <f t="shared" si="61"/>
        <v>1.2331327362654385</v>
      </c>
      <c r="L110" s="22">
        <f t="shared" si="62"/>
        <v>0</v>
      </c>
      <c r="M110" s="227">
        <f t="shared" si="63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20.094470440116947</v>
      </c>
      <c r="J119" s="24">
        <f>SUM(J91:J118)</f>
        <v>20.133829092000209</v>
      </c>
      <c r="K119" s="22">
        <f>SUM(K91:K118)</f>
        <v>45.826434060271026</v>
      </c>
      <c r="L119" s="22">
        <f>SUM(L91:L118)</f>
        <v>20.134461010009264</v>
      </c>
      <c r="M119" s="57">
        <f t="shared" si="50"/>
        <v>20.133829092000209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19.067925606220008</v>
      </c>
      <c r="J128" s="228">
        <f>(J30)</f>
        <v>0.47215375695521178</v>
      </c>
      <c r="K128" s="22">
        <f>(B128)</f>
        <v>0.58156372602739725</v>
      </c>
      <c r="L128" s="22">
        <f>IF(L124=L119,0,(L119-L124)/(B119-B124)*K128)</f>
        <v>0.24906596412320084</v>
      </c>
      <c r="M128" s="57">
        <f t="shared" si="90"/>
        <v>0.47215375695521178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10.869469997226707</v>
      </c>
      <c r="K129" s="29">
        <f>(B129)</f>
        <v>33.176251353822522</v>
      </c>
      <c r="L129" s="60">
        <f>IF(SUM(L124:L128)&gt;L130,0,L130-SUM(L124:L128))</f>
        <v>11.093189708067774</v>
      </c>
      <c r="M129" s="57">
        <f t="shared" si="90"/>
        <v>10.869469997226707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20.094470440116947</v>
      </c>
      <c r="J130" s="228">
        <f>(J119)</f>
        <v>20.133829092000209</v>
      </c>
      <c r="K130" s="22">
        <f>(B130)</f>
        <v>45.826434060271026</v>
      </c>
      <c r="L130" s="22">
        <f>(L119)</f>
        <v>20.134461010009264</v>
      </c>
      <c r="M130" s="57">
        <f t="shared" si="90"/>
        <v>20.133829092000209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1.1719898082760061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561.38322443112236</v>
      </c>
      <c r="G72" s="109">
        <f>Poor!T7</f>
        <v>859.75218290399573</v>
      </c>
      <c r="H72" s="109">
        <f>Middle!T7</f>
        <v>885.57208578410291</v>
      </c>
      <c r="I72" s="109">
        <f>Rich!T7</f>
        <v>1407.5979748660873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41.999999999999993</v>
      </c>
      <c r="I73" s="109">
        <f>Rich!T8</f>
        <v>4722.9461581954147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30.64739618218351</v>
      </c>
      <c r="H74" s="109">
        <f>Middle!T9</f>
        <v>334.99365371734746</v>
      </c>
      <c r="I74" s="109">
        <f>Rich!T9</f>
        <v>570.23602143335552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454.29999999999995</v>
      </c>
      <c r="G76" s="109">
        <f>Poor!T11</f>
        <v>1767.64</v>
      </c>
      <c r="H76" s="109">
        <f>Middle!T11</f>
        <v>5177.1522862082875</v>
      </c>
      <c r="I76" s="109">
        <f>Rich!T11</f>
        <v>13093.333034422958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948.5442690890826</v>
      </c>
      <c r="G77" s="109">
        <f>Poor!T12</f>
        <v>948.5442690890826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3335.5500000000006</v>
      </c>
      <c r="G78" s="109">
        <f>Poor!T13</f>
        <v>6687.7500000000009</v>
      </c>
      <c r="H78" s="109">
        <f>Middle!T13</f>
        <v>1019.4234608937803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25488</v>
      </c>
      <c r="I79" s="109">
        <f>Rich!T14</f>
        <v>173318.39999999999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3455.9999999999995</v>
      </c>
      <c r="G81" s="109">
        <f>Poor!T16</f>
        <v>3935.9999999999986</v>
      </c>
      <c r="H81" s="109">
        <f>Middle!T16</f>
        <v>3167.7274424018119</v>
      </c>
      <c r="I81" s="109">
        <f>Rich!T16</f>
        <v>5778.2035301920314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12948.666873950338</v>
      </c>
      <c r="G88" s="109">
        <f>Poor!T23</f>
        <v>20740.418847787063</v>
      </c>
      <c r="H88" s="109">
        <f>Middle!T23</f>
        <v>69551.668929005333</v>
      </c>
      <c r="I88" s="109">
        <f>Rich!T23</f>
        <v>263155.03671910986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10421.472564372905</v>
      </c>
      <c r="G98" s="239">
        <f t="shared" si="0"/>
        <v>2629.7205905361807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25624.592564372906</v>
      </c>
      <c r="G99" s="239">
        <f t="shared" si="0"/>
        <v>17832.84059053618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50178.032564372908</v>
      </c>
      <c r="G100" s="239">
        <f t="shared" si="0"/>
        <v>42386.280590536182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2016-06-02T07:48:59Z</dcterms:modified>
  <cp:category/>
</cp:coreProperties>
</file>