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7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<sst xmlns="http://schemas.openxmlformats.org/spreadsheetml/2006/main" count="790" uniqueCount="146">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</sst>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0.0106491973231352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0.251266987796699</c:v>
                </c:pt>
                <c:pt idx="2" formatCode="0.0%">
                  <c:v>0.528272758557556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936760"/>
        <c:axId val="1817940056"/>
      </c:barChart>
      <c:catAx>
        <c:axId val="181793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4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94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3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0.00861707727392039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5.65190190758358E-5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5.65190190758358E-5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0.000180860861042675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0.270266849926091</c:v>
                </c:pt>
                <c:pt idx="2">
                  <c:v>0.270266849926091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687256"/>
        <c:axId val="1829690280"/>
      </c:barChart>
      <c:catAx>
        <c:axId val="182968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6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8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038520"/>
        <c:axId val="1829035384"/>
      </c:barChart>
      <c:catAx>
        <c:axId val="182903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03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8894808"/>
        <c:axId val="1828891672"/>
      </c:barChart>
      <c:catAx>
        <c:axId val="182889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89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714.7025915090678</c:v>
                </c:pt>
                <c:pt idx="4">
                  <c:v>953.8868223376582</c:v>
                </c:pt>
                <c:pt idx="5">
                  <c:v>828.0635944900171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25.90408103276159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8850.93283830776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1076.220527139879</c:v>
                </c:pt>
                <c:pt idx="4">
                  <c:v>761.586238116953</c:v>
                </c:pt>
                <c:pt idx="5">
                  <c:v>250.84231185435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23821.16571428571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768520"/>
        <c:axId val="1828765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68520"/>
        <c:axId val="1828765128"/>
      </c:lineChart>
      <c:catAx>
        <c:axId val="18287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76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233784"/>
        <c:axId val="18302370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33784"/>
        <c:axId val="1830237016"/>
      </c:lineChart>
      <c:catAx>
        <c:axId val="18302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3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323608"/>
        <c:axId val="1830326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23608"/>
        <c:axId val="1830326888"/>
      </c:lineChart>
      <c:catAx>
        <c:axId val="1830323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2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0.0895737969549581</c:v>
                </c:pt>
                <c:pt idx="2">
                  <c:v>0.188323174591309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-0.116875853826595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391864"/>
        <c:axId val="1830395240"/>
      </c:barChart>
      <c:catAx>
        <c:axId val="18303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9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0.0331499549000496</c:v>
                </c:pt>
                <c:pt idx="2">
                  <c:v>0.0830069477592933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0.186692513954445</c:v>
                </c:pt>
                <c:pt idx="2">
                  <c:v>0.138389322921178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0.0331499549000496</c:v>
                </c:pt>
                <c:pt idx="2">
                  <c:v>0.0830069477592933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-0.0218727895041439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53720"/>
        <c:axId val="1830457128"/>
      </c:barChart>
      <c:catAx>
        <c:axId val="18304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08968"/>
        <c:axId val="1830512472"/>
      </c:barChart>
      <c:catAx>
        <c:axId val="183050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1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1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0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0.412279819413022</c:v>
                </c:pt>
                <c:pt idx="2">
                  <c:v>0.360732708805508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0.117862877435178</c:v>
                </c:pt>
                <c:pt idx="2">
                  <c:v>0.24621441941219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-0.419571215434441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69928"/>
        <c:axId val="1830573304"/>
      </c:barChart>
      <c:catAx>
        <c:axId val="18305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7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6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0.00125376435545301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0.000212523774517594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0.00226363520366262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0.0164703818705143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0.0591367406021855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0.218578567423922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0.191847456722644</c:v>
                </c:pt>
                <c:pt idx="2" formatCode="0.0%">
                  <c:v>0.480382910503024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225656"/>
        <c:axId val="1819228968"/>
      </c:barChart>
      <c:catAx>
        <c:axId val="181922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49544"/>
        <c:axId val="18307529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49544"/>
        <c:axId val="18307529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49544"/>
        <c:axId val="1830752968"/>
      </c:scatterChart>
      <c:catAx>
        <c:axId val="1830749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5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75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495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115000"/>
        <c:axId val="18301116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5000"/>
        <c:axId val="1830111608"/>
      </c:lineChart>
      <c:catAx>
        <c:axId val="1830115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1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111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5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34392"/>
        <c:axId val="1829931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27432"/>
        <c:axId val="1829924536"/>
      </c:scatterChart>
      <c:valAx>
        <c:axId val="1829934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1048"/>
        <c:crosses val="autoZero"/>
        <c:crossBetween val="midCat"/>
      </c:valAx>
      <c:valAx>
        <c:axId val="1829931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4392"/>
        <c:crosses val="autoZero"/>
        <c:crossBetween val="midCat"/>
      </c:valAx>
      <c:valAx>
        <c:axId val="1829927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9924536"/>
        <c:crosses val="autoZero"/>
        <c:crossBetween val="midCat"/>
      </c:valAx>
      <c:valAx>
        <c:axId val="1829924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27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4200"/>
        <c:axId val="1829838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844200"/>
        <c:axId val="1829838440"/>
      </c:lineChart>
      <c:catAx>
        <c:axId val="182984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38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838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44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539944"/>
        <c:axId val="1818536584"/>
      </c:barChart>
      <c:catAx>
        <c:axId val="18185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53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0.000299270729837266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0.0116297872457597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0.266365615201263</c:v>
                </c:pt>
                <c:pt idx="2">
                  <c:v>0.556435212895755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408888"/>
        <c:axId val="1818405528"/>
      </c:barChart>
      <c:catAx>
        <c:axId val="181840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4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0.339015800569045</c:v>
                </c:pt>
                <c:pt idx="1">
                  <c:v>0.547345103442816</c:v>
                </c:pt>
                <c:pt idx="2">
                  <c:v>0.545740005912116</c:v>
                </c:pt>
                <c:pt idx="3">
                  <c:v>0.680990124306248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314232"/>
        <c:axId val="1818310840"/>
      </c:barChart>
      <c:catAx>
        <c:axId val="181831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831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0.441934661285424</c:v>
                </c:pt>
                <c:pt idx="1">
                  <c:v>0.621448204664419</c:v>
                </c:pt>
                <c:pt idx="2">
                  <c:v>0.614678023929675</c:v>
                </c:pt>
                <c:pt idx="3">
                  <c:v>0.599463072808878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142488"/>
        <c:axId val="1829145864"/>
      </c:barChart>
      <c:catAx>
        <c:axId val="182914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5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1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0.00336008847261406</c:v>
                </c:pt>
                <c:pt idx="3">
                  <c:v>0.00165496894919797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0.000850095098070376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0.00266294045358871</c:v>
                </c:pt>
                <c:pt idx="1">
                  <c:v>0.00159812645378581</c:v>
                </c:pt>
                <c:pt idx="2">
                  <c:v>0.00213053345368726</c:v>
                </c:pt>
                <c:pt idx="3">
                  <c:v>0.00266294045358871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0.218578567423922</c:v>
                </c:pt>
                <c:pt idx="1">
                  <c:v>0.218578567423922</c:v>
                </c:pt>
                <c:pt idx="2">
                  <c:v>0.218578567423922</c:v>
                </c:pt>
                <c:pt idx="3">
                  <c:v>0.218578567423922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0.406625634186157</c:v>
                </c:pt>
                <c:pt idx="1">
                  <c:v>0.524000784662269</c:v>
                </c:pt>
                <c:pt idx="2">
                  <c:v>0.546760202173209</c:v>
                </c:pt>
                <c:pt idx="3">
                  <c:v>0.510026548472519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252856"/>
        <c:axId val="1829256232"/>
      </c:barChart>
      <c:catAx>
        <c:axId val="1829252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25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358712"/>
        <c:axId val="1829362088"/>
      </c:barChart>
      <c:catAx>
        <c:axId val="182935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6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3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5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542184"/>
        <c:axId val="1829545240"/>
      </c:barChart>
      <c:catAx>
        <c:axId val="18295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54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714.70259150906782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1049.5261084479505</v>
      </c>
      <c r="T12" s="225">
        <f>IF($B$81=0,0,(SUMIF($N$6:$N$28,$U12,M$6:M$28)+SUMIF($N$91:$N$118,$U12,M$91:M$118))*$I$83*Poor!$B$81/$B$81)</f>
        <v>1076.2205271398793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2.9927072983726606E-4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2.9927072983726606E-4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1.1629787245759731E-2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1.1629787245759731E-2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39178.470517317386</v>
      </c>
      <c r="T23" s="179">
        <f>SUM(T7:T22)</f>
        <v>37431.472319286579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0.81524218647251878</v>
      </c>
      <c r="J30" s="234">
        <f>IF(I$32&lt;=1,I30,1-SUM(J6:J29))</f>
        <v>0.55643521289575471</v>
      </c>
      <c r="K30" s="22">
        <f t="shared" si="4"/>
        <v>0.58637945846824402</v>
      </c>
      <c r="L30" s="22">
        <f>IF(L124=L119,0,IF(K30="",0,(L119-L124)/(B119-B124)*K30))</f>
        <v>0.26636561520126301</v>
      </c>
      <c r="M30" s="23">
        <f t="shared" si="6"/>
        <v>0.55643521289575471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2.2257408515830188</v>
      </c>
      <c r="Z30" s="122">
        <f>IF($Y30=0,0,AA30/($Y$30))</f>
        <v>0.19855620701354598</v>
      </c>
      <c r="AA30" s="188">
        <f>IF(AA79*4/$I$83+SUM(AA6:AA29)&lt;1,AA79*4/$I$83,1-SUM(AA6:AA29))</f>
        <v>0.44193466128542402</v>
      </c>
      <c r="AB30" s="122">
        <f>IF($Y30=0,0,AC30/($Y$30))</f>
        <v>0.27920959631145981</v>
      </c>
      <c r="AC30" s="188">
        <f>IF(AC79*4/$I$83+SUM(AC6:AC29)&lt;1,AC79*4/$I$83,1-SUM(AC6:AC29))</f>
        <v>0.62144820466441941</v>
      </c>
      <c r="AD30" s="122">
        <f>IF($Y30=0,0,AE30/($Y$30))</f>
        <v>0.27616783126054217</v>
      </c>
      <c r="AE30" s="188">
        <f>IF(AE79*4/$I$83+SUM(AE6:AE29)&lt;1,AE79*4/$I$83,1-SUM(AE6:AE29))</f>
        <v>0.61467802392967463</v>
      </c>
      <c r="AF30" s="122">
        <f>IF($Y30=0,0,AG30/($Y$30))</f>
        <v>0.26933192711205356</v>
      </c>
      <c r="AG30" s="188">
        <f>IF(AG79*4/$I$83+SUM(AG6:AG29)&lt;1,AG79*4/$I$83,1-SUM(AG6:AG29))</f>
        <v>0.59946307280887767</v>
      </c>
      <c r="AH30" s="123">
        <f t="shared" si="12"/>
        <v>1.0232655616976016</v>
      </c>
      <c r="AI30" s="184">
        <f t="shared" si="13"/>
        <v>0.56938099067209891</v>
      </c>
      <c r="AJ30" s="120">
        <f t="shared" si="14"/>
        <v>0.53169143297492172</v>
      </c>
      <c r="AK30" s="119">
        <f t="shared" si="15"/>
        <v>0.60707054836927621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0.31448782282503718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12694.223466007221</v>
      </c>
      <c r="T31" s="237">
        <f>IF(T25&gt;T$23,T25-T$23,0)</f>
        <v>14441.221664038028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1.2595370843433837</v>
      </c>
      <c r="J32" s="17"/>
      <c r="L32" s="22">
        <f>SUM(L6:L30)</f>
        <v>0.68551217717496282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45432.143466007226</v>
      </c>
      <c r="T32" s="237">
        <f t="shared" si="24"/>
        <v>47179.141664038034</v>
      </c>
      <c r="U32" s="56"/>
      <c r="V32" s="56"/>
      <c r="W32" s="110"/>
      <c r="X32" s="118"/>
      <c r="Y32" s="115">
        <f>SUM(Y6:Y31)</f>
        <v>3.9482168888946232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0.70983472130877923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14441.221664038039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1770</v>
      </c>
      <c r="AH37" s="123">
        <f>SUM(Z37,AB37,AD37,AF37)</f>
        <v>1</v>
      </c>
      <c r="AI37" s="112">
        <f>SUM(AA37,AC37,AE37,AG37)</f>
        <v>1770</v>
      </c>
      <c r="AJ37" s="148">
        <f>(AA37+AC37)</f>
        <v>0</v>
      </c>
      <c r="AK37" s="147">
        <f>(AE37+AG37)</f>
        <v>1770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176.99999999999997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0</v>
      </c>
      <c r="AK38" s="147">
        <f t="shared" ref="AK38:AK64" si="39">(AE38+AG38)</f>
        <v>176.99999999999997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34097.219999999994</v>
      </c>
      <c r="J65" s="39">
        <f>SUM(J37:J64)</f>
        <v>34097.22</v>
      </c>
      <c r="K65" s="40">
        <f>SUM(K37:K64)</f>
        <v>1</v>
      </c>
      <c r="L65" s="22">
        <f>SUM(L37:L64)</f>
        <v>1.0421982044800835</v>
      </c>
      <c r="M65" s="24">
        <f>SUM(M37:M64)</f>
        <v>0.99065109387257033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8037.5549999999994</v>
      </c>
      <c r="AB65" s="137"/>
      <c r="AC65" s="153">
        <f>SUM(AC37:AC64)</f>
        <v>8037.5549999999994</v>
      </c>
      <c r="AD65" s="137"/>
      <c r="AE65" s="153">
        <f>SUM(AE37:AE64)</f>
        <v>8037.5549999999994</v>
      </c>
      <c r="AF65" s="137"/>
      <c r="AG65" s="153">
        <f>SUM(AG37:AG64)</f>
        <v>9984.5550000000003</v>
      </c>
      <c r="AH65" s="137"/>
      <c r="AI65" s="153">
        <f>SUM(AI37:AI64)</f>
        <v>34097.22</v>
      </c>
      <c r="AJ65" s="153">
        <f>SUM(AJ37:AJ64)</f>
        <v>16075.109999999999</v>
      </c>
      <c r="AK65" s="153">
        <f>SUM(AK37:AK64)</f>
        <v>18022.11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12416.059104376798</v>
      </c>
      <c r="J71" s="51">
        <f t="shared" si="44"/>
        <v>12416.059104376798</v>
      </c>
      <c r="K71" s="40">
        <f t="shared" ref="K71:K72" si="47">B71/B$76</f>
        <v>0.45261822443030503</v>
      </c>
      <c r="L71" s="22">
        <f t="shared" si="45"/>
        <v>0.41227981941302183</v>
      </c>
      <c r="M71" s="24">
        <f t="shared" ref="M71:M72" si="48">J71/B$76</f>
        <v>0.36073270880550851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12416.059104376798</v>
      </c>
      <c r="J74" s="51">
        <f t="shared" si="44"/>
        <v>8474.4541017481624</v>
      </c>
      <c r="K74" s="40">
        <f>B74/B$76</f>
        <v>0.15725109625986769</v>
      </c>
      <c r="L74" s="22">
        <f t="shared" si="45"/>
        <v>0.1178628774351784</v>
      </c>
      <c r="M74" s="24">
        <f>J74/B$76</f>
        <v>0.24621441941218986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1682.6554629535021</v>
      </c>
      <c r="AB74" s="156"/>
      <c r="AC74" s="147">
        <f>AC30*$I$83/4</f>
        <v>2366.148908709099</v>
      </c>
      <c r="AD74" s="156"/>
      <c r="AE74" s="147">
        <f>AE30*$I$83/4</f>
        <v>2340.3716103967963</v>
      </c>
      <c r="AF74" s="156"/>
      <c r="AG74" s="147">
        <f>AG30*$I$83/4</f>
        <v>2282.4410544464795</v>
      </c>
      <c r="AH74" s="155"/>
      <c r="AI74" s="147">
        <f>SUM(AA74,AC74,AE74,AG74)</f>
        <v>8671.617036505877</v>
      </c>
      <c r="AJ74" s="148">
        <f>(AA74+AC74)</f>
        <v>4048.8043716626012</v>
      </c>
      <c r="AK74" s="147">
        <f>(AE74+AG74)</f>
        <v>4622.8126648432753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3216.4330347884188</v>
      </c>
      <c r="AB75" s="158"/>
      <c r="AC75" s="149">
        <f>AA75+AC65-SUM(AC70,AC74)</f>
        <v>3467.5489021735193</v>
      </c>
      <c r="AD75" s="158"/>
      <c r="AE75" s="149">
        <f>AC75+AE65-SUM(AE70,AE74)</f>
        <v>3744.4420678709239</v>
      </c>
      <c r="AF75" s="158"/>
      <c r="AG75" s="149">
        <f>IF(SUM(AG6:AG29)+((AG65-AG70-$J$75)*4/I$83)&lt;1,0,AG65-AG70-$J$75-(1-SUM(AG6:AG29))*I$83/4)</f>
        <v>2281.8237216477214</v>
      </c>
      <c r="AH75" s="134"/>
      <c r="AI75" s="149">
        <f>AI76-SUM(AI70,AI74)</f>
        <v>3744.4420678709284</v>
      </c>
      <c r="AJ75" s="151">
        <f>AJ76-SUM(AJ70,AJ74)</f>
        <v>1185.7251805257984</v>
      </c>
      <c r="AK75" s="149">
        <f>AJ75+AK76-SUM(AK70,AK74)</f>
        <v>3744.4420678709248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34097.219999999994</v>
      </c>
      <c r="J76" s="51">
        <f t="shared" si="44"/>
        <v>34097.219999999994</v>
      </c>
      <c r="K76" s="40">
        <f>SUM(K70:K75)</f>
        <v>1.9007419055088401</v>
      </c>
      <c r="L76" s="22">
        <f>SUM(L70:L75)</f>
        <v>1.1600610819152619</v>
      </c>
      <c r="M76" s="24">
        <f>SUM(M70:M75)</f>
        <v>1.2368655132847601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8037.5549999999994</v>
      </c>
      <c r="AB76" s="137"/>
      <c r="AC76" s="153">
        <f>AC65</f>
        <v>8037.5549999999994</v>
      </c>
      <c r="AD76" s="137"/>
      <c r="AE76" s="153">
        <f>AE65</f>
        <v>8037.5549999999994</v>
      </c>
      <c r="AF76" s="137"/>
      <c r="AG76" s="153">
        <f>AG65</f>
        <v>9984.5550000000003</v>
      </c>
      <c r="AH76" s="137"/>
      <c r="AI76" s="153">
        <f>SUM(AA76,AC76,AE76,AG76)</f>
        <v>34097.22</v>
      </c>
      <c r="AJ76" s="154">
        <f>SUM(AA76,AC76)</f>
        <v>16075.109999999999</v>
      </c>
      <c r="AK76" s="154">
        <f>SUM(AE76,AG76)</f>
        <v>18022.11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14441.221664038039</v>
      </c>
      <c r="K77" s="40"/>
      <c r="L77" s="22">
        <f>-(L131*G$37*F$9/F$7)/B$130</f>
        <v>-0.53408950482776008</v>
      </c>
      <c r="M77" s="24">
        <f>-J77/B$76</f>
        <v>-0.41957121543444142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2281.8237216477214</v>
      </c>
      <c r="AB78" s="112"/>
      <c r="AC78" s="112">
        <f>IF(AA75&lt;0,0,AA75)</f>
        <v>3216.4330347884188</v>
      </c>
      <c r="AD78" s="112"/>
      <c r="AE78" s="112">
        <f>AC75</f>
        <v>3467.5489021735193</v>
      </c>
      <c r="AF78" s="112"/>
      <c r="AG78" s="112">
        <f>AE75</f>
        <v>3744.4420678709239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4899.0884977419209</v>
      </c>
      <c r="AB79" s="112"/>
      <c r="AC79" s="112">
        <f>AA79-AA74+AC65-AC70</f>
        <v>5833.6978108826179</v>
      </c>
      <c r="AD79" s="112"/>
      <c r="AE79" s="112">
        <f>AC79-AC74+AE65-AE70</f>
        <v>6084.8136782677184</v>
      </c>
      <c r="AF79" s="112"/>
      <c r="AG79" s="112">
        <f>AE79-AE74+AG65-AG70</f>
        <v>8308.706843965123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0.28606060606060607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2.2388337516559962</v>
      </c>
      <c r="J119" s="24">
        <f>SUM(J91:J118)</f>
        <v>2.2388337516559962</v>
      </c>
      <c r="K119" s="22">
        <f>SUM(K91:K118)</f>
        <v>3.7289371738255719</v>
      </c>
      <c r="L119" s="22">
        <f>SUM(L91:L118)</f>
        <v>2.355328258896999</v>
      </c>
      <c r="M119" s="57">
        <f t="shared" si="49"/>
        <v>2.2388337516559962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0.81524218647251878</v>
      </c>
      <c r="J125" s="240">
        <f>IF(SUMPRODUCT($B$124:$B125,$H$124:$H125)&lt;J$119,($B125*$H125),IF(SUMPRODUCT($B$124:$B124,$H$124:$H124)&lt;J$119,J$119-SUMPRODUCT($B$124:$B124,$H$124:$H124),0))</f>
        <v>0.81524218647251878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0.93173669371352164</v>
      </c>
      <c r="M125" s="243">
        <f t="shared" si="66"/>
        <v>0.81524218647251878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0.81524218647251878</v>
      </c>
      <c r="J128" s="231">
        <f>(J30)</f>
        <v>0.55643521289575471</v>
      </c>
      <c r="K128" s="29">
        <f>(B128)</f>
        <v>0.58637945846824402</v>
      </c>
      <c r="L128" s="29">
        <f>IF(L124=L119,0,(L119-L124)/(B119-B124)*K128)</f>
        <v>0.26636561520126301</v>
      </c>
      <c r="M128" s="243">
        <f t="shared" si="66"/>
        <v>0.55643521289575471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2.2388337516559962</v>
      </c>
      <c r="J130" s="231">
        <f>(J119)</f>
        <v>2.2388337516559962</v>
      </c>
      <c r="K130" s="29">
        <f>(B130)</f>
        <v>3.7289371738255719</v>
      </c>
      <c r="L130" s="29">
        <f>(L119)</f>
        <v>2.355328258896999</v>
      </c>
      <c r="M130" s="243">
        <f t="shared" si="66"/>
        <v>2.2388337516559962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0.94821497109131281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749.82610844795056</v>
      </c>
      <c r="T12" s="225">
        <f>IF($B$81=0,0,(SUMIF($N$6:$N$28,$U12,M$6:M$28)+SUMIF($N$91:$N$118,$U12,M$91:M$118))*$I$83*Poor!$B$81/$B$81)</f>
        <v>761.58623811695304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1.0649197323135157E-2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1.0649197323135157E-2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4.2596789292540627E-2</v>
      </c>
      <c r="Z18" s="116">
        <v>1.2941</v>
      </c>
      <c r="AA18" s="121">
        <f t="shared" ref="AA18:AA20" si="25">$M18*Z18*4</f>
        <v>5.5124505023476829E-2</v>
      </c>
      <c r="AB18" s="116">
        <v>1.1765000000000001</v>
      </c>
      <c r="AC18" s="121">
        <f t="shared" ref="AC18:AC20" si="26">$M18*AB18*4</f>
        <v>5.0115122602674055E-2</v>
      </c>
      <c r="AD18" s="116">
        <v>1.2353000000000001</v>
      </c>
      <c r="AE18" s="121">
        <f t="shared" ref="AE18:AE20" si="27">$M18*AD18*4</f>
        <v>5.2619813813075442E-2</v>
      </c>
      <c r="AF18" s="122">
        <f t="shared" ref="AF18:AF20" si="28">1-SUM(Z18,AB18,AD18)</f>
        <v>-2.7059000000000002</v>
      </c>
      <c r="AG18" s="121">
        <f t="shared" ref="AG18:AG20" si="29">$M18*AF18*4</f>
        <v>-0.11526265214668568</v>
      </c>
      <c r="AH18" s="123">
        <f t="shared" ref="AH18:AH20" si="30">SUM(Z18,AB18,AD18,AF18)</f>
        <v>1</v>
      </c>
      <c r="AI18" s="184">
        <f t="shared" ref="AI18:AI20" si="31">SUM(AA18,AC18,AE18,AG18)/4</f>
        <v>1.0649197323135157E-2</v>
      </c>
      <c r="AJ18" s="120">
        <f t="shared" ref="AJ18:AJ20" si="32">(AA18+AC18)/2</f>
        <v>5.2619813813075442E-2</v>
      </c>
      <c r="AK18" s="119">
        <f t="shared" ref="AK18:AK20" si="33">(AE18+AG18)/2</f>
        <v>-3.1321419166805121E-2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46864.983965823325</v>
      </c>
      <c r="T23" s="179">
        <f>SUM(T7:T22)</f>
        <v>46879.523756144816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1.4074416397684373</v>
      </c>
      <c r="J30" s="234">
        <f>IF(I$32&lt;=1,I30,1-SUM(J6:J29))</f>
        <v>0.5282727585575564</v>
      </c>
      <c r="K30" s="22">
        <f t="shared" si="4"/>
        <v>0.52739667515566635</v>
      </c>
      <c r="L30" s="22">
        <f>IF(L124=L119,0,IF(K30="",0,(L119-L124)/(B119-B124)*K30))</f>
        <v>0.25126698779669904</v>
      </c>
      <c r="M30" s="175">
        <f t="shared" si="6"/>
        <v>0.5282727585575564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2.1130910342302256</v>
      </c>
      <c r="Z30" s="122">
        <f>IF($Y30=0,0,AA30/($Y$30))</f>
        <v>0.1604359656433566</v>
      </c>
      <c r="AA30" s="188">
        <f>IF(AA79*4/$I$83+SUM(AA6:AA29)&lt;1,AA79*4/$I$83,1-SUM(AA6:AA29))</f>
        <v>0.33901580056904534</v>
      </c>
      <c r="AB30" s="122">
        <f>IF($Y30=0,0,AC30/($Y$30))</f>
        <v>0.25902580370476447</v>
      </c>
      <c r="AC30" s="188">
        <f>IF(AC79*4/$I$83+SUM(AC6:AC29)&lt;1,AC79*4/$I$83,1-SUM(AC6:AC29))</f>
        <v>0.54734510344281617</v>
      </c>
      <c r="AD30" s="122">
        <f>IF($Y30=0,0,AE30/($Y$30))</f>
        <v>0.2582662067424476</v>
      </c>
      <c r="AE30" s="188">
        <f>IF(AE79*4/$I$83+SUM(AE6:AE29)&lt;1,AE79*4/$I$83,1-SUM(AE6:AE29))</f>
        <v>0.54574000591211591</v>
      </c>
      <c r="AF30" s="122">
        <f>IF($Y30=0,0,AG30/($Y$30))</f>
        <v>0.32227202390943127</v>
      </c>
      <c r="AG30" s="188">
        <f>IF(AG79*4/$I$83+SUM(AG6:AG29)&lt;1,AG79*4/$I$83,1-SUM(AG6:AG29))</f>
        <v>0.68099012430624817</v>
      </c>
      <c r="AH30" s="123">
        <f t="shared" si="12"/>
        <v>1</v>
      </c>
      <c r="AI30" s="184">
        <f t="shared" si="13"/>
        <v>0.5282727585575564</v>
      </c>
      <c r="AJ30" s="120">
        <f t="shared" si="14"/>
        <v>0.44318045200593076</v>
      </c>
      <c r="AK30" s="119">
        <f t="shared" si="15"/>
        <v>0.61336506510918198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0.21478647832735942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5007.710017501282</v>
      </c>
      <c r="T31" s="237">
        <f>IF(T25&gt;T$23,T25-T$23,0)</f>
        <v>4993.1702271797913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1.8808659634643337</v>
      </c>
      <c r="J32" s="17"/>
      <c r="L32" s="22">
        <f>SUM(L6:L30)</f>
        <v>0.78521352167264058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37745.630017501273</v>
      </c>
      <c r="T32" s="237">
        <f t="shared" si="50"/>
        <v>37731.090227179782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0.31271512080821051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4993.1702271798003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531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0</v>
      </c>
      <c r="AK38" s="147">
        <f t="shared" ref="AK38:AK64" si="63">(AE38+AG38)</f>
        <v>531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0.4</v>
      </c>
      <c r="F45" s="26">
        <v>1.18</v>
      </c>
      <c r="G45" s="22">
        <f t="shared" si="59"/>
        <v>1.65</v>
      </c>
      <c r="H45" s="24">
        <f t="shared" si="51"/>
        <v>0.47199999999999998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43116.36</v>
      </c>
      <c r="J65" s="39">
        <f>SUM(J37:J64)</f>
        <v>43116.36</v>
      </c>
      <c r="K65" s="40">
        <f>SUM(K37:K64)</f>
        <v>0.99999999999999989</v>
      </c>
      <c r="L65" s="22">
        <f>SUM(L37:L64)</f>
        <v>1.0086409812274704</v>
      </c>
      <c r="M65" s="24">
        <f>SUM(M37:M64)</f>
        <v>1.0092308412527502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9371.34</v>
      </c>
      <c r="AB65" s="137"/>
      <c r="AC65" s="153">
        <f>SUM(AC37:AC64)</f>
        <v>9301.34</v>
      </c>
      <c r="AD65" s="137"/>
      <c r="AE65" s="153">
        <f>SUM(AE37:AE64)</f>
        <v>9301.34</v>
      </c>
      <c r="AF65" s="137"/>
      <c r="AG65" s="153">
        <f>SUM(AG37:AG64)</f>
        <v>15142.34</v>
      </c>
      <c r="AH65" s="137"/>
      <c r="AI65" s="153">
        <f>SUM(AI37:AI64)</f>
        <v>43116.36</v>
      </c>
      <c r="AJ65" s="153">
        <f>SUM(AJ37:AJ64)</f>
        <v>18672.68</v>
      </c>
      <c r="AK65" s="153">
        <f>SUM(AK37:AK64)</f>
        <v>24443.68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21435.199104376796</v>
      </c>
      <c r="J74" s="51">
        <f t="shared" si="75"/>
        <v>8045.5426648899202</v>
      </c>
      <c r="K74" s="40">
        <f>B74/B$76</f>
        <v>0.1139459763119704</v>
      </c>
      <c r="L74" s="22">
        <f t="shared" si="76"/>
        <v>8.9573796954958124E-2</v>
      </c>
      <c r="M74" s="24">
        <f>J74/B$76</f>
        <v>0.1883231745913094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1290.794406566439</v>
      </c>
      <c r="AB74" s="156"/>
      <c r="AC74" s="147">
        <f>AC30*$I$83/4</f>
        <v>2084.0031550140843</v>
      </c>
      <c r="AD74" s="156"/>
      <c r="AE74" s="147">
        <f>AE30*$I$83/4</f>
        <v>2077.8917852456434</v>
      </c>
      <c r="AF74" s="156"/>
      <c r="AG74" s="147">
        <f>AG30*$I$83/4</f>
        <v>2592.8533180637542</v>
      </c>
      <c r="AH74" s="155"/>
      <c r="AI74" s="147">
        <f>SUM(AA74,AC74,AE74,AG74)</f>
        <v>8045.5426648899211</v>
      </c>
      <c r="AJ74" s="148">
        <f>(AA74+AC74)</f>
        <v>3374.7975615805235</v>
      </c>
      <c r="AK74" s="147">
        <f>(AE74+AG74)</f>
        <v>4670.7451033093976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9789.4518275582086</v>
      </c>
      <c r="AB75" s="158"/>
      <c r="AC75" s="149">
        <f>AA75+AC65-SUM(AC70,AC74)</f>
        <v>11586.498448638325</v>
      </c>
      <c r="AD75" s="158"/>
      <c r="AE75" s="149">
        <f>AC75+AE65-SUM(AE70,AE74)</f>
        <v>13389.656439486884</v>
      </c>
      <c r="AF75" s="158"/>
      <c r="AG75" s="149">
        <f>IF(SUM(AG6:AG29)+((AG65-AG70-$J$75)*4/I$83)&lt;1,0,AG65-AG70-$J$75-(1-SUM(AG6:AG29))*I$83/4)</f>
        <v>7129.1964580304475</v>
      </c>
      <c r="AH75" s="134"/>
      <c r="AI75" s="149">
        <f>AI76-SUM(AI70,AI74)</f>
        <v>13389.656439486884</v>
      </c>
      <c r="AJ75" s="151">
        <f>AJ76-SUM(AJ70,AJ74)</f>
        <v>4457.3019906078771</v>
      </c>
      <c r="AK75" s="149">
        <f>AJ75+AK76-SUM(AK70,AK74)</f>
        <v>13389.65643948688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43116.359999999993</v>
      </c>
      <c r="J76" s="51">
        <f t="shared" si="75"/>
        <v>43116.359999999993</v>
      </c>
      <c r="K76" s="40">
        <f>SUM(K70:K75)</f>
        <v>1.5291234062904446</v>
      </c>
      <c r="L76" s="22">
        <f>SUM(L70:L75)</f>
        <v>1.0273573174429942</v>
      </c>
      <c r="M76" s="24">
        <f>SUM(M70:M75)</f>
        <v>1.1261066950793452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9371.34</v>
      </c>
      <c r="AB76" s="137"/>
      <c r="AC76" s="153">
        <f>AC65</f>
        <v>9301.34</v>
      </c>
      <c r="AD76" s="137"/>
      <c r="AE76" s="153">
        <f>AE65</f>
        <v>9301.34</v>
      </c>
      <c r="AF76" s="137"/>
      <c r="AG76" s="153">
        <f>AG65</f>
        <v>15142.34</v>
      </c>
      <c r="AH76" s="137"/>
      <c r="AI76" s="153">
        <f>SUM(AA76,AC76,AE76,AG76)</f>
        <v>43116.36</v>
      </c>
      <c r="AJ76" s="154">
        <f>SUM(AA76,AC76)</f>
        <v>18672.68</v>
      </c>
      <c r="AK76" s="154">
        <f>SUM(AE76,AG76)</f>
        <v>24443.68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4993.1702271798003</v>
      </c>
      <c r="K77" s="40"/>
      <c r="L77" s="22">
        <f>-(L131*G$37*F$9/F$7)/B$130</f>
        <v>-0.43028946834573917</v>
      </c>
      <c r="M77" s="24">
        <f>-J77/B$76</f>
        <v>-0.11687585382659521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7129.1964580304475</v>
      </c>
      <c r="AB78" s="112"/>
      <c r="AC78" s="112">
        <f>IF(AA75&lt;0,0,AA75)</f>
        <v>9789.4518275582086</v>
      </c>
      <c r="AD78" s="112"/>
      <c r="AE78" s="112">
        <f>AC75</f>
        <v>11586.498448638325</v>
      </c>
      <c r="AF78" s="112"/>
      <c r="AG78" s="112">
        <f>AE75</f>
        <v>13389.656439486884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11080.246234124648</v>
      </c>
      <c r="AB79" s="112"/>
      <c r="AC79" s="112">
        <f>AA79-AA74+AC65-AC70</f>
        <v>13670.50160365241</v>
      </c>
      <c r="AD79" s="112"/>
      <c r="AE79" s="112">
        <f>AC79-AC74+AE65-AE70</f>
        <v>15467.548224732527</v>
      </c>
      <c r="AF79" s="112"/>
      <c r="AG79" s="112">
        <f>AE79-AE74+AG65-AG70</f>
        <v>23111.706215581085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0.28606060606060607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2.8310332049519147</v>
      </c>
      <c r="J119" s="24">
        <f>SUM(J91:J118)</f>
        <v>2.8310332049519147</v>
      </c>
      <c r="K119" s="22">
        <f>SUM(K91:K118)</f>
        <v>4.6284800238291659</v>
      </c>
      <c r="L119" s="22">
        <f>SUM(L91:L118)</f>
        <v>2.8293785653495744</v>
      </c>
      <c r="M119" s="57">
        <f t="shared" si="80"/>
        <v>2.8310332049519147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1.4074416397684373</v>
      </c>
      <c r="J128" s="231">
        <f>(J30)</f>
        <v>0.5282727585575564</v>
      </c>
      <c r="K128" s="29">
        <f>(B128)</f>
        <v>0.52739667515566635</v>
      </c>
      <c r="L128" s="29">
        <f>IF(L124=L119,0,(L119-L124)/(B119-B124)*K128)</f>
        <v>0.25126698779669904</v>
      </c>
      <c r="M128" s="243">
        <f t="shared" si="93"/>
        <v>0.5282727585575564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2.8310332049519147</v>
      </c>
      <c r="J130" s="231">
        <f>(J119)</f>
        <v>2.8310332049519147</v>
      </c>
      <c r="K130" s="29">
        <f>(B130)</f>
        <v>4.6284800238291659</v>
      </c>
      <c r="L130" s="29">
        <f>(L119)</f>
        <v>2.8293785653495744</v>
      </c>
      <c r="M130" s="243">
        <f t="shared" si="93"/>
        <v>2.8310332049519147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0.32785306345719611</v>
      </c>
      <c r="K131" s="29"/>
      <c r="L131" s="29">
        <f>IF(I131&lt;SUM(L126:L127),0,I131-(SUM(L126:L127)))</f>
        <v>1.2070219446680763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828.06359449001707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25.904081032761585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8850.9328383077591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1.2537643554530074E-3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1.2537643554530074E-3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250.8423118543499</v>
      </c>
      <c r="U12" s="226">
        <v>6</v>
      </c>
      <c r="V12" s="56"/>
      <c r="W12" s="117"/>
      <c r="X12" s="118"/>
      <c r="Y12" s="184">
        <f t="shared" si="9"/>
        <v>5.0150574218120296E-3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3.3600884726140601E-3</v>
      </c>
      <c r="AF12" s="122">
        <f>1-SUM(Z12,AB12,AD12)</f>
        <v>0.32999999999999996</v>
      </c>
      <c r="AG12" s="121">
        <f>$M12*AF12*4</f>
        <v>1.6549689491979695E-3</v>
      </c>
      <c r="AH12" s="123">
        <f t="shared" si="12"/>
        <v>1</v>
      </c>
      <c r="AI12" s="184">
        <f t="shared" si="13"/>
        <v>1.2537643554530074E-3</v>
      </c>
      <c r="AJ12" s="120">
        <f t="shared" si="14"/>
        <v>0</v>
      </c>
      <c r="AK12" s="119">
        <f t="shared" si="15"/>
        <v>2.5075287109060148E-3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23821.165714285715</v>
      </c>
      <c r="T13" s="225">
        <f>IF($B$81=0,0,(SUMIF($N$6:$N$28,$U13,M$6:M$28)+SUMIF($N$91:$N$118,$U13,M$91:M$118))*$I$83*Poor!$B$81/$B$81)</f>
        <v>23821.165714285715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2.1252377451759415E-4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2.1252377451759415E-4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8.5009509807037662E-4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8.5009509807037662E-4</v>
      </c>
      <c r="AH16" s="123">
        <f t="shared" si="12"/>
        <v>1</v>
      </c>
      <c r="AI16" s="184">
        <f t="shared" si="13"/>
        <v>2.1252377451759415E-4</v>
      </c>
      <c r="AJ16" s="120">
        <f t="shared" si="14"/>
        <v>0</v>
      </c>
      <c r="AK16" s="119">
        <f t="shared" si="15"/>
        <v>4.2504754903518831E-4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2.2636352036626236E-3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2.2636352036626236E-3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9.0545408146504944E-3</v>
      </c>
      <c r="Z17" s="156">
        <f>Poor!Z17</f>
        <v>0.29409999999999997</v>
      </c>
      <c r="AA17" s="121">
        <f t="shared" si="16"/>
        <v>2.6629404535887104E-3</v>
      </c>
      <c r="AB17" s="156">
        <f>Poor!AB17</f>
        <v>0.17649999999999999</v>
      </c>
      <c r="AC17" s="121">
        <f t="shared" si="7"/>
        <v>1.5981264537858122E-3</v>
      </c>
      <c r="AD17" s="156">
        <f>Poor!AD17</f>
        <v>0.23530000000000001</v>
      </c>
      <c r="AE17" s="121">
        <f t="shared" si="8"/>
        <v>2.1305334536872614E-3</v>
      </c>
      <c r="AF17" s="122">
        <f t="shared" si="10"/>
        <v>0.29410000000000003</v>
      </c>
      <c r="AG17" s="121">
        <f t="shared" si="11"/>
        <v>2.6629404535887108E-3</v>
      </c>
      <c r="AH17" s="123">
        <f t="shared" si="12"/>
        <v>1</v>
      </c>
      <c r="AI17" s="184">
        <f t="shared" si="13"/>
        <v>2.2636352036626236E-3</v>
      </c>
      <c r="AJ17" s="120">
        <f t="shared" si="14"/>
        <v>2.1305334536872614E-3</v>
      </c>
      <c r="AK17" s="119">
        <f t="shared" si="15"/>
        <v>2.3967369536379863E-3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1.6470381870514299E-2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1.6470381870514299E-2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63101.423488627697</v>
      </c>
      <c r="T23" s="179">
        <f>SUM(T7:T22)</f>
        <v>63261.868921147106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5.9136740602185489E-2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5.9136740602185489E-2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0.23654696240874196</v>
      </c>
      <c r="Z27" s="156">
        <f>Poor!Z27</f>
        <v>0.25</v>
      </c>
      <c r="AA27" s="121">
        <f t="shared" si="16"/>
        <v>5.9136740602185489E-2</v>
      </c>
      <c r="AB27" s="156">
        <f>Poor!AB27</f>
        <v>0.25</v>
      </c>
      <c r="AC27" s="121">
        <f t="shared" si="7"/>
        <v>5.9136740602185489E-2</v>
      </c>
      <c r="AD27" s="156">
        <f>Poor!AD27</f>
        <v>0.25</v>
      </c>
      <c r="AE27" s="121">
        <f t="shared" si="8"/>
        <v>5.9136740602185489E-2</v>
      </c>
      <c r="AF27" s="122">
        <f t="shared" si="10"/>
        <v>0.25</v>
      </c>
      <c r="AG27" s="121">
        <f t="shared" si="11"/>
        <v>5.9136740602185489E-2</v>
      </c>
      <c r="AH27" s="123">
        <f t="shared" si="12"/>
        <v>1</v>
      </c>
      <c r="AI27" s="184">
        <f t="shared" si="13"/>
        <v>5.9136740602185489E-2</v>
      </c>
      <c r="AJ27" s="120">
        <f t="shared" si="14"/>
        <v>5.9136740602185489E-2</v>
      </c>
      <c r="AK27" s="119">
        <f t="shared" si="15"/>
        <v>5.9136740602185489E-2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0.21857856742392187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0.21857856742392187</v>
      </c>
      <c r="N29" s="232"/>
      <c r="P29" s="22"/>
      <c r="V29" s="56"/>
      <c r="W29" s="110"/>
      <c r="X29" s="118"/>
      <c r="Y29" s="184">
        <f t="shared" si="9"/>
        <v>0.87431426969568748</v>
      </c>
      <c r="Z29" s="156">
        <f>Poor!Z29</f>
        <v>0.25</v>
      </c>
      <c r="AA29" s="121">
        <f t="shared" si="16"/>
        <v>0.21857856742392187</v>
      </c>
      <c r="AB29" s="156">
        <f>Poor!AB29</f>
        <v>0.25</v>
      </c>
      <c r="AC29" s="121">
        <f t="shared" si="7"/>
        <v>0.21857856742392187</v>
      </c>
      <c r="AD29" s="156">
        <f>Poor!AD29</f>
        <v>0.25</v>
      </c>
      <c r="AE29" s="121">
        <f t="shared" si="8"/>
        <v>0.21857856742392187</v>
      </c>
      <c r="AF29" s="122">
        <f t="shared" si="10"/>
        <v>0.25</v>
      </c>
      <c r="AG29" s="121">
        <f t="shared" si="11"/>
        <v>0.21857856742392187</v>
      </c>
      <c r="AH29" s="123">
        <f t="shared" si="12"/>
        <v>1</v>
      </c>
      <c r="AI29" s="184">
        <f t="shared" si="13"/>
        <v>0.21857856742392187</v>
      </c>
      <c r="AJ29" s="120">
        <f t="shared" si="14"/>
        <v>0.21857856742392187</v>
      </c>
      <c r="AK29" s="119">
        <f t="shared" si="15"/>
        <v>0.21857856742392187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2.503140607623084</v>
      </c>
      <c r="J30" s="234">
        <f>IF(I$32&lt;=1,I30,1-SUM(J6:J29))</f>
        <v>0.48038291050302417</v>
      </c>
      <c r="K30" s="22">
        <f t="shared" si="4"/>
        <v>0.60906730012453303</v>
      </c>
      <c r="L30" s="22">
        <f>IF(L124=L119,0,IF(K30="",0,(L119-L124)/(B119-B124)*K30))</f>
        <v>0.19184745672264411</v>
      </c>
      <c r="M30" s="175">
        <f t="shared" si="6"/>
        <v>0.48038291050302417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1.9215316420120967</v>
      </c>
      <c r="Z30" s="122">
        <f>IF($Y30=0,0,AA30/($Y$30))</f>
        <v>0.21161537249543638</v>
      </c>
      <c r="AA30" s="188">
        <f>IF(AA79*4/$I$84+SUM(AA6:AA29)&lt;1,AA79*4/$I$84,1-SUM(AA6:AA29))</f>
        <v>0.40662563418615738</v>
      </c>
      <c r="AB30" s="122">
        <f>IF($Y30=0,0,AC30/($Y$30))</f>
        <v>0.27269953468659586</v>
      </c>
      <c r="AC30" s="188">
        <f>IF(AC79*4/$I$84+SUM(AC6:AC29)&lt;1,AC79*4/$I$84,1-SUM(AC6:AC29))</f>
        <v>0.52400078466226929</v>
      </c>
      <c r="AD30" s="122">
        <f>IF($Y30=0,0,AE30/($Y$30))</f>
        <v>0.28454394932611093</v>
      </c>
      <c r="AE30" s="188">
        <f>IF(AE79*4/$I$84+SUM(AE6:AE29)&lt;1,AE79*4/$I$84,1-SUM(AE6:AE29))</f>
        <v>0.54676020217320875</v>
      </c>
      <c r="AF30" s="122">
        <f>IF($Y30=0,0,AG30/($Y$30))</f>
        <v>0.26542708812146015</v>
      </c>
      <c r="AG30" s="188">
        <f>IF(AG79*4/$I$84+SUM(AG6:AG29)&lt;1,AG79*4/$I$84,1-SUM(AG6:AG29))</f>
        <v>0.51002654847251883</v>
      </c>
      <c r="AH30" s="123">
        <f t="shared" si="12"/>
        <v>1.0342859446296033</v>
      </c>
      <c r="AI30" s="184">
        <f t="shared" si="13"/>
        <v>0.49685329237353859</v>
      </c>
      <c r="AJ30" s="120">
        <f t="shared" si="14"/>
        <v>0.46531320942421334</v>
      </c>
      <c r="AK30" s="119">
        <f t="shared" si="15"/>
        <v>0.52839337532286379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0.25791650429937363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2.9722250873283329</v>
      </c>
      <c r="J32" s="17"/>
      <c r="L32" s="22">
        <f>SUM(L6:L30)</f>
        <v>0.74208349570062637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21509.190494696915</v>
      </c>
      <c r="T32" s="237">
        <f t="shared" si="24"/>
        <v>21348.745062177506</v>
      </c>
      <c r="V32" s="56"/>
      <c r="W32" s="110"/>
      <c r="X32" s="118"/>
      <c r="Y32" s="115">
        <f>SUM(Y6:Y31)</f>
        <v>3.9341184725179428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0.37730574440476955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664.56623351928852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8.6170772739203923E-3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664.56623351928852</v>
      </c>
      <c r="AH38" s="123">
        <f t="shared" ref="AH38:AI58" si="37">SUM(Z38,AB38,AD38,AF38)</f>
        <v>1</v>
      </c>
      <c r="AI38" s="112">
        <f t="shared" si="37"/>
        <v>664.56623351928852</v>
      </c>
      <c r="AJ38" s="148">
        <f t="shared" ref="AJ38:AJ64" si="38">(AA38+AC38)</f>
        <v>0</v>
      </c>
      <c r="AK38" s="147">
        <f t="shared" ref="AK38:AK64" si="39">(AE38+AG38)</f>
        <v>664.56623351928852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4.3588597891666128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5.6519019075835853E-5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4.3588597891666128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4.3588597891666128</v>
      </c>
      <c r="AJ40" s="148">
        <f t="shared" si="38"/>
        <v>4.3588597891666128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4.3588597891666128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5.6519019075835853E-5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1.0897149472916532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2.1794298945833064</v>
      </c>
      <c r="AF42" s="122">
        <f t="shared" si="29"/>
        <v>0.25</v>
      </c>
      <c r="AG42" s="147">
        <f t="shared" si="36"/>
        <v>1.0897149472916532</v>
      </c>
      <c r="AH42" s="123">
        <f t="shared" si="37"/>
        <v>1</v>
      </c>
      <c r="AI42" s="112">
        <f t="shared" si="37"/>
        <v>4.3588597891666128</v>
      </c>
      <c r="AJ42" s="148">
        <f t="shared" si="38"/>
        <v>1.0897149472916532</v>
      </c>
      <c r="AK42" s="147">
        <f t="shared" si="39"/>
        <v>3.2691448418749598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13.94835132533316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1.8086086104267471E-4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3.48708783133329</v>
      </c>
      <c r="AB43" s="156">
        <f>Poor!AB43</f>
        <v>0.25</v>
      </c>
      <c r="AC43" s="147">
        <f t="shared" si="41"/>
        <v>3.48708783133329</v>
      </c>
      <c r="AD43" s="156">
        <f>Poor!AD43</f>
        <v>0.25</v>
      </c>
      <c r="AE43" s="147">
        <f t="shared" si="42"/>
        <v>3.48708783133329</v>
      </c>
      <c r="AF43" s="122">
        <f t="shared" si="29"/>
        <v>0.25</v>
      </c>
      <c r="AG43" s="147">
        <f t="shared" si="36"/>
        <v>3.48708783133329</v>
      </c>
      <c r="AH43" s="123">
        <f t="shared" si="37"/>
        <v>1</v>
      </c>
      <c r="AI43" s="112">
        <f t="shared" si="37"/>
        <v>13.94835132533316</v>
      </c>
      <c r="AJ43" s="148">
        <f t="shared" si="38"/>
        <v>6.9741756626665801</v>
      </c>
      <c r="AK43" s="147">
        <f t="shared" si="39"/>
        <v>6.9741756626665801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20843.52</v>
      </c>
      <c r="J45" s="38">
        <f t="shared" si="32"/>
        <v>20843.52</v>
      </c>
      <c r="K45" s="40">
        <f t="shared" si="33"/>
        <v>0.57259925831798963</v>
      </c>
      <c r="L45" s="22">
        <f t="shared" si="34"/>
        <v>0.27026684992609107</v>
      </c>
      <c r="M45" s="24">
        <f t="shared" si="35"/>
        <v>0.27026684992609112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5210.88</v>
      </c>
      <c r="AB45" s="156">
        <f>Poor!AB45</f>
        <v>0.25</v>
      </c>
      <c r="AC45" s="147">
        <f t="shared" si="41"/>
        <v>5210.88</v>
      </c>
      <c r="AD45" s="156">
        <f>Poor!AD45</f>
        <v>0.25</v>
      </c>
      <c r="AE45" s="147">
        <f t="shared" si="42"/>
        <v>5210.88</v>
      </c>
      <c r="AF45" s="122">
        <f t="shared" si="29"/>
        <v>0.25</v>
      </c>
      <c r="AG45" s="147">
        <f t="shared" si="36"/>
        <v>5210.88</v>
      </c>
      <c r="AH45" s="123">
        <f t="shared" si="37"/>
        <v>1</v>
      </c>
      <c r="AI45" s="112">
        <f t="shared" si="37"/>
        <v>20843.52</v>
      </c>
      <c r="AJ45" s="148">
        <f t="shared" si="38"/>
        <v>10421.76</v>
      </c>
      <c r="AK45" s="147">
        <f t="shared" si="39"/>
        <v>10421.76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52328.28</v>
      </c>
      <c r="J65" s="39">
        <f>SUM(J37:J64)</f>
        <v>52130.512304422962</v>
      </c>
      <c r="K65" s="40">
        <f>SUM(K37:K64)</f>
        <v>1</v>
      </c>
      <c r="L65" s="22">
        <f>SUM(L37:L64)</f>
        <v>0.674394854905215</v>
      </c>
      <c r="M65" s="24">
        <f>SUM(M37:M64)</f>
        <v>0.67594865673119164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11099.755662567793</v>
      </c>
      <c r="AB65" s="137"/>
      <c r="AC65" s="153">
        <f>SUM(AC37:AC64)</f>
        <v>11094.307087831334</v>
      </c>
      <c r="AD65" s="137"/>
      <c r="AE65" s="153">
        <f>SUM(AE37:AE64)</f>
        <v>11096.486517725918</v>
      </c>
      <c r="AF65" s="137"/>
      <c r="AG65" s="153">
        <f>SUM(AG37:AG64)</f>
        <v>18839.963036297915</v>
      </c>
      <c r="AH65" s="137"/>
      <c r="AI65" s="153">
        <f>SUM(AI37:AI64)</f>
        <v>52130.512304422962</v>
      </c>
      <c r="AJ65" s="153">
        <f>SUM(AJ37:AJ64)</f>
        <v>22194.062750399127</v>
      </c>
      <c r="AK65" s="153">
        <f>SUM(AK37:AK64)</f>
        <v>29936.449554023835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10672.861362327109</v>
      </c>
      <c r="K72" s="40">
        <f t="shared" si="47"/>
        <v>0.31477399445035137</v>
      </c>
      <c r="L72" s="22">
        <f t="shared" si="45"/>
        <v>0.18669251395444547</v>
      </c>
      <c r="M72" s="24">
        <f t="shared" si="48"/>
        <v>0.13838932292117825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33357.264216329699</v>
      </c>
      <c r="J74" s="51">
        <f t="shared" si="44"/>
        <v>6401.6618250922193</v>
      </c>
      <c r="K74" s="40">
        <f>B74/B$76</f>
        <v>6.3783483598205459E-2</v>
      </c>
      <c r="L74" s="22">
        <f t="shared" si="45"/>
        <v>3.3149954900049579E-2</v>
      </c>
      <c r="M74" s="24">
        <f>J74/B$76</f>
        <v>8.300694775929332E-2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2978.9021798476278</v>
      </c>
      <c r="AB74" s="156"/>
      <c r="AC74" s="147">
        <f>AC30*$I$84/4</f>
        <v>3838.7817895358853</v>
      </c>
      <c r="AD74" s="156"/>
      <c r="AE74" s="147">
        <f>AE30*$I$84/4</f>
        <v>4005.5151991771504</v>
      </c>
      <c r="AF74" s="156"/>
      <c r="AG74" s="147">
        <f>AG30*$I$84/4</f>
        <v>3736.4078141944892</v>
      </c>
      <c r="AH74" s="155"/>
      <c r="AI74" s="147">
        <f>SUM(AA74,AC74,AE74,AG74)</f>
        <v>14559.606982755155</v>
      </c>
      <c r="AJ74" s="148">
        <f>(AA74+AC74)</f>
        <v>6817.6839693835136</v>
      </c>
      <c r="AK74" s="147">
        <f>(AE74+AG74)</f>
        <v>7741.9230133716392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15776.13416981039</v>
      </c>
      <c r="AB75" s="158"/>
      <c r="AC75" s="149">
        <f>AA75+AC65-SUM(AC70,AC74)</f>
        <v>18288.905522188263</v>
      </c>
      <c r="AD75" s="158"/>
      <c r="AE75" s="149">
        <f>AC75+AE65-SUM(AE70,AE74)</f>
        <v>20637.122894819455</v>
      </c>
      <c r="AF75" s="158"/>
      <c r="AG75" s="149">
        <f>IF(SUM(AG6:AG29)+((AG65-AG70-$J$75)*4/I$83)&lt;1,0,AG65-AG70-$J$75-(1-SUM(AG6:AG29))*I$83/4)</f>
        <v>12398.034633007799</v>
      </c>
      <c r="AH75" s="134"/>
      <c r="AI75" s="149">
        <f>AI76-SUM(AI70,AI74)</f>
        <v>18599.889537997507</v>
      </c>
      <c r="AJ75" s="151">
        <f>AJ76-SUM(AJ70,AJ74)</f>
        <v>5890.8708891804636</v>
      </c>
      <c r="AK75" s="149">
        <f>AJ75+AK76-SUM(AK70,AK74)</f>
        <v>18599.889537997507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52328.28</v>
      </c>
      <c r="J76" s="51">
        <f t="shared" si="44"/>
        <v>52130.512304422962</v>
      </c>
      <c r="K76" s="40">
        <f>SUM(K70:K75)</f>
        <v>1</v>
      </c>
      <c r="L76" s="22">
        <f>SUM(L70:L75)</f>
        <v>0.67439485490521511</v>
      </c>
      <c r="M76" s="24">
        <f>SUM(M70:M75)</f>
        <v>0.67594865673119164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11099.755662567793</v>
      </c>
      <c r="AB76" s="137"/>
      <c r="AC76" s="153">
        <f>AC65</f>
        <v>11094.307087831334</v>
      </c>
      <c r="AD76" s="137"/>
      <c r="AE76" s="153">
        <f>AE65</f>
        <v>11096.486517725918</v>
      </c>
      <c r="AF76" s="137"/>
      <c r="AG76" s="153">
        <f>AG65</f>
        <v>18839.963036297915</v>
      </c>
      <c r="AH76" s="137"/>
      <c r="AI76" s="153">
        <f>SUM(AA76,AC76,AE76,AG76)</f>
        <v>52130.512304422962</v>
      </c>
      <c r="AJ76" s="154">
        <f>SUM(AA76,AC76)</f>
        <v>22194.062750399127</v>
      </c>
      <c r="AK76" s="154">
        <f>SUM(AE76,AG76)</f>
        <v>29936.449554023835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-2.1872789504143939E-2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12398.034633007799</v>
      </c>
      <c r="AB78" s="112"/>
      <c r="AC78" s="112">
        <f>IF(AA75&lt;0,0,AA75)</f>
        <v>15776.13416981039</v>
      </c>
      <c r="AD78" s="112"/>
      <c r="AE78" s="112">
        <f>AC75</f>
        <v>18288.905522188263</v>
      </c>
      <c r="AF78" s="112"/>
      <c r="AG78" s="112">
        <f>AE75</f>
        <v>20637.122894819455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18755.036349658018</v>
      </c>
      <c r="AB79" s="112"/>
      <c r="AC79" s="112">
        <f>AA79-AA74+AC65-AC70</f>
        <v>22127.687311724148</v>
      </c>
      <c r="AD79" s="112"/>
      <c r="AE79" s="112">
        <f>AC79-AC74+AE65-AE70</f>
        <v>24642.638093996604</v>
      </c>
      <c r="AF79" s="112"/>
      <c r="AG79" s="112">
        <f>AE79-AE74+AG65-AG70</f>
        <v>34734.331985199795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4.9869279290683133E-2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4.9869279290683133E-2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3.270903414152608E-4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3.270903414152608E-4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3.270903414152608E-4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3.270903414152608E-4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1.0466890925288346E-3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1.0466890925288346E-3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0.28606060606060607</v>
      </c>
      <c r="I99" s="22">
        <f t="shared" si="58"/>
        <v>1.56410492717393</v>
      </c>
      <c r="J99" s="24">
        <f t="shared" si="59"/>
        <v>1.56410492717393</v>
      </c>
      <c r="K99" s="22">
        <f t="shared" si="60"/>
        <v>5.467739681858018</v>
      </c>
      <c r="L99" s="22">
        <f t="shared" si="61"/>
        <v>1.56410492717393</v>
      </c>
      <c r="M99" s="230">
        <f t="shared" si="62"/>
        <v>1.56410492717393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3.9267321728065614</v>
      </c>
      <c r="J119" s="24">
        <f>SUM(J91:J118)</f>
        <v>3.9118916167446356</v>
      </c>
      <c r="K119" s="22">
        <f>SUM(K91:K118)</f>
        <v>9.5489814253680727</v>
      </c>
      <c r="L119" s="22">
        <f>SUM(L91:L118)</f>
        <v>3.9028993593052705</v>
      </c>
      <c r="M119" s="57">
        <f t="shared" si="49"/>
        <v>3.9118916167446356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0.80089519639005768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1.0804383927310726</v>
      </c>
      <c r="M126" s="57">
        <f t="shared" si="65"/>
        <v>0.80089519639005768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2.503140607623084</v>
      </c>
      <c r="J128" s="231">
        <f>(J30)</f>
        <v>0.48038291050302417</v>
      </c>
      <c r="K128" s="22">
        <f>(B128)</f>
        <v>0.60906730012453303</v>
      </c>
      <c r="L128" s="22">
        <f>IF(L124=L119,0,(L119-L124)/(B119-B124)*K128)</f>
        <v>0.19184745672264411</v>
      </c>
      <c r="M128" s="57">
        <f t="shared" si="63"/>
        <v>0.48038291050302417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3.9267321728065614</v>
      </c>
      <c r="J130" s="231">
        <f>(J119)</f>
        <v>3.9118916167446356</v>
      </c>
      <c r="K130" s="22">
        <f>(B130)</f>
        <v>9.5489814253680727</v>
      </c>
      <c r="L130" s="22">
        <f>(L119)</f>
        <v>3.9028993593052705</v>
      </c>
      <c r="M130" s="57">
        <f t="shared" si="63"/>
        <v>3.9118916167446356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0.12658355193700377</v>
      </c>
      <c r="M131" s="240">
        <f>IF(I131&lt;SUM(M126:M127),0,I131-(SUM(M126:M127)))</f>
        <v>0.40612674827801865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0.4</v>
      </c>
      <c r="F45" s="75">
        <f>Middle!F45</f>
        <v>1.18</v>
      </c>
      <c r="G45" s="22">
        <f t="shared" si="32"/>
        <v>1.65</v>
      </c>
      <c r="H45" s="24">
        <f t="shared" si="26"/>
        <v>0.47199999999999998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0.28606060606060607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714.70259150906782</v>
      </c>
      <c r="G72" s="109">
        <f>Poor!T7</f>
        <v>953.88682233765826</v>
      </c>
      <c r="H72" s="109">
        <f>Middle!T7</f>
        <v>828.06359449001707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25.904081032761585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8850.9328383077591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1076.2205271398793</v>
      </c>
      <c r="G77" s="109">
        <f>Poor!T12</f>
        <v>761.58623811695304</v>
      </c>
      <c r="H77" s="109">
        <f>Middle!T12</f>
        <v>250.8423118543499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23821.165714285715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37431.472319286579</v>
      </c>
      <c r="G88" s="109">
        <f>Poor!T23</f>
        <v>46879.523756144816</v>
      </c>
      <c r="H88" s="109">
        <f>Middle!T23</f>
        <v>63261.868921147106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14441.221664038028</v>
      </c>
      <c r="G99" s="242">
        <f t="shared" si="0"/>
        <v>4993.1702271797913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47179.141664038034</v>
      </c>
      <c r="G100" s="242">
        <f t="shared" si="0"/>
        <v>37731.090227179782</v>
      </c>
      <c r="H100" s="242">
        <f t="shared" si="0"/>
        <v>21348.745062177506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2016-06-02T07:18:04Z</dcterms:modified>
  <cp:category/>
</cp:coreProperties>
</file>