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E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E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<sst xmlns="http://schemas.openxmlformats.org/spreadsheetml/2006/main" count="790" uniqueCount="146">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</sst>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0.0168931905354919</c:v>
                </c:pt>
                <c:pt idx="2" formatCode="0.00%">
                  <c:v>0.0168931905354919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0.00810605930884184</c:v>
                </c:pt>
                <c:pt idx="2" formatCode="0.00%">
                  <c:v>0.00810605930884184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0.0443592893835616</c:v>
                </c:pt>
                <c:pt idx="2" formatCode="0.00%">
                  <c:v>0.0443592893835616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0%">
                  <c:v>0.00276176292029888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0%">
                  <c:v>0.00014990099626401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0.00117313823163138</c:v>
                </c:pt>
                <c:pt idx="2" formatCode="0.00%">
                  <c:v>0.00117313823163138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0.000455323785803238</c:v>
                </c:pt>
                <c:pt idx="2" formatCode="0.00%">
                  <c:v>0.000546388542963885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0.00377359464508095</c:v>
                </c:pt>
                <c:pt idx="2" formatCode="0.00%">
                  <c:v>0.00377359464508095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0.00179392387920299</c:v>
                </c:pt>
                <c:pt idx="2" formatCode="0.00%">
                  <c:v>0.00179392387920299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0.000297244707347447</c:v>
                </c:pt>
                <c:pt idx="2" formatCode="0.00%">
                  <c:v>0.000391111457036114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0%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936760"/>
        <c:axId val="1817940056"/>
      </c:barChart>
      <c:catAx>
        <c:axId val="181793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94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94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93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0.0918025984803298</c:v>
                </c:pt>
                <c:pt idx="2">
                  <c:v>0.0918025984803298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0.00688519488602474</c:v>
                </c:pt>
                <c:pt idx="2">
                  <c:v>0.0114753248100412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0.000290448899146806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0.405400274889137</c:v>
                </c:pt>
                <c:pt idx="2">
                  <c:v>0.405400274889137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687256"/>
        <c:axId val="1829690280"/>
      </c:barChart>
      <c:catAx>
        <c:axId val="182968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9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69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8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038520"/>
        <c:axId val="1829035384"/>
      </c:barChart>
      <c:catAx>
        <c:axId val="182903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03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03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03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0.102850169964264</c:v>
                </c:pt>
                <c:pt idx="2">
                  <c:v>0.051425084982132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0.00514250849821319</c:v>
                </c:pt>
                <c:pt idx="2">
                  <c:v>0.00514250849821319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0.00012202562538133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0.0261221999477033</c:v>
                </c:pt>
                <c:pt idx="2">
                  <c:v>0.0261221999477033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8894808"/>
        <c:axId val="1828891672"/>
      </c:barChart>
      <c:catAx>
        <c:axId val="182889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9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89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9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714.9099989598887</c:v>
                </c:pt>
                <c:pt idx="4">
                  <c:v>953.8868223376582</c:v>
                </c:pt>
                <c:pt idx="5">
                  <c:v>831.154164519173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69.99999999999998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176.0746454253474</c:v>
                </c:pt>
                <c:pt idx="4">
                  <c:v>380.7361404779234</c:v>
                </c:pt>
                <c:pt idx="5">
                  <c:v>533.1390735538388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1947.0</c:v>
                </c:pt>
                <c:pt idx="4">
                  <c:v>5841.0</c:v>
                </c:pt>
                <c:pt idx="5">
                  <c:v>9102.857142857143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1087.132635559938</c:v>
                </c:pt>
                <c:pt idx="4">
                  <c:v>787.4326355599383</c:v>
                </c:pt>
                <c:pt idx="5">
                  <c:v>268.9523101884059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35731.74857142857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768520"/>
        <c:axId val="18287651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68520"/>
        <c:axId val="1828765128"/>
      </c:lineChart>
      <c:catAx>
        <c:axId val="18287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876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76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876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233784"/>
        <c:axId val="18302370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33784"/>
        <c:axId val="1830237016"/>
      </c:lineChart>
      <c:catAx>
        <c:axId val="18302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3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23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3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323608"/>
        <c:axId val="18303268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23608"/>
        <c:axId val="1830326888"/>
      </c:lineChart>
      <c:catAx>
        <c:axId val="1830323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2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2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2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0.41253686625158</c:v>
                </c:pt>
                <c:pt idx="2">
                  <c:v>0.41312672627686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-0.524656794211176</c:v>
                </c:pt>
                <c:pt idx="2">
                  <c:v>-0.524656794211176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391864"/>
        <c:axId val="1830395240"/>
      </c:barChart>
      <c:catAx>
        <c:axId val="183039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9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9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9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0.020008232077508</c:v>
                </c:pt>
                <c:pt idx="2">
                  <c:v>0.091938028312373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0.0299994295883767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0.020008232077508</c:v>
                </c:pt>
                <c:pt idx="2">
                  <c:v>0.091938028312373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-0.178565873870213</c:v>
                </c:pt>
                <c:pt idx="2">
                  <c:v>-0.0378122161835853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453720"/>
        <c:axId val="1830457128"/>
      </c:barChart>
      <c:catAx>
        <c:axId val="183045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5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45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5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508968"/>
        <c:axId val="1830512472"/>
      </c:barChart>
      <c:catAx>
        <c:axId val="183050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1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51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0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0.307025189575525</c:v>
                </c:pt>
                <c:pt idx="2">
                  <c:v>0.255478078968012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-0.90852981092681</c:v>
                </c:pt>
                <c:pt idx="2">
                  <c:v>-0.90852981092681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569928"/>
        <c:axId val="1830573304"/>
      </c:barChart>
      <c:catAx>
        <c:axId val="183056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7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57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6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0.0257420046255115</c:v>
                </c:pt>
                <c:pt idx="2" formatCode="0.0%">
                  <c:v>0.0257420046255115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0.00926406778153353</c:v>
                </c:pt>
                <c:pt idx="2" formatCode="0.0%">
                  <c:v>0.00926406778153353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0.0304177984344423</c:v>
                </c:pt>
                <c:pt idx="2" formatCode="0.0%">
                  <c:v>0.0304177984344423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0.00120107009428927</c:v>
                </c:pt>
                <c:pt idx="2" formatCode="0.0%">
                  <c:v>0.00134072940757872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0.000249777619640633</c:v>
                </c:pt>
                <c:pt idx="2" formatCode="0.0%">
                  <c:v>0.000249777619640633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0.000178793808930795</c:v>
                </c:pt>
                <c:pt idx="2" formatCode="0.0%">
                  <c:v>0.000268190713396193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0.00222710051592243</c:v>
                </c:pt>
                <c:pt idx="2" formatCode="0.0%">
                  <c:v>0.00232393097313645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0.0176594898245563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0.11579287058338</c:v>
                </c:pt>
                <c:pt idx="2" formatCode="0.0%">
                  <c:v>0.532069408872614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225656"/>
        <c:axId val="1819228968"/>
      </c:barChart>
      <c:catAx>
        <c:axId val="181922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22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749544"/>
        <c:axId val="18307529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49544"/>
        <c:axId val="18307529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49544"/>
        <c:axId val="1830752968"/>
      </c:scatterChart>
      <c:catAx>
        <c:axId val="1830749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752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0752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7495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115000"/>
        <c:axId val="18301116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115000"/>
        <c:axId val="1830111608"/>
      </c:lineChart>
      <c:catAx>
        <c:axId val="18301150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111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0111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1150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34392"/>
        <c:axId val="18299310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27432"/>
        <c:axId val="1829924536"/>
      </c:scatterChart>
      <c:valAx>
        <c:axId val="18299343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31048"/>
        <c:crosses val="autoZero"/>
        <c:crossBetween val="midCat"/>
      </c:valAx>
      <c:valAx>
        <c:axId val="1829931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34392"/>
        <c:crosses val="autoZero"/>
        <c:crossBetween val="midCat"/>
      </c:valAx>
      <c:valAx>
        <c:axId val="18299274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29924536"/>
        <c:crosses val="autoZero"/>
        <c:crossBetween val="midCat"/>
      </c:valAx>
      <c:valAx>
        <c:axId val="18299245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274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4200"/>
        <c:axId val="18298384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844200"/>
        <c:axId val="1829838440"/>
      </c:lineChart>
      <c:catAx>
        <c:axId val="182984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38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9838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442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539944"/>
        <c:axId val="1818536584"/>
      </c:barChart>
      <c:catAx>
        <c:axId val="18185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53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53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53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>
                  <c:v>0.00405302965442092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0.0319386883561644</c:v>
                </c:pt>
                <c:pt idx="2">
                  <c:v>0.0319386883561644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>
                  <c:v>0.00552352584059776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0.00074950498132005</c:v>
                </c:pt>
                <c:pt idx="2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0.000733211394769614</c:v>
                </c:pt>
                <c:pt idx="2">
                  <c:v>0.000733211394769614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0.000265955790784558</c:v>
                </c:pt>
                <c:pt idx="2">
                  <c:v>0.000312889165628892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408888"/>
        <c:axId val="1818405528"/>
      </c:barChart>
      <c:catAx>
        <c:axId val="181840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4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40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40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0.0114873695641345</c:v>
                </c:pt>
                <c:pt idx="1">
                  <c:v>0.0114873695641345</c:v>
                </c:pt>
                <c:pt idx="2">
                  <c:v>0.0222990115068493</c:v>
                </c:pt>
                <c:pt idx="3">
                  <c:v>0.0222990115068493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0.0324242372353674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0.177437157534247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0.00059960398505604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0.0031440104607721</c:v>
                </c:pt>
                <c:pt idx="3">
                  <c:v>0.00154854246575342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0.00218555417185554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0.0150943785803238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0.00179392387920299</c:v>
                </c:pt>
                <c:pt idx="1">
                  <c:v>0.00179392387920299</c:v>
                </c:pt>
                <c:pt idx="2">
                  <c:v>0.00179392387920299</c:v>
                </c:pt>
                <c:pt idx="3">
                  <c:v>0.00179392387920299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0.00156444582814446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0.001196069173599</c:v>
                </c:pt>
                <c:pt idx="1">
                  <c:v>0.000717804179327522</c:v>
                </c:pt>
                <c:pt idx="2">
                  <c:v>0.000956936676463262</c:v>
                </c:pt>
                <c:pt idx="3">
                  <c:v>0.001196069173599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0.330231023992273</c:v>
                </c:pt>
                <c:pt idx="1">
                  <c:v>0.446005062470998</c:v>
                </c:pt>
                <c:pt idx="2">
                  <c:v>-0.388118043231636</c:v>
                </c:pt>
                <c:pt idx="3">
                  <c:v>-0.388118043231636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314232"/>
        <c:axId val="1818310840"/>
      </c:barChart>
      <c:catAx>
        <c:axId val="1818314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1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831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1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0.00991067178082192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0.0162121186176837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0.127754753424658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0.0029980199252802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0.00196500653798256</c:v>
                </c:pt>
                <c:pt idx="3">
                  <c:v>0.00096783904109589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0.383521822114022</c:v>
                </c:pt>
                <c:pt idx="1">
                  <c:v>-0.127840607371341</c:v>
                </c:pt>
                <c:pt idx="2">
                  <c:v>-0.127840607371341</c:v>
                </c:pt>
                <c:pt idx="3">
                  <c:v>-0.127840607371341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142488"/>
        <c:axId val="1829145864"/>
      </c:barChart>
      <c:catAx>
        <c:axId val="1829142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45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14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4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0.0175045631453478</c:v>
                </c:pt>
                <c:pt idx="1">
                  <c:v>0.0175045631453478</c:v>
                </c:pt>
                <c:pt idx="2">
                  <c:v>0.0339794461056751</c:v>
                </c:pt>
                <c:pt idx="3">
                  <c:v>0.0339794461056751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0.0370562711261341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0.121671193737769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0.00359315481231098</c:v>
                </c:pt>
                <c:pt idx="3">
                  <c:v>0.00176976281800391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0.000999110478562533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0.0431267959437822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0.00107276285358477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0.00273387239679772</c:v>
                </c:pt>
                <c:pt idx="1">
                  <c:v>0.00164069526703434</c:v>
                </c:pt>
                <c:pt idx="2">
                  <c:v>0.00218728383191603</c:v>
                </c:pt>
                <c:pt idx="3">
                  <c:v>0.00273387239679772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0.459633236327059</c:v>
                </c:pt>
                <c:pt idx="1">
                  <c:v>0.577036749933131</c:v>
                </c:pt>
                <c:pt idx="2">
                  <c:v>0.599548919539393</c:v>
                </c:pt>
                <c:pt idx="3">
                  <c:v>0.5626966889891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252856"/>
        <c:axId val="1829256232"/>
      </c:barChart>
      <c:catAx>
        <c:axId val="1829252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56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25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52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358712"/>
        <c:axId val="1829362088"/>
      </c:barChart>
      <c:catAx>
        <c:axId val="182935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36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36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35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0.124291933898226</c:v>
                </c:pt>
                <c:pt idx="2">
                  <c:v>0.124291933898226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0.0124291933898226</c:v>
                </c:pt>
                <c:pt idx="2">
                  <c:v>0.0124291933898226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0.000655400028088572</c:v>
                </c:pt>
                <c:pt idx="2">
                  <c:v>0.00163850007022143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0.0140302420298675</c:v>
                </c:pt>
                <c:pt idx="2">
                  <c:v>0.0140302420298675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542184"/>
        <c:axId val="1829545240"/>
      </c:barChart>
      <c:catAx>
        <c:axId val="182954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4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54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4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7.5080846824408468E-3</v>
      </c>
      <c r="J6" s="24">
        <f t="shared" ref="J6:J13" si="3">IF(I$32&lt;=1+I$131,I6,B6*H6+J$33*(I6-B6*H6))</f>
        <v>7.5080846824408468E-3</v>
      </c>
      <c r="K6" s="22">
        <f t="shared" ref="K6:K31" si="4">B6</f>
        <v>3.7540423412204232E-2</v>
      </c>
      <c r="L6" s="22">
        <f t="shared" ref="L6:L29" si="5">IF(K6="","",K6*H6)</f>
        <v>7.5080846824408468E-3</v>
      </c>
      <c r="M6" s="262">
        <f t="shared" ref="M6:M31" si="6">J6</f>
        <v>7.5080846824408468E-3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3.0032338729763387E-2</v>
      </c>
      <c r="Z6" s="156">
        <f>Poor!Z6</f>
        <v>0.17</v>
      </c>
      <c r="AA6" s="121">
        <f>$M6*Z6*4</f>
        <v>5.1054975840597759E-3</v>
      </c>
      <c r="AB6" s="156">
        <f>Poor!AB6</f>
        <v>0.17</v>
      </c>
      <c r="AC6" s="121">
        <f t="shared" ref="AC6:AC29" si="7">$M6*AB6*4</f>
        <v>5.1054975840597759E-3</v>
      </c>
      <c r="AD6" s="156">
        <f>Poor!AD6</f>
        <v>0.33</v>
      </c>
      <c r="AE6" s="121">
        <f t="shared" ref="AE6:AE29" si="8">$M6*AD6*4</f>
        <v>9.9106717808219186E-3</v>
      </c>
      <c r="AF6" s="122">
        <f>1-SUM(Z6,AB6,AD6)</f>
        <v>0.32999999999999996</v>
      </c>
      <c r="AG6" s="121">
        <f>$M6*AF6*4</f>
        <v>9.9106717808219169E-3</v>
      </c>
      <c r="AH6" s="123">
        <f>SUM(Z6,AB6,AD6,AF6)</f>
        <v>1</v>
      </c>
      <c r="AI6" s="184">
        <f>SUM(AA6,AC6,AE6,AG6)/4</f>
        <v>7.5080846824408468E-3</v>
      </c>
      <c r="AJ6" s="120">
        <f>(AA6+AC6)/2</f>
        <v>5.1054975840597759E-3</v>
      </c>
      <c r="AK6" s="119">
        <f>(AE6+AG6)/2</f>
        <v>9.9106717808219169E-3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4.0530296544209225E-3</v>
      </c>
      <c r="J7" s="24">
        <f t="shared" si="3"/>
        <v>4.0530296544209225E-3</v>
      </c>
      <c r="K7" s="22">
        <f t="shared" si="4"/>
        <v>2.026514827210461E-2</v>
      </c>
      <c r="L7" s="22">
        <f t="shared" si="5"/>
        <v>4.0530296544209225E-3</v>
      </c>
      <c r="M7" s="262">
        <f t="shared" si="6"/>
        <v>4.0530296544209225E-3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714.19520823180289</v>
      </c>
      <c r="T7" s="225">
        <f>IF($B$81=0,0,(SUMIF($N$6:$N$28,$U7,M$6:M$28)+SUMIF($N$91:$N$118,$U7,M$91:M$118))*$I$83*Poor!$B$81/$B$81)</f>
        <v>714.90999895988875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1.621211861768369E-2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1.621211861768369E-2</v>
      </c>
      <c r="AH7" s="123">
        <f t="shared" ref="AH7:AH30" si="12">SUM(Z7,AB7,AD7,AF7)</f>
        <v>1</v>
      </c>
      <c r="AI7" s="184">
        <f t="shared" ref="AI7:AI30" si="13">SUM(AA7,AC7,AE7,AG7)/4</f>
        <v>4.0530296544209225E-3</v>
      </c>
      <c r="AJ7" s="120">
        <f t="shared" ref="AJ7:AJ31" si="14">(AA7+AC7)/2</f>
        <v>0</v>
      </c>
      <c r="AK7" s="119">
        <f t="shared" ref="AK7:AK31" si="15">(AE7+AG7)/2</f>
        <v>8.106059308841845E-3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63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4.1999999999999993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3.1938688356164383E-2</v>
      </c>
      <c r="J9" s="24">
        <f t="shared" si="3"/>
        <v>3.1938688356164383E-2</v>
      </c>
      <c r="K9" s="22">
        <f t="shared" si="4"/>
        <v>0.10646229452054794</v>
      </c>
      <c r="L9" s="22">
        <f t="shared" si="5"/>
        <v>3.1938688356164383E-2</v>
      </c>
      <c r="M9" s="263">
        <f t="shared" si="6"/>
        <v>3.1938688356164383E-2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176.0746454253474</v>
      </c>
      <c r="T9" s="225">
        <f>IF($B$81=0,0,(SUMIF($N$6:$N$28,$U9,M$6:M$28)+SUMIF($N$91:$N$118,$U9,M$91:M$118))*$I$83*Poor!$B$81/$B$81)</f>
        <v>176.0746454253474</v>
      </c>
      <c r="U9" s="226">
        <v>3</v>
      </c>
      <c r="V9" s="56"/>
      <c r="W9" s="115"/>
      <c r="X9" s="118">
        <f>Poor!X9</f>
        <v>1</v>
      </c>
      <c r="Y9" s="184">
        <f t="shared" si="9"/>
        <v>0.12775475342465753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0.12775475342465753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3.1938688356164383E-2</v>
      </c>
      <c r="AJ9" s="120">
        <f t="shared" si="14"/>
        <v>6.3877376712328765E-2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0.2</v>
      </c>
      <c r="H10" s="24">
        <f t="shared" si="1"/>
        <v>0.2</v>
      </c>
      <c r="I10" s="22">
        <f t="shared" si="2"/>
        <v>5.5235258405977586E-3</v>
      </c>
      <c r="J10" s="24">
        <f t="shared" si="3"/>
        <v>5.5235258405977586E-3</v>
      </c>
      <c r="K10" s="22">
        <f t="shared" si="4"/>
        <v>2.761762920298879E-2</v>
      </c>
      <c r="L10" s="22">
        <f t="shared" si="5"/>
        <v>5.5235258405977586E-3</v>
      </c>
      <c r="M10" s="263">
        <f t="shared" si="6"/>
        <v>5.5235258405977586E-3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2.2094103362391034E-2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2.2094103362391034E-2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5.5235258405977586E-3</v>
      </c>
      <c r="AJ10" s="120">
        <f t="shared" si="14"/>
        <v>1.1047051681195517E-2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0.2</v>
      </c>
      <c r="H11" s="24">
        <f t="shared" si="1"/>
        <v>0.2</v>
      </c>
      <c r="I11" s="22">
        <f t="shared" si="2"/>
        <v>7.4950498132004986E-4</v>
      </c>
      <c r="J11" s="24">
        <f t="shared" si="3"/>
        <v>7.4950498132004986E-4</v>
      </c>
      <c r="K11" s="22">
        <f t="shared" si="4"/>
        <v>3.7475249066002492E-3</v>
      </c>
      <c r="L11" s="22">
        <f t="shared" si="5"/>
        <v>7.4950498132004986E-4</v>
      </c>
      <c r="M11" s="263">
        <f t="shared" si="6"/>
        <v>7.4950498132004986E-4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3716.9999999999995</v>
      </c>
      <c r="T11" s="225">
        <f>IF($B$81=0,0,(SUMIF($N$6:$N$28,$U11,M$6:M$28)+SUMIF($N$91:$N$118,$U11,M$91:M$118))*$I$83*Poor!$B$81/$B$81)</f>
        <v>1947</v>
      </c>
      <c r="U11" s="226">
        <v>5</v>
      </c>
      <c r="V11" s="56"/>
      <c r="W11" s="115"/>
      <c r="X11" s="118">
        <f>Poor!X11</f>
        <v>1</v>
      </c>
      <c r="Y11" s="184">
        <f t="shared" si="9"/>
        <v>2.9980199252801995E-3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2.9980199252801995E-3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7.4950498132004986E-4</v>
      </c>
      <c r="AJ11" s="120">
        <f t="shared" si="14"/>
        <v>1.4990099626400997E-3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0.2</v>
      </c>
      <c r="H12" s="24">
        <f t="shared" si="1"/>
        <v>0.2</v>
      </c>
      <c r="I12" s="22">
        <f t="shared" si="2"/>
        <v>7.3321139476961391E-4</v>
      </c>
      <c r="J12" s="24">
        <f t="shared" si="3"/>
        <v>7.3321139476961391E-4</v>
      </c>
      <c r="K12" s="22">
        <f t="shared" si="4"/>
        <v>3.6660569738480695E-3</v>
      </c>
      <c r="L12" s="22">
        <f t="shared" si="5"/>
        <v>7.3321139476961391E-4</v>
      </c>
      <c r="M12" s="263">
        <f t="shared" si="6"/>
        <v>7.3321139476961391E-4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1049.5261084479505</v>
      </c>
      <c r="T12" s="225">
        <f>IF($B$81=0,0,(SUMIF($N$6:$N$28,$U12,M$6:M$28)+SUMIF($N$91:$N$118,$U12,M$91:M$118))*$I$83*Poor!$B$81/$B$81)</f>
        <v>1087.1326355599381</v>
      </c>
      <c r="U12" s="226">
        <v>6</v>
      </c>
      <c r="V12" s="56"/>
      <c r="W12" s="117"/>
      <c r="X12" s="118">
        <v>1</v>
      </c>
      <c r="Y12" s="184">
        <f t="shared" si="9"/>
        <v>2.9328455790784557E-3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1.9650065379825652E-3</v>
      </c>
      <c r="AF12" s="122">
        <f>1-SUM(Z12,AB12,AD12)</f>
        <v>0.32999999999999996</v>
      </c>
      <c r="AG12" s="121">
        <f>$M12*AF12*4</f>
        <v>9.6783904109589021E-4</v>
      </c>
      <c r="AH12" s="123">
        <f t="shared" si="12"/>
        <v>1</v>
      </c>
      <c r="AI12" s="184">
        <f t="shared" si="13"/>
        <v>7.3321139476961381E-4</v>
      </c>
      <c r="AJ12" s="120">
        <f t="shared" si="14"/>
        <v>0</v>
      </c>
      <c r="AK12" s="119">
        <f t="shared" si="15"/>
        <v>1.4664227895392276E-3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3.1288916562889168E-4</v>
      </c>
      <c r="J16" s="24">
        <f t="shared" si="17"/>
        <v>3.1288916562889168E-4</v>
      </c>
      <c r="K16" s="22">
        <f t="shared" ref="K16:K25" si="21">B16</f>
        <v>1.3297789539227895E-3</v>
      </c>
      <c r="L16" s="22">
        <f t="shared" ref="L16:L25" si="22">IF(K16="","",K16*H16)</f>
        <v>2.6595579078455791E-4</v>
      </c>
      <c r="M16" s="264">
        <f t="shared" ref="M16:M25" si="23">J16</f>
        <v>3.1288916562889168E-4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1.0167198007471981E-3</v>
      </c>
      <c r="J17" s="24">
        <f t="shared" si="17"/>
        <v>1.0167198007471981E-3</v>
      </c>
      <c r="K17" s="22">
        <f t="shared" si="21"/>
        <v>5.0835990037359901E-3</v>
      </c>
      <c r="L17" s="22">
        <f t="shared" si="22"/>
        <v>1.0167198007471981E-3</v>
      </c>
      <c r="M17" s="264">
        <f t="shared" si="23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1.2346279576587797E-2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13874.550517317384</v>
      </c>
      <c r="T23" s="179">
        <f>SUM(T7:T22)</f>
        <v>12138.671835157456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4">
        <f>IF(I$32&lt;=1,I30,1-SUM(J6:J29))</f>
        <v>0</v>
      </c>
      <c r="K30" s="22">
        <f t="shared" si="4"/>
        <v>0.58637945846824402</v>
      </c>
      <c r="L30" s="22">
        <f>IF(L124=L119,0,IF(K30="",0,(L119-L124)/(B119-B124)*K30))</f>
        <v>0</v>
      </c>
      <c r="M30" s="23">
        <f t="shared" si="6"/>
        <v>0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19615.316799340555</v>
      </c>
      <c r="T30" s="237">
        <f t="shared" si="24"/>
        <v>21351.195481500483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0.38352182211402203</v>
      </c>
      <c r="AB30" s="122">
        <f>IF($Y30=0,0,AC30/($Y$30))</f>
        <v>0</v>
      </c>
      <c r="AC30" s="188">
        <f>IF(AC79*4/$I$83+SUM(AC6:AC29)&lt;1,AC79*4/$I$83,1-SUM(AC6:AC29))</f>
        <v>-0.12784060737134068</v>
      </c>
      <c r="AD30" s="122">
        <f>IF($Y30=0,0,AE30/($Y$30))</f>
        <v>0</v>
      </c>
      <c r="AE30" s="188">
        <f>IF(AE79*4/$I$83+SUM(AE6:AE29)&lt;1,AE79*4/$I$83,1-SUM(AE6:AE29))</f>
        <v>-0.12784060737134068</v>
      </c>
      <c r="AF30" s="122">
        <f>IF($Y30=0,0,AG30/($Y$30))</f>
        <v>0</v>
      </c>
      <c r="AG30" s="188">
        <f>IF(AG79*4/$I$83+SUM(AG6:AG29)&lt;1,AG79*4/$I$83,1-SUM(AG6:AG29))</f>
        <v>-0.12784060737134068</v>
      </c>
      <c r="AH30" s="123">
        <f t="shared" si="12"/>
        <v>0</v>
      </c>
      <c r="AI30" s="184">
        <f t="shared" si="13"/>
        <v>0</v>
      </c>
      <c r="AJ30" s="120">
        <f t="shared" si="14"/>
        <v>0.12784060737134068</v>
      </c>
      <c r="AK30" s="119">
        <f t="shared" si="15"/>
        <v>-0.12784060737134068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0.55570510212913504</v>
      </c>
      <c r="K31" s="22" t="str">
        <f t="shared" si="4"/>
        <v/>
      </c>
      <c r="L31" s="22">
        <f>(1-SUM(L6:L30))</f>
        <v>0.58085343802630018</v>
      </c>
      <c r="M31" s="244">
        <f t="shared" si="6"/>
        <v>0.55570510212913504</v>
      </c>
      <c r="N31" s="167">
        <f>M31*I83</f>
        <v>8463.3345858772827</v>
      </c>
      <c r="P31" s="22"/>
      <c r="Q31" s="59" t="s">
        <v>142</v>
      </c>
      <c r="R31" s="237">
        <f t="shared" si="24"/>
        <v>0</v>
      </c>
      <c r="S31" s="237">
        <f t="shared" si="24"/>
        <v>37998.143466007226</v>
      </c>
      <c r="T31" s="237">
        <f>IF(T25&gt;T$23,T25-T$23,0)</f>
        <v>39734.022148167147</v>
      </c>
      <c r="U31" s="245"/>
      <c r="V31" s="56"/>
      <c r="W31" s="129" t="s">
        <v>84</v>
      </c>
      <c r="X31" s="130"/>
      <c r="Y31" s="121">
        <f>M31*4</f>
        <v>2.2228204085165402</v>
      </c>
      <c r="Z31" s="131"/>
      <c r="AA31" s="132">
        <f>1-AA32+IF($Y32&lt;0,$Y32/4,0)</f>
        <v>5.8412839171402053E-2</v>
      </c>
      <c r="AB31" s="131"/>
      <c r="AC31" s="133">
        <f>1-AC32+IF($Y32&lt;0,$Y32/4,0)</f>
        <v>0.74928881203576003</v>
      </c>
      <c r="AD31" s="134"/>
      <c r="AE31" s="133">
        <f>1-AE32+IF($Y32&lt;0,$Y32/4,0)</f>
        <v>0.74251863130101525</v>
      </c>
      <c r="AF31" s="134"/>
      <c r="AG31" s="133">
        <f>1-AG32+IF($Y32&lt;0,$Y32/4,0)</f>
        <v>0.7273036801802184</v>
      </c>
      <c r="AH31" s="123"/>
      <c r="AI31" s="183">
        <f>SUM(AA31,AC31,AE31,AG31)/4</f>
        <v>0.56938099067209891</v>
      </c>
      <c r="AJ31" s="135">
        <f t="shared" si="14"/>
        <v>0.40385082560358104</v>
      </c>
      <c r="AK31" s="136">
        <f t="shared" si="15"/>
        <v>0.73491115574061683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0.44429489787086496</v>
      </c>
      <c r="J32" s="17"/>
      <c r="L32" s="22">
        <f>SUM(L6:L30)</f>
        <v>0.41914656197369982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70736.063466007225</v>
      </c>
      <c r="T32" s="237">
        <f t="shared" si="24"/>
        <v>72471.94214816716</v>
      </c>
      <c r="U32" s="56"/>
      <c r="V32" s="56"/>
      <c r="W32" s="110"/>
      <c r="X32" s="118"/>
      <c r="Y32" s="115">
        <f>SUM(Y6:Y31)</f>
        <v>3.9452964458281445</v>
      </c>
      <c r="Z32" s="137"/>
      <c r="AA32" s="138">
        <f>SUM(AA6:AA30)</f>
        <v>0.94158716082859795</v>
      </c>
      <c r="AB32" s="137"/>
      <c r="AC32" s="139">
        <f>SUM(AC6:AC30)</f>
        <v>0.25071118796423997</v>
      </c>
      <c r="AD32" s="137"/>
      <c r="AE32" s="139">
        <f>SUM(AE6:AE30)</f>
        <v>0.25748136869898469</v>
      </c>
      <c r="AF32" s="137"/>
      <c r="AG32" s="139">
        <f>SUM(AG6:AG30)</f>
        <v>0.27269631981978165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26.794155603807351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31270.68756228987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0.1743223219733287</v>
      </c>
      <c r="L37" s="22">
        <f t="shared" ref="L37" si="28">(K37*H37)</f>
        <v>0.10285016996426392</v>
      </c>
      <c r="M37" s="24">
        <f>J37/B$65</f>
        <v>5.1425084982131962E-2</v>
      </c>
      <c r="N37" s="2"/>
      <c r="O37" s="2"/>
      <c r="P37" s="2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1770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1770</v>
      </c>
      <c r="AJ37" s="148">
        <f>(AA37+AC37)</f>
        <v>1770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177</v>
      </c>
      <c r="J38" s="38">
        <f t="shared" ref="J38:J64" si="32">J92*I$83</f>
        <v>176.99999999999997</v>
      </c>
      <c r="K38" s="40">
        <f t="shared" ref="K38:K64" si="33">(B38/B$65)</f>
        <v>8.7161160986664338E-3</v>
      </c>
      <c r="L38" s="22">
        <f t="shared" ref="L38:L64" si="34">(K38*H38)</f>
        <v>5.142508498213196E-3</v>
      </c>
      <c r="M38" s="24">
        <f t="shared" ref="M38:M64" si="35">J38/B$65</f>
        <v>5.1425084982131952E-3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176.99999999999997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176.99999999999997</v>
      </c>
      <c r="AJ38" s="148">
        <f t="shared" ref="AJ38:AJ64" si="38">(AA38+AC38)</f>
        <v>176.99999999999997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1.2202562538133007E-4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899.1</v>
      </c>
      <c r="J44" s="38">
        <f t="shared" si="32"/>
        <v>899.1</v>
      </c>
      <c r="K44" s="40">
        <f t="shared" si="33"/>
        <v>4.7067026932798746E-2</v>
      </c>
      <c r="L44" s="22">
        <f t="shared" si="34"/>
        <v>2.6122199947703307E-2</v>
      </c>
      <c r="M44" s="24">
        <f t="shared" si="35"/>
        <v>2.6122199947703303E-2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224.77500000000001</v>
      </c>
      <c r="AB44" s="156">
        <f>Poor!AB44</f>
        <v>0.25</v>
      </c>
      <c r="AC44" s="147">
        <f t="shared" si="41"/>
        <v>224.77500000000001</v>
      </c>
      <c r="AD44" s="156">
        <f>Poor!AD44</f>
        <v>0.25</v>
      </c>
      <c r="AE44" s="147">
        <f t="shared" si="42"/>
        <v>224.77500000000001</v>
      </c>
      <c r="AF44" s="122">
        <f t="shared" si="29"/>
        <v>0.25</v>
      </c>
      <c r="AG44" s="147">
        <f t="shared" si="36"/>
        <v>224.77500000000001</v>
      </c>
      <c r="AH44" s="123">
        <f t="shared" si="37"/>
        <v>1</v>
      </c>
      <c r="AI44" s="112">
        <f t="shared" si="37"/>
        <v>899.1</v>
      </c>
      <c r="AJ44" s="148">
        <f t="shared" si="38"/>
        <v>449.55</v>
      </c>
      <c r="AK44" s="147">
        <f t="shared" si="39"/>
        <v>449.55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0.62302797873267668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8793.2999999999993</v>
      </c>
      <c r="J65" s="39">
        <f>SUM(J37:J64)</f>
        <v>8793.3000000000011</v>
      </c>
      <c r="K65" s="40">
        <f>SUM(K37:K64)</f>
        <v>1</v>
      </c>
      <c r="L65" s="22">
        <f>SUM(L37:L64)</f>
        <v>0.30702518957552516</v>
      </c>
      <c r="M65" s="24">
        <f>SUM(M37:M64)</f>
        <v>0.25547807896801189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3658.5750000000003</v>
      </c>
      <c r="AB65" s="137"/>
      <c r="AC65" s="153">
        <f>SUM(AC37:AC64)</f>
        <v>1711.5750000000003</v>
      </c>
      <c r="AD65" s="137"/>
      <c r="AE65" s="153">
        <f>SUM(AE37:AE64)</f>
        <v>1711.5750000000003</v>
      </c>
      <c r="AF65" s="137"/>
      <c r="AG65" s="153">
        <f>SUM(AG37:AG64)</f>
        <v>1711.5750000000003</v>
      </c>
      <c r="AH65" s="137"/>
      <c r="AI65" s="153">
        <f>SUM(AI37:AI64)</f>
        <v>8793.3000000000011</v>
      </c>
      <c r="AJ65" s="153">
        <f>SUM(AJ37:AJ64)</f>
        <v>5370.1500000000005</v>
      </c>
      <c r="AK65" s="153">
        <f>SUM(AK37:AK64)</f>
        <v>3423.1500000000005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8793.3000000000011</v>
      </c>
      <c r="J70" s="51">
        <f t="shared" ref="J70:J76" si="44">J124*I$83</f>
        <v>8793.3000000000011</v>
      </c>
      <c r="K70" s="40">
        <f>B70/B$76</f>
        <v>0.44994170361932984</v>
      </c>
      <c r="L70" s="22">
        <f t="shared" ref="L70:L74" si="45">(L124*G$37*F$9/F$7)/B$130</f>
        <v>0.3070251895755251</v>
      </c>
      <c r="M70" s="24">
        <f>J70/B$76</f>
        <v>0.25547807896801189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2198.3250000000003</v>
      </c>
      <c r="AB70" s="156">
        <f>Poor!AB70</f>
        <v>0.25</v>
      </c>
      <c r="AC70" s="147">
        <f>$J70*AB70</f>
        <v>2198.3250000000003</v>
      </c>
      <c r="AD70" s="156">
        <f>Poor!AD70</f>
        <v>0.25</v>
      </c>
      <c r="AE70" s="147">
        <f>$J70*AD70</f>
        <v>2198.3250000000003</v>
      </c>
      <c r="AF70" s="156">
        <f>Poor!AF70</f>
        <v>0.25</v>
      </c>
      <c r="AG70" s="147">
        <f>$J70*AF70</f>
        <v>2198.3250000000003</v>
      </c>
      <c r="AH70" s="155">
        <f>SUM(Z70,AB70,AD70,AF70)</f>
        <v>1</v>
      </c>
      <c r="AI70" s="147">
        <f>SUM(AA70,AC70,AE70,AG70)</f>
        <v>8793.3000000000011</v>
      </c>
      <c r="AJ70" s="148">
        <f>(AA70+AC70)</f>
        <v>4396.6500000000005</v>
      </c>
      <c r="AK70" s="147">
        <f>(AE70+AG70)</f>
        <v>4396.6500000000005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0.45261822443030503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0.15725109625986769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1460.25</v>
      </c>
      <c r="AB74" s="156"/>
      <c r="AC74" s="147">
        <f>AC30*$I$83/4</f>
        <v>-486.75</v>
      </c>
      <c r="AD74" s="156"/>
      <c r="AE74" s="147">
        <f>AE30*$I$83/4</f>
        <v>-486.75</v>
      </c>
      <c r="AF74" s="156"/>
      <c r="AG74" s="147">
        <f>AG30*$I$83/4</f>
        <v>-486.75</v>
      </c>
      <c r="AH74" s="155"/>
      <c r="AI74" s="147">
        <f>SUM(AA74,AC74,AE74,AG74)</f>
        <v>0</v>
      </c>
      <c r="AJ74" s="148">
        <f>(AA74+AC74)</f>
        <v>973.5</v>
      </c>
      <c r="AK74" s="147">
        <f>(AE74+AG74)</f>
        <v>-973.5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8793.3000000000011</v>
      </c>
      <c r="J76" s="51">
        <f t="shared" si="44"/>
        <v>8793.3000000000011</v>
      </c>
      <c r="K76" s="40">
        <f>SUM(K70:K75)</f>
        <v>1.9007419055088401</v>
      </c>
      <c r="L76" s="22">
        <f>SUM(L70:L75)</f>
        <v>0.3070251895755251</v>
      </c>
      <c r="M76" s="24">
        <f>SUM(M70:M75)</f>
        <v>0.25547807896801189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3658.5750000000003</v>
      </c>
      <c r="AB76" s="137"/>
      <c r="AC76" s="153">
        <f>AC65</f>
        <v>1711.5750000000003</v>
      </c>
      <c r="AD76" s="137"/>
      <c r="AE76" s="153">
        <f>AE65</f>
        <v>1711.5750000000003</v>
      </c>
      <c r="AF76" s="137"/>
      <c r="AG76" s="153">
        <f>AG65</f>
        <v>1711.5750000000003</v>
      </c>
      <c r="AH76" s="137"/>
      <c r="AI76" s="153">
        <f>SUM(AA76,AC76,AE76,AG76)</f>
        <v>8793.3000000000011</v>
      </c>
      <c r="AJ76" s="154">
        <f>SUM(AA76,AC76)</f>
        <v>5370.1500000000005</v>
      </c>
      <c r="AK76" s="154">
        <f>SUM(AE76,AG76)</f>
        <v>3423.1500000000005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31270.68756228987</v>
      </c>
      <c r="J77" s="100">
        <f>J131*I$83</f>
        <v>31270.68756228987</v>
      </c>
      <c r="K77" s="40"/>
      <c r="L77" s="22">
        <f>-(L131*G$37*F$9/F$7)/B$130</f>
        <v>-0.90852981092680984</v>
      </c>
      <c r="M77" s="24">
        <f>-J77/B$76</f>
        <v>-0.90852981092680984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222.40546295350234</v>
      </c>
      <c r="AB77" s="112"/>
      <c r="AC77" s="111">
        <f>AC31*$I$83/4</f>
        <v>2852.8989087090986</v>
      </c>
      <c r="AD77" s="112"/>
      <c r="AE77" s="111">
        <f>AE31*$I$83/4</f>
        <v>2827.1216103967959</v>
      </c>
      <c r="AF77" s="112"/>
      <c r="AG77" s="111">
        <f>AG31*$I$83/4</f>
        <v>2769.1910544464795</v>
      </c>
      <c r="AH77" s="110"/>
      <c r="AI77" s="154">
        <f>SUM(AA77,AC77,AE77,AG77)</f>
        <v>8671.6170365058751</v>
      </c>
      <c r="AJ77" s="153">
        <f>SUM(AA77,AC77)</f>
        <v>3075.3043716626007</v>
      </c>
      <c r="AK77" s="160">
        <f>SUM(AE77,AG77)</f>
        <v>5596.3126648432753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1460.25</v>
      </c>
      <c r="AB79" s="112"/>
      <c r="AC79" s="112">
        <f>AA79-AA74+AC65-AC70</f>
        <v>-486.75</v>
      </c>
      <c r="AD79" s="112"/>
      <c r="AE79" s="112">
        <f>AC79-AC74+AE65-AE70</f>
        <v>-486.75</v>
      </c>
      <c r="AF79" s="112"/>
      <c r="AG79" s="112">
        <f>AE79-AE74+AG65-AG70</f>
        <v>-486.75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0.3575757575757576</v>
      </c>
      <c r="I91" s="22">
        <f t="shared" ref="I91:I106" si="54">(D91*H91)</f>
        <v>0.11621873397394607</v>
      </c>
      <c r="J91" s="24">
        <f t="shared" ref="J91:J99" si="55">IF(I$32&lt;=1+I$131,I91,L91+J$33*(I91-L91))</f>
        <v>0.11621873397394607</v>
      </c>
      <c r="K91" s="22">
        <f t="shared" ref="K91:K106" si="56">(B91)</f>
        <v>0.65003698663393561</v>
      </c>
      <c r="L91" s="22">
        <f t="shared" ref="L91:L106" si="57">(K91*H91)</f>
        <v>0.23243746794789213</v>
      </c>
      <c r="M91" s="230">
        <f t="shared" si="49"/>
        <v>0.11621873397394607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0.3575757575757576</v>
      </c>
      <c r="I92" s="22">
        <f t="shared" si="54"/>
        <v>1.1621873397394606E-2</v>
      </c>
      <c r="J92" s="24">
        <f t="shared" si="55"/>
        <v>1.1621873397394606E-2</v>
      </c>
      <c r="K92" s="22">
        <f t="shared" si="56"/>
        <v>3.250184933169678E-2</v>
      </c>
      <c r="L92" s="22">
        <f t="shared" si="57"/>
        <v>1.1621873397394606E-2</v>
      </c>
      <c r="M92" s="230">
        <f t="shared" si="49"/>
        <v>1.1621873397394606E-2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2.7577326705682115E-4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0.33636363636363642</v>
      </c>
      <c r="I98" s="22">
        <f t="shared" si="54"/>
        <v>5.9035177240663796E-2</v>
      </c>
      <c r="J98" s="24">
        <f t="shared" si="55"/>
        <v>5.9035177240663796E-2</v>
      </c>
      <c r="K98" s="22">
        <f t="shared" si="56"/>
        <v>0.17550998639116261</v>
      </c>
      <c r="L98" s="22">
        <f t="shared" si="57"/>
        <v>5.9035177240663796E-2</v>
      </c>
      <c r="M98" s="231">
        <f t="shared" si="49"/>
        <v>5.9035177240663796E-2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2.3232321902296857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0.57737073076446332</v>
      </c>
      <c r="J119" s="24">
        <f>SUM(J91:J118)</f>
        <v>0.57737073076446332</v>
      </c>
      <c r="K119" s="22">
        <f>SUM(K91:K118)</f>
        <v>3.7289371738255719</v>
      </c>
      <c r="L119" s="22">
        <f>SUM(L91:L118)</f>
        <v>0.69386523800546618</v>
      </c>
      <c r="M119" s="57">
        <f t="shared" si="49"/>
        <v>0.57737073076446332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0.57737073076446332</v>
      </c>
      <c r="J124" s="240">
        <f>IF(SUMPRODUCT($B$124:$B124,$H$124:$H124)&lt;J$119,($B124*$H124),J$119)</f>
        <v>0.57737073076446332</v>
      </c>
      <c r="K124" s="29">
        <f>(B124)</f>
        <v>1.6778043446805269</v>
      </c>
      <c r="L124" s="29">
        <f>IF(SUMPRODUCT($B$124:$B124,$H$124:$H124)&lt;L$119,($B124*$H124),L$119)</f>
        <v>0.69386523800546618</v>
      </c>
      <c r="M124" s="243">
        <f t="shared" si="66"/>
        <v>0.57737073076446332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</v>
      </c>
      <c r="J128" s="231">
        <f>(J30)</f>
        <v>0</v>
      </c>
      <c r="K128" s="29">
        <f>(B128)</f>
        <v>0.58637945846824402</v>
      </c>
      <c r="L128" s="29">
        <f>IF(L124=L119,0,(L119-L124)/(B119-B124)*K128)</f>
        <v>0</v>
      </c>
      <c r="M128" s="243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0.57737073076446332</v>
      </c>
      <c r="J130" s="231">
        <f>(J119)</f>
        <v>0.57737073076446332</v>
      </c>
      <c r="K130" s="29">
        <f>(B130)</f>
        <v>3.7289371738255719</v>
      </c>
      <c r="L130" s="29">
        <f>(L119)</f>
        <v>0.69386523800546618</v>
      </c>
      <c r="M130" s="243">
        <f t="shared" si="66"/>
        <v>0.57737073076446332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2.0532427790870909</v>
      </c>
      <c r="J131" s="240">
        <f>IF(SUMPRODUCT($B124:$B125,$H124:$H125)&gt;(J119-J128),SUMPRODUCT($B124:$B125,$H124:$H125)+J128-J119,0)</f>
        <v>2.0532427790870909</v>
      </c>
      <c r="K131" s="29"/>
      <c r="L131" s="29">
        <f>IF(I131&lt;SUM(L126:L127),0,I131-(SUM(L126:L127)))</f>
        <v>2.0532427790870909</v>
      </c>
      <c r="M131" s="240">
        <f>IF(I131&lt;SUM(M126:M127),0,I131-(SUM(M126:M127)))</f>
        <v>2.0532427790870909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1.6893190535491903E-2</v>
      </c>
      <c r="J6" s="24">
        <f t="shared" ref="J6:J13" si="3">IF(I$32&lt;=1+I$131,I6,B6*H6+J$33*(I6-B6*H6))</f>
        <v>1.6893190535491903E-2</v>
      </c>
      <c r="K6" s="22">
        <f t="shared" ref="K6:K31" si="4">B6</f>
        <v>8.4465952677459516E-2</v>
      </c>
      <c r="L6" s="22">
        <f t="shared" ref="L6:L29" si="5">IF(K6="","",K6*H6)</f>
        <v>1.6893190535491903E-2</v>
      </c>
      <c r="M6" s="258">
        <f t="shared" ref="M6:M31" si="6">J6</f>
        <v>1.6893190535491903E-2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6.7572762141967613E-2</v>
      </c>
      <c r="Z6" s="116">
        <v>0.17</v>
      </c>
      <c r="AA6" s="121">
        <f>$M6*Z6*4</f>
        <v>1.1487369564134495E-2</v>
      </c>
      <c r="AB6" s="116">
        <v>0.17</v>
      </c>
      <c r="AC6" s="121">
        <f t="shared" ref="AC6:AC29" si="7">$M6*AB6*4</f>
        <v>1.1487369564134495E-2</v>
      </c>
      <c r="AD6" s="116">
        <v>0.33</v>
      </c>
      <c r="AE6" s="121">
        <f t="shared" ref="AE6:AE29" si="8">$M6*AD6*4</f>
        <v>2.2299011506849313E-2</v>
      </c>
      <c r="AF6" s="122">
        <f>1-SUM(Z6,AB6,AD6)</f>
        <v>0.32999999999999996</v>
      </c>
      <c r="AG6" s="121">
        <f>$M6*AF6*4</f>
        <v>2.229901150684931E-2</v>
      </c>
      <c r="AH6" s="123">
        <f>SUM(Z6,AB6,AD6,AF6)</f>
        <v>1</v>
      </c>
      <c r="AI6" s="184">
        <f>SUM(AA6,AC6,AE6,AG6)/4</f>
        <v>1.6893190535491903E-2</v>
      </c>
      <c r="AJ6" s="120">
        <f>(AA6+AC6)/2</f>
        <v>1.1487369564134495E-2</v>
      </c>
      <c r="AK6" s="119">
        <f>(AE6+AG6)/2</f>
        <v>2.2299011506849313E-2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8.106059308841845E-3</v>
      </c>
      <c r="J7" s="24">
        <f t="shared" si="3"/>
        <v>8.106059308841845E-3</v>
      </c>
      <c r="K7" s="22">
        <f t="shared" si="4"/>
        <v>4.053029654420922E-2</v>
      </c>
      <c r="L7" s="22">
        <f t="shared" si="5"/>
        <v>8.106059308841845E-3</v>
      </c>
      <c r="M7" s="258">
        <f t="shared" si="6"/>
        <v>8.106059308841845E-3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976.3071616851704</v>
      </c>
      <c r="T7" s="225">
        <f>IF($B$81=0,0,(SUMIF($N$6:$N$28,$U7,M$6:M$28)+SUMIF($N$91:$N$118,$U7,M$91:M$118))*$I$83*Poor!$B$81/$B$81)</f>
        <v>953.88682233765826</v>
      </c>
      <c r="U7" s="226">
        <v>1</v>
      </c>
      <c r="V7" s="56"/>
      <c r="W7" s="115"/>
      <c r="X7" s="124">
        <v>4</v>
      </c>
      <c r="Y7" s="184">
        <f t="shared" ref="Y7:Y29" si="9">M7*4</f>
        <v>3.242423723536738E-2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3.242423723536738E-2</v>
      </c>
      <c r="AH7" s="123">
        <f t="shared" ref="AH7:AH30" si="12">SUM(Z7,AB7,AD7,AF7)</f>
        <v>1</v>
      </c>
      <c r="AI7" s="184">
        <f t="shared" ref="AI7:AI30" si="13">SUM(AA7,AC7,AE7,AG7)/4</f>
        <v>8.106059308841845E-3</v>
      </c>
      <c r="AJ7" s="120">
        <f t="shared" ref="AJ7:AJ31" si="14">(AA7+AC7)/2</f>
        <v>0</v>
      </c>
      <c r="AK7" s="119">
        <f t="shared" ref="AK7:AK31" si="15">(AE7+AG7)/2</f>
        <v>1.621211861768369E-2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58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44.79999999999999</v>
      </c>
      <c r="T8" s="225">
        <f>IF($B$81=0,0,(SUMIF($N$6:$N$28,$U8,M$6:M$28)+SUMIF($N$91:$N$118,$U8,M$91:M$118))*$I$83*Poor!$B$81/$B$81)</f>
        <v>69.999999999999986</v>
      </c>
      <c r="U8" s="226">
        <v>2</v>
      </c>
      <c r="V8" s="185"/>
      <c r="W8" s="115"/>
      <c r="X8" s="124"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0.3</v>
      </c>
      <c r="F9" s="28">
        <v>8800</v>
      </c>
      <c r="H9" s="24">
        <f t="shared" si="1"/>
        <v>0.3</v>
      </c>
      <c r="I9" s="22">
        <f t="shared" si="2"/>
        <v>4.435928938356163E-2</v>
      </c>
      <c r="J9" s="24">
        <f t="shared" si="3"/>
        <v>4.435928938356163E-2</v>
      </c>
      <c r="K9" s="22">
        <f t="shared" si="4"/>
        <v>0.14786429794520545</v>
      </c>
      <c r="L9" s="22">
        <f t="shared" si="5"/>
        <v>4.435928938356163E-2</v>
      </c>
      <c r="M9" s="258">
        <f t="shared" si="6"/>
        <v>4.435928938356163E-2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380.73614047792336</v>
      </c>
      <c r="T9" s="225">
        <f>IF($B$81=0,0,(SUMIF($N$6:$N$28,$U9,M$6:M$28)+SUMIF($N$91:$N$118,$U9,M$91:M$118))*$I$83*Poor!$B$81/$B$81)</f>
        <v>380.73614047792336</v>
      </c>
      <c r="U9" s="226">
        <v>3</v>
      </c>
      <c r="V9" s="56"/>
      <c r="W9" s="115"/>
      <c r="X9" s="124">
        <v>1</v>
      </c>
      <c r="Y9" s="184">
        <f t="shared" si="9"/>
        <v>0.17743715753424652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0.17743715753424652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4.435928938356163E-2</v>
      </c>
      <c r="AJ9" s="120">
        <f t="shared" si="14"/>
        <v>8.871857876712326E-2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0.2</v>
      </c>
      <c r="H10" s="24">
        <f t="shared" si="1"/>
        <v>0.2</v>
      </c>
      <c r="I10" s="22">
        <f t="shared" si="2"/>
        <v>2.7617629202988793E-3</v>
      </c>
      <c r="J10" s="24">
        <f t="shared" si="3"/>
        <v>2.7617629202988793E-3</v>
      </c>
      <c r="K10" s="22">
        <f t="shared" si="4"/>
        <v>2.2094103362391038E-2</v>
      </c>
      <c r="L10" s="22">
        <f t="shared" si="5"/>
        <v>4.4188206724782081E-3</v>
      </c>
      <c r="M10" s="258">
        <f t="shared" si="6"/>
        <v>2.7617629202988793E-3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1.1047051681195517E-2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1.1047051681195517E-2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2.7617629202988793E-3</v>
      </c>
      <c r="AJ10" s="120">
        <f t="shared" si="14"/>
        <v>5.5235258405977586E-3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0.2</v>
      </c>
      <c r="H11" s="24">
        <f t="shared" si="1"/>
        <v>0.2</v>
      </c>
      <c r="I11" s="22">
        <f t="shared" si="2"/>
        <v>1.4990099626400997E-4</v>
      </c>
      <c r="J11" s="24">
        <f t="shared" si="3"/>
        <v>1.4990099626400997E-4</v>
      </c>
      <c r="K11" s="22">
        <f t="shared" si="4"/>
        <v>7.4950498132004975E-4</v>
      </c>
      <c r="L11" s="22">
        <f t="shared" si="5"/>
        <v>1.4990099626400997E-4</v>
      </c>
      <c r="M11" s="258">
        <f t="shared" si="6"/>
        <v>1.4990099626400997E-4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5841</v>
      </c>
      <c r="T11" s="225">
        <f>IF($B$81=0,0,(SUMIF($N$6:$N$28,$U11,M$6:M$28)+SUMIF($N$91:$N$118,$U11,M$91:M$118))*$I$83*Poor!$B$81/$B$81)</f>
        <v>5841</v>
      </c>
      <c r="U11" s="226">
        <v>5</v>
      </c>
      <c r="V11" s="56"/>
      <c r="W11" s="115"/>
      <c r="X11" s="124">
        <v>1</v>
      </c>
      <c r="Y11" s="184">
        <f t="shared" si="9"/>
        <v>5.9960398505603987E-4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5.9960398505603987E-4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1.4990099626400997E-4</v>
      </c>
      <c r="AJ11" s="120">
        <f t="shared" si="14"/>
        <v>2.9980199252801993E-4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0.2</v>
      </c>
      <c r="H12" s="24">
        <f t="shared" si="1"/>
        <v>0.2</v>
      </c>
      <c r="I12" s="22">
        <f t="shared" si="2"/>
        <v>1.1731382316313823E-3</v>
      </c>
      <c r="J12" s="24">
        <f t="shared" si="3"/>
        <v>1.1731382316313823E-3</v>
      </c>
      <c r="K12" s="22">
        <f t="shared" si="4"/>
        <v>5.8656911581569104E-3</v>
      </c>
      <c r="L12" s="22">
        <f t="shared" si="5"/>
        <v>1.1731382316313823E-3</v>
      </c>
      <c r="M12" s="258">
        <f t="shared" si="6"/>
        <v>1.1731382316313823E-3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749.82610844795056</v>
      </c>
      <c r="T12" s="225">
        <f>IF($B$81=0,0,(SUMIF($N$6:$N$28,$U12,M$6:M$28)+SUMIF($N$91:$N$118,$U12,M$91:M$118))*$I$83*Poor!$B$81/$B$81)</f>
        <v>787.43263555993826</v>
      </c>
      <c r="U12" s="226">
        <v>6</v>
      </c>
      <c r="V12" s="56"/>
      <c r="W12" s="117"/>
      <c r="X12" s="118"/>
      <c r="Y12" s="184">
        <f t="shared" si="9"/>
        <v>4.6925529265255291E-3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3.1440104607721045E-3</v>
      </c>
      <c r="AF12" s="122">
        <f>1-SUM(Z12,AB12,AD12)</f>
        <v>0.32999999999999996</v>
      </c>
      <c r="AG12" s="121">
        <f>$M12*AF12*4</f>
        <v>1.5485424657534243E-3</v>
      </c>
      <c r="AH12" s="123">
        <f t="shared" si="12"/>
        <v>1</v>
      </c>
      <c r="AI12" s="184">
        <f t="shared" si="13"/>
        <v>1.1731382316313823E-3</v>
      </c>
      <c r="AJ12" s="120">
        <f t="shared" si="14"/>
        <v>0</v>
      </c>
      <c r="AK12" s="119">
        <f t="shared" si="15"/>
        <v>2.3462764632627645E-3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0.2</v>
      </c>
      <c r="H13" s="24">
        <f t="shared" si="1"/>
        <v>0.2</v>
      </c>
      <c r="I13" s="22">
        <f t="shared" si="2"/>
        <v>5.4638854296388541E-4</v>
      </c>
      <c r="J13" s="24">
        <f t="shared" si="3"/>
        <v>5.4638854296388541E-4</v>
      </c>
      <c r="K13" s="22">
        <f t="shared" si="4"/>
        <v>2.2766189290161893E-3</v>
      </c>
      <c r="L13" s="22">
        <f t="shared" si="5"/>
        <v>4.553237858032379E-4</v>
      </c>
      <c r="M13" s="259">
        <f t="shared" si="6"/>
        <v>5.4638854296388541E-4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2.1855541718555417E-3</v>
      </c>
      <c r="Z13" s="116">
        <v>1</v>
      </c>
      <c r="AA13" s="121">
        <f>$M13*Z13*4</f>
        <v>2.1855541718555417E-3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5.4638854296388541E-4</v>
      </c>
      <c r="AJ13" s="120">
        <f t="shared" si="14"/>
        <v>1.0927770859277708E-3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0.2</v>
      </c>
      <c r="F14" s="22"/>
      <c r="H14" s="24">
        <f t="shared" si="1"/>
        <v>0.2</v>
      </c>
      <c r="I14" s="22">
        <f t="shared" si="2"/>
        <v>3.7735946450809469E-3</v>
      </c>
      <c r="J14" s="24">
        <f>IF(I$32&lt;=1+I131,I14,B14*H14+J$33*(I14-B14*H14))</f>
        <v>3.7735946450809469E-3</v>
      </c>
      <c r="K14" s="22">
        <f t="shared" si="4"/>
        <v>1.8867973225404733E-2</v>
      </c>
      <c r="L14" s="22">
        <f t="shared" si="5"/>
        <v>3.7735946450809469E-3</v>
      </c>
      <c r="M14" s="259">
        <f t="shared" si="6"/>
        <v>3.7735946450809469E-3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1.5094378580323788E-2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1.5094378580323788E-2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3.7735946450809469E-3</v>
      </c>
      <c r="AJ14" s="120">
        <f t="shared" si="14"/>
        <v>7.5471892901618938E-3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0.2</v>
      </c>
      <c r="F15" s="22"/>
      <c r="H15" s="24">
        <f t="shared" si="1"/>
        <v>0.2</v>
      </c>
      <c r="I15" s="22">
        <f t="shared" si="2"/>
        <v>1.7939238792029886E-3</v>
      </c>
      <c r="J15" s="24">
        <f>IF(I$32&lt;=1+I131,I15,B15*H15+J$33*(I15-B15*H15))</f>
        <v>1.7939238792029886E-3</v>
      </c>
      <c r="K15" s="22">
        <f t="shared" si="4"/>
        <v>8.9696193960149429E-3</v>
      </c>
      <c r="L15" s="22">
        <f t="shared" si="5"/>
        <v>1.7939238792029886E-3</v>
      </c>
      <c r="M15" s="260">
        <f t="shared" si="6"/>
        <v>1.7939238792029886E-3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7.1756955168119545E-3</v>
      </c>
      <c r="Z15" s="116">
        <v>0.25</v>
      </c>
      <c r="AA15" s="121">
        <f t="shared" si="16"/>
        <v>1.7939238792029886E-3</v>
      </c>
      <c r="AB15" s="116">
        <v>0.25</v>
      </c>
      <c r="AC15" s="121">
        <f t="shared" si="7"/>
        <v>1.7939238792029886E-3</v>
      </c>
      <c r="AD15" s="116">
        <v>0.25</v>
      </c>
      <c r="AE15" s="121">
        <f t="shared" si="8"/>
        <v>1.7939238792029886E-3</v>
      </c>
      <c r="AF15" s="122">
        <f t="shared" si="10"/>
        <v>0.25</v>
      </c>
      <c r="AG15" s="121">
        <f t="shared" si="11"/>
        <v>1.7939238792029886E-3</v>
      </c>
      <c r="AH15" s="123">
        <f t="shared" si="12"/>
        <v>1</v>
      </c>
      <c r="AI15" s="184">
        <f t="shared" si="13"/>
        <v>1.7939238792029886E-3</v>
      </c>
      <c r="AJ15" s="120">
        <f t="shared" si="14"/>
        <v>1.7939238792029886E-3</v>
      </c>
      <c r="AK15" s="119">
        <f t="shared" si="15"/>
        <v>1.7939238792029886E-3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0.2</v>
      </c>
      <c r="F16" s="22"/>
      <c r="H16" s="24">
        <f t="shared" si="1"/>
        <v>0.2</v>
      </c>
      <c r="I16" s="22">
        <f t="shared" si="2"/>
        <v>3.911114570361146E-4</v>
      </c>
      <c r="J16" s="24">
        <f>IF(I$32&lt;=1+I131,I16,B16*H16+J$33*(I16-B16*H16))</f>
        <v>3.911114570361146E-4</v>
      </c>
      <c r="K16" s="22">
        <f t="shared" si="4"/>
        <v>1.4862235367372352E-3</v>
      </c>
      <c r="L16" s="22">
        <f t="shared" si="5"/>
        <v>2.9724470734744706E-4</v>
      </c>
      <c r="M16" s="258">
        <f t="shared" si="6"/>
        <v>3.911114570361146E-4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1.5644458281444584E-3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1.5644458281444584E-3</v>
      </c>
      <c r="AH16" s="123">
        <f t="shared" si="12"/>
        <v>1</v>
      </c>
      <c r="AI16" s="184">
        <f t="shared" si="13"/>
        <v>3.911114570361146E-4</v>
      </c>
      <c r="AJ16" s="120">
        <f t="shared" si="14"/>
        <v>0</v>
      </c>
      <c r="AK16" s="119">
        <f t="shared" si="15"/>
        <v>7.8222291407222921E-4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0.2</v>
      </c>
      <c r="F17" s="22"/>
      <c r="H17" s="24">
        <f t="shared" si="1"/>
        <v>0.2</v>
      </c>
      <c r="I17" s="22">
        <f t="shared" si="2"/>
        <v>1.0167198007471981E-3</v>
      </c>
      <c r="J17" s="24">
        <f t="shared" ref="J17:J25" si="17">IF(I$32&lt;=1+I131,I17,B17*H17+J$33*(I17-B17*H17))</f>
        <v>1.0167198007471981E-3</v>
      </c>
      <c r="K17" s="22">
        <f t="shared" si="4"/>
        <v>5.0835990037359901E-3</v>
      </c>
      <c r="L17" s="22">
        <f t="shared" si="5"/>
        <v>1.0167198007471981E-3</v>
      </c>
      <c r="M17" s="259">
        <f t="shared" si="6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4.0668792029887922E-3</v>
      </c>
      <c r="Z17" s="116">
        <v>0.29409999999999997</v>
      </c>
      <c r="AA17" s="121">
        <f t="shared" si="16"/>
        <v>1.1960691735990038E-3</v>
      </c>
      <c r="AB17" s="116">
        <v>0.17649999999999999</v>
      </c>
      <c r="AC17" s="121">
        <f t="shared" si="7"/>
        <v>7.1780417932752175E-4</v>
      </c>
      <c r="AD17" s="116">
        <v>0.23530000000000001</v>
      </c>
      <c r="AE17" s="121">
        <f t="shared" si="8"/>
        <v>9.5693667646326282E-4</v>
      </c>
      <c r="AF17" s="122">
        <f t="shared" si="10"/>
        <v>0.29410000000000003</v>
      </c>
      <c r="AG17" s="121">
        <f t="shared" si="11"/>
        <v>1.196069173599004E-3</v>
      </c>
      <c r="AH17" s="123">
        <f t="shared" si="12"/>
        <v>1</v>
      </c>
      <c r="AI17" s="184">
        <f t="shared" si="13"/>
        <v>1.0167198007471981E-3</v>
      </c>
      <c r="AJ17" s="120">
        <f t="shared" si="14"/>
        <v>9.5693667646326282E-4</v>
      </c>
      <c r="AK17" s="119">
        <f t="shared" si="15"/>
        <v>1.0765029250311333E-3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1.2346279576587797E-2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4.9385118306351186E-2</v>
      </c>
      <c r="Z18" s="116">
        <v>1.2941</v>
      </c>
      <c r="AA18" s="121">
        <f t="shared" ref="AA18:AA20" si="25">$M18*Z18*4</f>
        <v>6.3909281600249071E-2</v>
      </c>
      <c r="AB18" s="116">
        <v>1.1765000000000001</v>
      </c>
      <c r="AC18" s="121">
        <f t="shared" ref="AC18:AC20" si="26">$M18*AB18*4</f>
        <v>5.8101591687422176E-2</v>
      </c>
      <c r="AD18" s="116">
        <v>1.2353000000000001</v>
      </c>
      <c r="AE18" s="121">
        <f t="shared" ref="AE18:AE20" si="27">$M18*AD18*4</f>
        <v>6.1005436643835627E-2</v>
      </c>
      <c r="AF18" s="122">
        <f t="shared" ref="AF18:AF20" si="28">1-SUM(Z18,AB18,AD18)</f>
        <v>-2.7059000000000002</v>
      </c>
      <c r="AG18" s="121">
        <f t="shared" ref="AG18:AG20" si="29">$M18*AF18*4</f>
        <v>-0.13363119162515569</v>
      </c>
      <c r="AH18" s="123">
        <f t="shared" ref="AH18:AH20" si="30">SUM(Z18,AB18,AD18,AF18)</f>
        <v>1</v>
      </c>
      <c r="AI18" s="184">
        <f t="shared" ref="AI18:AI20" si="31">SUM(AA18,AC18,AE18,AG18)/4</f>
        <v>1.2346279576587793E-2</v>
      </c>
      <c r="AJ18" s="120">
        <f t="shared" ref="AJ18:AJ20" si="32">(AA18+AC18)/2</f>
        <v>6.100543664383562E-2</v>
      </c>
      <c r="AK18" s="119">
        <f t="shared" ref="AK18:AK20" si="33">(AE18+AG18)/2</f>
        <v>-3.6312877490660034E-2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21398.223965823327</v>
      </c>
      <c r="T23" s="179">
        <f>SUM(T7:T22)</f>
        <v>21438.610153587801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4">
        <f>IF(I$32&lt;=1,I30,1-SUM(J6:J29))</f>
        <v>0</v>
      </c>
      <c r="K30" s="22">
        <f t="shared" si="4"/>
        <v>0.52739667515566635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12091.643350834605</v>
      </c>
      <c r="T30" s="237">
        <f t="shared" si="50"/>
        <v>12051.257163070131</v>
      </c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0.33023102399227322</v>
      </c>
      <c r="AB30" s="122">
        <f>IF($Y30=0,0,AC30/($Y$30))</f>
        <v>0</v>
      </c>
      <c r="AC30" s="188">
        <f>IF(AC79*4/$I$83+SUM(AC6:AC29)&lt;1,AC79*4/$I$83,1-SUM(AC6:AC29))</f>
        <v>0.44600506247099769</v>
      </c>
      <c r="AD30" s="122">
        <f>IF($Y30=0,0,AE30/($Y$30))</f>
        <v>0</v>
      </c>
      <c r="AE30" s="188">
        <f>IF(AE79*4/$I$83+SUM(AE6:AE29)&lt;1,AE79*4/$I$83,1-SUM(AE6:AE29))</f>
        <v>-0.38811804323163585</v>
      </c>
      <c r="AF30" s="122">
        <f>IF($Y30=0,0,AG30/($Y$30))</f>
        <v>0</v>
      </c>
      <c r="AG30" s="188">
        <f>IF(AG79*4/$I$83+SUM(AG6:AG29)&lt;1,AG79*4/$I$83,1-SUM(AG6:AG29))</f>
        <v>-0.38811804323163585</v>
      </c>
      <c r="AH30" s="123">
        <f t="shared" si="12"/>
        <v>0</v>
      </c>
      <c r="AI30" s="184">
        <f t="shared" si="13"/>
        <v>-1.9428902930940239E-16</v>
      </c>
      <c r="AJ30" s="120">
        <f t="shared" si="14"/>
        <v>0.38811804323163546</v>
      </c>
      <c r="AK30" s="119">
        <f t="shared" si="15"/>
        <v>-0.38811804323163585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0.52657567630410373</v>
      </c>
      <c r="K31" s="22" t="str">
        <f t="shared" si="4"/>
        <v/>
      </c>
      <c r="L31" s="22">
        <f>(1-SUM(L6:L30))</f>
        <v>0.46605346612405851</v>
      </c>
      <c r="M31" s="178">
        <f t="shared" si="6"/>
        <v>0.52657567630410373</v>
      </c>
      <c r="N31" s="167">
        <f>M31*I83</f>
        <v>8019.6962674469351</v>
      </c>
      <c r="P31" s="22"/>
      <c r="Q31" s="241" t="s">
        <v>142</v>
      </c>
      <c r="R31" s="237">
        <f t="shared" si="50"/>
        <v>0</v>
      </c>
      <c r="S31" s="237">
        <f t="shared" si="50"/>
        <v>30474.47001750128</v>
      </c>
      <c r="T31" s="237">
        <f>IF(T25&gt;T$23,T25-T$23,0)</f>
        <v>30434.083829736806</v>
      </c>
      <c r="V31" s="56"/>
      <c r="W31" s="129" t="s">
        <v>84</v>
      </c>
      <c r="X31" s="130"/>
      <c r="Y31" s="121">
        <f>M31*4</f>
        <v>2.1063027052164149</v>
      </c>
      <c r="Z31" s="131"/>
      <c r="AA31" s="132">
        <f>1-AA32+IF($Y32&lt;0,$Y32/4,0)</f>
        <v>0</v>
      </c>
      <c r="AB31" s="131"/>
      <c r="AC31" s="133">
        <f>1-AC32+IF($Y32&lt;0,$Y32/4,0)</f>
        <v>9.3353571887070386E-2</v>
      </c>
      <c r="AD31" s="134"/>
      <c r="AE31" s="133">
        <f>1-AE32+IF($Y32&lt;0,$Y32/4,0)</f>
        <v>0.92547242631299165</v>
      </c>
      <c r="AF31" s="134"/>
      <c r="AG31" s="133">
        <f>1-AG32+IF($Y32&lt;0,$Y32/4,0)</f>
        <v>1.087476707016354</v>
      </c>
      <c r="AH31" s="123"/>
      <c r="AI31" s="183">
        <f>SUM(AA31,AC31,AE31,AG31)/4</f>
        <v>0.52657567630410407</v>
      </c>
      <c r="AJ31" s="135">
        <f t="shared" si="14"/>
        <v>4.6676785943535193E-2</v>
      </c>
      <c r="AK31" s="136">
        <f t="shared" si="15"/>
        <v>1.0064745666646728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0.47342432369589627</v>
      </c>
      <c r="J32" s="17"/>
      <c r="L32" s="22">
        <f>SUM(L6:L30)</f>
        <v>0.53394653387594149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63212.390017501268</v>
      </c>
      <c r="T32" s="237">
        <f t="shared" si="50"/>
        <v>63172.003829736801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0.90664642811292961</v>
      </c>
      <c r="AD32" s="137"/>
      <c r="AE32" s="139">
        <f>SUM(AE6:AE30)</f>
        <v>7.4527573687008408E-2</v>
      </c>
      <c r="AF32" s="137"/>
      <c r="AG32" s="139">
        <f>SUM(AG6:AG30)</f>
        <v>-8.7476707016353961E-2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-9.8128285753056002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22414.387562289867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5310</v>
      </c>
      <c r="J37" s="38">
        <f t="shared" ref="J37:J49" si="53">J91*I$83</f>
        <v>5310</v>
      </c>
      <c r="K37" s="40">
        <f t="shared" ref="K37:K49" si="54">(B37/B$65)</f>
        <v>0.2106642947427555</v>
      </c>
      <c r="L37" s="22">
        <f t="shared" ref="L37:L49" si="55">(K37*H37)</f>
        <v>0.12429193389822574</v>
      </c>
      <c r="M37" s="24">
        <f t="shared" ref="M37:M49" si="56">J37/B$65</f>
        <v>0.12429193389822574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0.45627402561812574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2422.8150760322478</v>
      </c>
      <c r="AB37" s="122">
        <f>IF($J37=0,0,AC37/($J37))</f>
        <v>0.5437259743818742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2887.1849239677522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5310</v>
      </c>
      <c r="AJ37" s="148">
        <f>(AA37+AC37)</f>
        <v>5310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531</v>
      </c>
      <c r="J38" s="38">
        <f t="shared" si="53"/>
        <v>531</v>
      </c>
      <c r="K38" s="40">
        <f t="shared" si="54"/>
        <v>2.106642947427555E-2</v>
      </c>
      <c r="L38" s="22">
        <f t="shared" si="55"/>
        <v>1.2429193389822573E-2</v>
      </c>
      <c r="M38" s="24">
        <f t="shared" si="56"/>
        <v>1.2429193389822573E-2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0.45627402561812574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242.28150760322478</v>
      </c>
      <c r="AB38" s="122">
        <f>IF($J38=0,0,AC38/($J38))</f>
        <v>0.5437259743818742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288.71849239677522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531</v>
      </c>
      <c r="AJ38" s="148">
        <f t="shared" ref="AJ38:AJ64" si="62">(AA38+AC38)</f>
        <v>531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69.999999999999986</v>
      </c>
      <c r="J39" s="38">
        <f t="shared" si="53"/>
        <v>69.999999999999986</v>
      </c>
      <c r="K39" s="40">
        <f t="shared" si="54"/>
        <v>2.3407143860306166E-3</v>
      </c>
      <c r="L39" s="22">
        <f t="shared" si="55"/>
        <v>6.5540002808857258E-4</v>
      </c>
      <c r="M39" s="24">
        <f t="shared" si="56"/>
        <v>1.6385000702214313E-3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69.999999999999986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69.999999999999986</v>
      </c>
      <c r="AJ39" s="148">
        <f t="shared" si="62"/>
        <v>69.999999999999986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1.9662000842657178E-4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1.9662000842657178E-4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599.40000000000009</v>
      </c>
      <c r="J44" s="38">
        <f t="shared" si="53"/>
        <v>599.40000000000009</v>
      </c>
      <c r="K44" s="40">
        <f t="shared" si="54"/>
        <v>2.5279715369130658E-2</v>
      </c>
      <c r="L44" s="22">
        <f t="shared" si="55"/>
        <v>1.4030242029867517E-2</v>
      </c>
      <c r="M44" s="24">
        <f t="shared" si="56"/>
        <v>1.4030242029867518E-2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149.85000000000002</v>
      </c>
      <c r="AB44" s="116">
        <v>0.25</v>
      </c>
      <c r="AC44" s="147">
        <f t="shared" si="65"/>
        <v>149.85000000000002</v>
      </c>
      <c r="AD44" s="116">
        <v>0.25</v>
      </c>
      <c r="AE44" s="147">
        <f t="shared" si="66"/>
        <v>149.85000000000002</v>
      </c>
      <c r="AF44" s="122">
        <f t="shared" si="57"/>
        <v>0.25</v>
      </c>
      <c r="AG44" s="147">
        <f t="shared" si="60"/>
        <v>149.85000000000002</v>
      </c>
      <c r="AH44" s="123">
        <f t="shared" si="61"/>
        <v>1</v>
      </c>
      <c r="AI44" s="112">
        <f t="shared" si="61"/>
        <v>599.40000000000009</v>
      </c>
      <c r="AJ44" s="148">
        <f t="shared" si="62"/>
        <v>299.70000000000005</v>
      </c>
      <c r="AK44" s="147">
        <f t="shared" si="63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0.50517297879312761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17649.599999999999</v>
      </c>
      <c r="J65" s="39">
        <f>SUM(J37:J64)</f>
        <v>17649.599999999999</v>
      </c>
      <c r="K65" s="40">
        <f>SUM(K37:K64)</f>
        <v>0.99999999999999989</v>
      </c>
      <c r="L65" s="22">
        <f>SUM(L37:L64)</f>
        <v>0.41253686625157993</v>
      </c>
      <c r="M65" s="24">
        <f>SUM(M37:M64)</f>
        <v>0.41312672627685965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5669.7465836354722</v>
      </c>
      <c r="AB65" s="137"/>
      <c r="AC65" s="153">
        <f>SUM(AC37:AC64)</f>
        <v>6110.553416364527</v>
      </c>
      <c r="AD65" s="137"/>
      <c r="AE65" s="153">
        <f>SUM(AE37:AE64)</f>
        <v>2934.65</v>
      </c>
      <c r="AF65" s="137"/>
      <c r="AG65" s="153">
        <f>SUM(AG37:AG64)</f>
        <v>2934.65</v>
      </c>
      <c r="AH65" s="137"/>
      <c r="AI65" s="153">
        <f>SUM(AI37:AI64)</f>
        <v>17649.599999999999</v>
      </c>
      <c r="AJ65" s="153">
        <f>SUM(AJ37:AJ64)</f>
        <v>11780.3</v>
      </c>
      <c r="AK65" s="153">
        <f>SUM(AK37:AK64)</f>
        <v>5869.3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17649.600000000002</v>
      </c>
      <c r="J70" s="51">
        <f t="shared" ref="J70:J77" si="75">J124*I$83</f>
        <v>17649.600000000002</v>
      </c>
      <c r="K70" s="40">
        <f>B70/B$76</f>
        <v>0.36249575153021191</v>
      </c>
      <c r="L70" s="22">
        <f t="shared" ref="L70:L75" si="76">(L124*G$37*F$9/F$7)/B$130</f>
        <v>0.41253686625157993</v>
      </c>
      <c r="M70" s="24">
        <f>J70/B$76</f>
        <v>0.41312672627685976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4412.4000000000005</v>
      </c>
      <c r="AB70" s="116">
        <v>0.25</v>
      </c>
      <c r="AC70" s="147">
        <f>$J70*AB70</f>
        <v>4412.4000000000005</v>
      </c>
      <c r="AD70" s="116">
        <v>0.25</v>
      </c>
      <c r="AE70" s="147">
        <f>$J70*AD70</f>
        <v>4412.4000000000005</v>
      </c>
      <c r="AF70" s="122">
        <f>1-SUM(Z70,AB70,AD70)</f>
        <v>0.25</v>
      </c>
      <c r="AG70" s="147">
        <f>$J70*AF70</f>
        <v>4412.4000000000005</v>
      </c>
      <c r="AH70" s="155">
        <f>SUM(Z70,AB70,AD70,AF70)</f>
        <v>1</v>
      </c>
      <c r="AI70" s="147">
        <f>SUM(AA70,AC70,AE70,AG70)</f>
        <v>17649.600000000002</v>
      </c>
      <c r="AJ70" s="148">
        <f>(AA70+AC70)</f>
        <v>8824.8000000000011</v>
      </c>
      <c r="AK70" s="147">
        <f>(AE70+AG70)</f>
        <v>8824.8000000000011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0.36465209181842301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0.1139459763119704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1257.3465836354724</v>
      </c>
      <c r="AB74" s="156"/>
      <c r="AC74" s="147">
        <f>AC30*$I$83/4</f>
        <v>1698.1534163645256</v>
      </c>
      <c r="AD74" s="156"/>
      <c r="AE74" s="147">
        <f>AE30*$I$83/4</f>
        <v>-1477.7500000000005</v>
      </c>
      <c r="AF74" s="156"/>
      <c r="AG74" s="147">
        <f>AG30*$I$83/4</f>
        <v>-1477.7500000000005</v>
      </c>
      <c r="AH74" s="155"/>
      <c r="AI74" s="147">
        <f>SUM(AA74,AC74,AE74,AG74)</f>
        <v>-2.7284841053187847E-12</v>
      </c>
      <c r="AJ74" s="148">
        <f>(AA74+AC74)</f>
        <v>2955.4999999999982</v>
      </c>
      <c r="AK74" s="147">
        <f>(AE74+AG74)</f>
        <v>-2955.5000000000009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17649.600000000002</v>
      </c>
      <c r="J76" s="51">
        <f t="shared" si="75"/>
        <v>17649.600000000002</v>
      </c>
      <c r="K76" s="40">
        <f>SUM(K70:K75)</f>
        <v>1.5291234062904446</v>
      </c>
      <c r="L76" s="22">
        <f>SUM(L70:L75)</f>
        <v>0.41253686625157993</v>
      </c>
      <c r="M76" s="24">
        <f>SUM(M70:M75)</f>
        <v>0.41312672627685976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5669.7465836354722</v>
      </c>
      <c r="AB76" s="137"/>
      <c r="AC76" s="153">
        <f>AC65</f>
        <v>6110.553416364527</v>
      </c>
      <c r="AD76" s="137"/>
      <c r="AE76" s="153">
        <f>AE65</f>
        <v>2934.65</v>
      </c>
      <c r="AF76" s="137"/>
      <c r="AG76" s="153">
        <f>AG65</f>
        <v>2934.65</v>
      </c>
      <c r="AH76" s="137"/>
      <c r="AI76" s="153">
        <f>SUM(AA76,AC76,AE76,AG76)</f>
        <v>17649.599999999999</v>
      </c>
      <c r="AJ76" s="154">
        <f>SUM(AA76,AC76)</f>
        <v>11780.3</v>
      </c>
      <c r="AK76" s="154">
        <f>SUM(AE76,AG76)</f>
        <v>5869.3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22414.38756228987</v>
      </c>
      <c r="J77" s="100">
        <f t="shared" si="75"/>
        <v>22414.38756228987</v>
      </c>
      <c r="K77" s="40"/>
      <c r="L77" s="22">
        <f>-(L131*G$37*F$9/F$7)/B$130</f>
        <v>-0.52465679421117628</v>
      </c>
      <c r="M77" s="24">
        <f>-J77/B$76</f>
        <v>-0.52465679421117617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355.44145205788675</v>
      </c>
      <c r="AD77" s="112"/>
      <c r="AE77" s="111">
        <f>AE31*$I$83/4</f>
        <v>3523.7137304843245</v>
      </c>
      <c r="AF77" s="112"/>
      <c r="AG77" s="111">
        <f>AG31*$I$83/4</f>
        <v>4140.5410849047285</v>
      </c>
      <c r="AH77" s="110"/>
      <c r="AI77" s="154">
        <f>SUM(AA77,AC77,AE77,AG77)</f>
        <v>8019.6962674469396</v>
      </c>
      <c r="AJ77" s="153">
        <f>SUM(AA77,AC77)</f>
        <v>355.44145205788675</v>
      </c>
      <c r="AK77" s="160">
        <f>SUM(AE77,AG77)</f>
        <v>7664.254815389053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1257.3465836354717</v>
      </c>
      <c r="AB79" s="112"/>
      <c r="AC79" s="112">
        <f>AA79-AA74+AC65-AC70</f>
        <v>1698.1534163645256</v>
      </c>
      <c r="AD79" s="112"/>
      <c r="AE79" s="112">
        <f>AC79-AC74+AE65-AE70</f>
        <v>-1477.7500000000005</v>
      </c>
      <c r="AF79" s="112"/>
      <c r="AG79" s="112">
        <f>AE79-AE74+AG65-AG70</f>
        <v>-1477.7500000000005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0.3575757575757576</v>
      </c>
      <c r="I91" s="22">
        <f t="shared" ref="I91" si="82">(D91*H91)</f>
        <v>0.34865620192183822</v>
      </c>
      <c r="J91" s="24">
        <f>IF(I$32&lt;=1+I$131,I91,L91+J$33*(I91-L91))</f>
        <v>0.34865620192183822</v>
      </c>
      <c r="K91" s="22">
        <f t="shared" ref="K91" si="83">IF(B91="",0,B91)</f>
        <v>0.97505547995090347</v>
      </c>
      <c r="L91" s="22">
        <f t="shared" ref="L91" si="84">(K91*H91)</f>
        <v>0.34865620192183822</v>
      </c>
      <c r="M91" s="230">
        <f t="shared" si="80"/>
        <v>0.34865620192183822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0.3575757575757576</v>
      </c>
      <c r="I92" s="22">
        <f t="shared" ref="I92:I118" si="88">(D92*H92)</f>
        <v>3.4865620192183824E-2</v>
      </c>
      <c r="J92" s="24">
        <f t="shared" ref="J92:J118" si="89">IF(I$32&lt;=1+I$131,I92,L92+J$33*(I92-L92))</f>
        <v>3.4865620192183824E-2</v>
      </c>
      <c r="K92" s="22">
        <f t="shared" ref="K92:K118" si="90">IF(B92="",0,B92)</f>
        <v>9.7505547995090341E-2</v>
      </c>
      <c r="L92" s="22">
        <f t="shared" ref="L92:L118" si="91">(K92*H92)</f>
        <v>3.4865620192183824E-2</v>
      </c>
      <c r="M92" s="230">
        <f t="shared" ref="M92:M118" si="92">(J92)</f>
        <v>3.4865620192183824E-2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0.16969696969696968</v>
      </c>
      <c r="I93" s="22">
        <f t="shared" si="88"/>
        <v>4.5962211176136854E-3</v>
      </c>
      <c r="J93" s="24">
        <f t="shared" si="89"/>
        <v>4.5962211176136854E-3</v>
      </c>
      <c r="K93" s="22">
        <f t="shared" si="90"/>
        <v>1.083394977723226E-2</v>
      </c>
      <c r="L93" s="22">
        <f t="shared" si="91"/>
        <v>1.8384884470454743E-3</v>
      </c>
      <c r="M93" s="230">
        <f t="shared" si="92"/>
        <v>4.5962211176136854E-3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5.5154653411364229E-4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5.5154653411364229E-4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0.33636363636363642</v>
      </c>
      <c r="I98" s="22">
        <f t="shared" si="88"/>
        <v>3.9356784827109199E-2</v>
      </c>
      <c r="J98" s="24">
        <f t="shared" si="89"/>
        <v>3.9356784827109199E-2</v>
      </c>
      <c r="K98" s="22">
        <f t="shared" si="90"/>
        <v>0.11700665759410842</v>
      </c>
      <c r="L98" s="22">
        <f t="shared" si="91"/>
        <v>3.9356784827109199E-2</v>
      </c>
      <c r="M98" s="230">
        <f t="shared" si="92"/>
        <v>3.9356784827109199E-2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2.3381830409222664</v>
      </c>
      <c r="L101" s="22">
        <f t="shared" si="91"/>
        <v>0</v>
      </c>
      <c r="M101" s="230">
        <f t="shared" si="9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1.158878060534779</v>
      </c>
      <c r="J119" s="24">
        <f>SUM(J91:J118)</f>
        <v>1.158878060534779</v>
      </c>
      <c r="K119" s="22">
        <f>SUM(K91:K118)</f>
        <v>4.6284800238291659</v>
      </c>
      <c r="L119" s="22">
        <f>SUM(L91:L118)</f>
        <v>1.1572234209324379</v>
      </c>
      <c r="M119" s="57">
        <f t="shared" si="80"/>
        <v>1.158878060534779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1.158878060534779</v>
      </c>
      <c r="J124" s="240">
        <f>IF(SUMPRODUCT($B$124:$B124,$H$124:$H124)&lt;J$119,($B124*$H124),J$119)</f>
        <v>1.158878060534779</v>
      </c>
      <c r="K124" s="29">
        <f>(B124)</f>
        <v>1.6778043446805269</v>
      </c>
      <c r="L124" s="29">
        <f>IF(SUMPRODUCT($B$124:$B124,$H$124:$H124)&lt;L$119,($B124*$H124),L$119)</f>
        <v>1.1572234209324379</v>
      </c>
      <c r="M124" s="243">
        <f t="shared" si="93"/>
        <v>1.158878060534779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0</v>
      </c>
      <c r="J128" s="231">
        <f>(J30)</f>
        <v>0</v>
      </c>
      <c r="K128" s="29">
        <f>(B128)</f>
        <v>0.52739667515566635</v>
      </c>
      <c r="L128" s="29">
        <f>IF(L124=L119,0,(L119-L124)/(B119-B124)*K128)</f>
        <v>0</v>
      </c>
      <c r="M128" s="243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1.158878060534779</v>
      </c>
      <c r="J130" s="231">
        <f>(J119)</f>
        <v>1.158878060534779</v>
      </c>
      <c r="K130" s="29">
        <f>(B130)</f>
        <v>4.6284800238291659</v>
      </c>
      <c r="L130" s="29">
        <f>(L119)</f>
        <v>1.1572234209324379</v>
      </c>
      <c r="M130" s="243">
        <f t="shared" si="93"/>
        <v>1.158878060534779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1.4717354493167751</v>
      </c>
      <c r="J131" s="240">
        <f>IF(SUMPRODUCT($B124:$B125,$H124:$H125)&gt;(J119-J128),SUMPRODUCT($B124:$B125,$H124:$H125)+J128-J119,0)</f>
        <v>1.4717354493167751</v>
      </c>
      <c r="K131" s="29"/>
      <c r="L131" s="29">
        <f>IF(I131&lt;SUM(L126:L127),0,I131-(SUM(L126:L127)))</f>
        <v>1.4717354493167751</v>
      </c>
      <c r="M131" s="240">
        <f>IF(I131&lt;SUM(M126:M127),0,I131-(SUM(M126:M127)))</f>
        <v>1.4717354493167751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2.5742004625511475E-2</v>
      </c>
      <c r="J6" s="24">
        <f t="shared" ref="J6:J13" si="3">IF(I$32&lt;=1+I$131,I6,B6*H6+J$33*(I6-B6*H6))</f>
        <v>2.5742004625511475E-2</v>
      </c>
      <c r="K6" s="22">
        <f t="shared" ref="K6:K31" si="4">B6</f>
        <v>0.12871002312755736</v>
      </c>
      <c r="L6" s="22">
        <f t="shared" ref="L6:L29" si="5">IF(K6="","",K6*H6)</f>
        <v>2.5742004625511475E-2</v>
      </c>
      <c r="M6" s="227">
        <f t="shared" ref="M6:M31" si="6">J6</f>
        <v>2.5742004625511475E-2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0.1029680185020459</v>
      </c>
      <c r="Z6" s="156">
        <f>Poor!Z6</f>
        <v>0.17</v>
      </c>
      <c r="AA6" s="121">
        <f>$M6*Z6*4</f>
        <v>1.7504563145347804E-2</v>
      </c>
      <c r="AB6" s="156">
        <f>Poor!AB6</f>
        <v>0.17</v>
      </c>
      <c r="AC6" s="121">
        <f t="shared" ref="AC6:AC29" si="7">$M6*AB6*4</f>
        <v>1.7504563145347804E-2</v>
      </c>
      <c r="AD6" s="156">
        <f>Poor!AD6</f>
        <v>0.33</v>
      </c>
      <c r="AE6" s="121">
        <f t="shared" ref="AE6:AE29" si="8">$M6*AD6*4</f>
        <v>3.3979446105675146E-2</v>
      </c>
      <c r="AF6" s="122">
        <f>1-SUM(Z6,AB6,AD6)</f>
        <v>0.32999999999999996</v>
      </c>
      <c r="AG6" s="121">
        <f>$M6*AF6*4</f>
        <v>3.3979446105675146E-2</v>
      </c>
      <c r="AH6" s="123">
        <f>SUM(Z6,AB6,AD6,AF6)</f>
        <v>1</v>
      </c>
      <c r="AI6" s="184">
        <f>SUM(AA6,AC6,AE6,AG6)/4</f>
        <v>2.5742004625511475E-2</v>
      </c>
      <c r="AJ6" s="120">
        <f>(AA6+AC6)/2</f>
        <v>1.7504563145347804E-2</v>
      </c>
      <c r="AK6" s="119">
        <f>(AE6+AG6)/2</f>
        <v>3.3979446105675146E-2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9.2640677815335349E-3</v>
      </c>
      <c r="J7" s="24">
        <f t="shared" si="3"/>
        <v>9.2640677815335349E-3</v>
      </c>
      <c r="K7" s="22">
        <f t="shared" si="4"/>
        <v>4.6320338907667673E-2</v>
      </c>
      <c r="L7" s="22">
        <f t="shared" si="5"/>
        <v>9.2640677815335349E-3</v>
      </c>
      <c r="M7" s="227">
        <f t="shared" si="6"/>
        <v>9.2640677815335349E-3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826.19094219716578</v>
      </c>
      <c r="T7" s="225">
        <f>IF($B$81=0,0,(SUMIF($N$6:$N$28,$U7,M$6:M$28)+SUMIF($N$91:$N$118,$U7,M$91:M$118))*$I$83*Poor!$B$81/$B$81)</f>
        <v>831.15416451917292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3.705627112613414E-2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3.705627112613414E-2</v>
      </c>
      <c r="AH7" s="123">
        <f t="shared" ref="AH7:AH30" si="12">SUM(Z7,AB7,AD7,AF7)</f>
        <v>1</v>
      </c>
      <c r="AI7" s="184">
        <f t="shared" ref="AI7:AI30" si="13">SUM(AA7,AC7,AE7,AG7)/4</f>
        <v>9.2640677815335349E-3</v>
      </c>
      <c r="AJ7" s="120">
        <f t="shared" ref="AJ7:AJ31" si="14">(AA7+AC7)/2</f>
        <v>0</v>
      </c>
      <c r="AK7" s="119">
        <f t="shared" ref="AK7:AK31" si="15">(AE7+AG7)/2</f>
        <v>1.852813556306707E-2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27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41.599999999999987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3.0417798434442263E-2</v>
      </c>
      <c r="J9" s="24">
        <f t="shared" si="3"/>
        <v>3.0417798434442263E-2</v>
      </c>
      <c r="K9" s="22">
        <f t="shared" si="4"/>
        <v>0.10139266144814088</v>
      </c>
      <c r="L9" s="22">
        <f t="shared" si="5"/>
        <v>3.0417798434442263E-2</v>
      </c>
      <c r="M9" s="227">
        <f t="shared" si="6"/>
        <v>3.0417798434442263E-2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533.1390735538389</v>
      </c>
      <c r="T9" s="225">
        <f>IF($B$81=0,0,(SUMIF($N$6:$N$28,$U9,M$6:M$28)+SUMIF($N$91:$N$118,$U9,M$91:M$118))*$I$83*Poor!$B$81/$B$81)</f>
        <v>533.1390735538389</v>
      </c>
      <c r="U9" s="226">
        <v>3</v>
      </c>
      <c r="V9" s="56"/>
      <c r="W9" s="115"/>
      <c r="X9" s="118">
        <f>Poor!X9</f>
        <v>1</v>
      </c>
      <c r="Y9" s="184">
        <f t="shared" si="9"/>
        <v>0.12167119373776905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0.12167119373776905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3.0417798434442263E-2</v>
      </c>
      <c r="AJ9" s="120">
        <f t="shared" si="14"/>
        <v>6.0835596868884526E-2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0.2</v>
      </c>
      <c r="H10" s="24">
        <f t="shared" si="1"/>
        <v>0.2</v>
      </c>
      <c r="I10" s="22">
        <f t="shared" si="2"/>
        <v>2.5250403842732617E-3</v>
      </c>
      <c r="J10" s="24">
        <f t="shared" si="3"/>
        <v>2.5250403842732617E-3</v>
      </c>
      <c r="K10" s="22">
        <f t="shared" si="4"/>
        <v>1.2625201921366307E-2</v>
      </c>
      <c r="L10" s="22">
        <f t="shared" si="5"/>
        <v>2.5250403842732617E-3</v>
      </c>
      <c r="M10" s="227">
        <f t="shared" si="6"/>
        <v>2.5250403842732617E-3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1.0100161537093047E-2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1.0100161537093047E-2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2.5250403842732617E-3</v>
      </c>
      <c r="AJ10" s="120">
        <f t="shared" si="14"/>
        <v>5.0500807685465235E-3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8698.2857142857156</v>
      </c>
      <c r="T11" s="225">
        <f>IF($B$81=0,0,(SUMIF($N$6:$N$28,$U11,M$6:M$28)+SUMIF($N$91:$N$118,$U11,M$91:M$118))*$I$83*Poor!$B$81/$B$81)</f>
        <v>9102.8571428571431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0.2</v>
      </c>
      <c r="H12" s="24">
        <f t="shared" si="1"/>
        <v>0.2</v>
      </c>
      <c r="I12" s="22">
        <f t="shared" si="2"/>
        <v>1.3407294075787226E-3</v>
      </c>
      <c r="J12" s="24">
        <f t="shared" si="3"/>
        <v>1.3407294075787226E-3</v>
      </c>
      <c r="K12" s="22">
        <f t="shared" si="4"/>
        <v>6.0053504714463616E-3</v>
      </c>
      <c r="L12" s="22">
        <f t="shared" si="5"/>
        <v>1.2010700942892724E-3</v>
      </c>
      <c r="M12" s="227">
        <f t="shared" si="6"/>
        <v>1.3407294075787226E-3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268.95231018840593</v>
      </c>
      <c r="U12" s="226">
        <v>6</v>
      </c>
      <c r="V12" s="56"/>
      <c r="W12" s="117"/>
      <c r="X12" s="118"/>
      <c r="Y12" s="184">
        <f t="shared" si="9"/>
        <v>5.3629176303148906E-3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3.593154812310977E-3</v>
      </c>
      <c r="AF12" s="122">
        <f>1-SUM(Z12,AB12,AD12)</f>
        <v>0.32999999999999996</v>
      </c>
      <c r="AG12" s="121">
        <f>$M12*AF12*4</f>
        <v>1.7697628180039138E-3</v>
      </c>
      <c r="AH12" s="123">
        <f t="shared" si="12"/>
        <v>1</v>
      </c>
      <c r="AI12" s="184">
        <f t="shared" si="13"/>
        <v>1.3407294075787226E-3</v>
      </c>
      <c r="AJ12" s="120">
        <f t="shared" si="14"/>
        <v>0</v>
      </c>
      <c r="AK12" s="119">
        <f t="shared" si="15"/>
        <v>2.6814588151574453E-3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0.2</v>
      </c>
      <c r="H13" s="24">
        <f t="shared" si="1"/>
        <v>0.2</v>
      </c>
      <c r="I13" s="22">
        <f t="shared" si="2"/>
        <v>2.4977761964063336E-4</v>
      </c>
      <c r="J13" s="24">
        <f t="shared" si="3"/>
        <v>2.4977761964063336E-4</v>
      </c>
      <c r="K13" s="22">
        <f t="shared" si="4"/>
        <v>1.2488880982031668E-3</v>
      </c>
      <c r="L13" s="22">
        <f t="shared" si="5"/>
        <v>2.4977761964063336E-4</v>
      </c>
      <c r="M13" s="228">
        <f t="shared" si="6"/>
        <v>2.4977761964063336E-4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35731.748571428572</v>
      </c>
      <c r="T13" s="225">
        <f>IF($B$81=0,0,(SUMIF($N$6:$N$28,$U13,M$6:M$28)+SUMIF($N$91:$N$118,$U13,M$91:M$118))*$I$83*Poor!$B$81/$B$81)</f>
        <v>35731.748571428572</v>
      </c>
      <c r="U13" s="226">
        <v>7</v>
      </c>
      <c r="V13" s="56"/>
      <c r="W13" s="110"/>
      <c r="X13" s="118"/>
      <c r="Y13" s="184">
        <f t="shared" si="9"/>
        <v>9.9911047856253345E-4</v>
      </c>
      <c r="Z13" s="156">
        <f>Poor!Z13</f>
        <v>1</v>
      </c>
      <c r="AA13" s="121">
        <f>$M13*Z13*4</f>
        <v>9.9911047856253345E-4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2.4977761964063336E-4</v>
      </c>
      <c r="AJ13" s="120">
        <f t="shared" si="14"/>
        <v>4.9955523928126673E-4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0.2</v>
      </c>
      <c r="F14" s="22"/>
      <c r="H14" s="24">
        <f t="shared" si="1"/>
        <v>0.2</v>
      </c>
      <c r="I14" s="22">
        <f t="shared" si="2"/>
        <v>1.0781698985945562E-2</v>
      </c>
      <c r="J14" s="24">
        <f>IF(I$32&lt;=1+I131,I14,B14*H14+J$33*(I14-B14*H14))</f>
        <v>1.0781698985945562E-2</v>
      </c>
      <c r="K14" s="22">
        <f t="shared" si="4"/>
        <v>5.390849492972781E-2</v>
      </c>
      <c r="L14" s="22">
        <f t="shared" si="5"/>
        <v>1.0781698985945562E-2</v>
      </c>
      <c r="M14" s="228">
        <f t="shared" si="6"/>
        <v>1.0781698985945562E-2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4.3126795943782249E-2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4.3126795943782249E-2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1.0781698985945562E-2</v>
      </c>
      <c r="AJ14" s="120">
        <f t="shared" si="14"/>
        <v>2.1563397971891125E-2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0.2</v>
      </c>
      <c r="F16" s="22"/>
      <c r="H16" s="24">
        <f t="shared" si="1"/>
        <v>0.2</v>
      </c>
      <c r="I16" s="22">
        <f t="shared" si="2"/>
        <v>2.6819071339619283E-4</v>
      </c>
      <c r="J16" s="24">
        <f>IF(I$32&lt;=1+I131,I16,B16*H16+J$33*(I16-B16*H16))</f>
        <v>2.6819071339619283E-4</v>
      </c>
      <c r="K16" s="22">
        <f t="shared" si="4"/>
        <v>8.9396904465397615E-4</v>
      </c>
      <c r="L16" s="22">
        <f t="shared" si="5"/>
        <v>1.7879380893079524E-4</v>
      </c>
      <c r="M16" s="227">
        <f t="shared" si="6"/>
        <v>2.6819071339619283E-4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1.0727628535847713E-3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1.0727628535847713E-3</v>
      </c>
      <c r="AH16" s="123">
        <f t="shared" si="12"/>
        <v>1</v>
      </c>
      <c r="AI16" s="184">
        <f t="shared" si="13"/>
        <v>2.6819071339619283E-4</v>
      </c>
      <c r="AJ16" s="120">
        <f t="shared" si="14"/>
        <v>0</v>
      </c>
      <c r="AK16" s="119">
        <f t="shared" si="15"/>
        <v>5.3638142679238567E-4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0.2</v>
      </c>
      <c r="F17" s="22"/>
      <c r="H17" s="24">
        <f t="shared" si="1"/>
        <v>0.2</v>
      </c>
      <c r="I17" s="22">
        <f t="shared" si="2"/>
        <v>2.323930973136453E-3</v>
      </c>
      <c r="J17" s="24">
        <f t="shared" ref="J17:J25" si="17">IF(I$32&lt;=1+I131,I17,B17*H17+J$33*(I17-B17*H17))</f>
        <v>2.323930973136453E-3</v>
      </c>
      <c r="K17" s="22">
        <f t="shared" si="4"/>
        <v>1.1135502579612169E-2</v>
      </c>
      <c r="L17" s="22">
        <f t="shared" si="5"/>
        <v>2.2271005159224338E-3</v>
      </c>
      <c r="M17" s="228">
        <f t="shared" si="6"/>
        <v>2.323930973136453E-3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9.2957238925458121E-3</v>
      </c>
      <c r="Z17" s="156">
        <f>Poor!Z17</f>
        <v>0.29409999999999997</v>
      </c>
      <c r="AA17" s="121">
        <f t="shared" si="16"/>
        <v>2.7338723967977232E-3</v>
      </c>
      <c r="AB17" s="156">
        <f>Poor!AB17</f>
        <v>0.17649999999999999</v>
      </c>
      <c r="AC17" s="121">
        <f t="shared" si="7"/>
        <v>1.6406952670343358E-3</v>
      </c>
      <c r="AD17" s="156">
        <f>Poor!AD17</f>
        <v>0.23530000000000001</v>
      </c>
      <c r="AE17" s="121">
        <f t="shared" si="8"/>
        <v>2.1872838319160295E-3</v>
      </c>
      <c r="AF17" s="122">
        <f t="shared" si="10"/>
        <v>0.29410000000000003</v>
      </c>
      <c r="AG17" s="121">
        <f t="shared" si="11"/>
        <v>2.7338723967977236E-3</v>
      </c>
      <c r="AH17" s="123">
        <f t="shared" si="12"/>
        <v>1</v>
      </c>
      <c r="AI17" s="184">
        <f t="shared" si="13"/>
        <v>2.323930973136453E-3</v>
      </c>
      <c r="AJ17" s="120">
        <f t="shared" si="14"/>
        <v>2.1872838319160295E-3</v>
      </c>
      <c r="AK17" s="119">
        <f t="shared" si="15"/>
        <v>2.4605781143568766E-3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1.7659489824556257E-2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1.7659489824556257E-2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48132.280631484828</v>
      </c>
      <c r="T23" s="179">
        <f>SUM(T7:T22)</f>
        <v>48539.946855884074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0.22463677394199708</v>
      </c>
      <c r="N29" s="232"/>
      <c r="P29" s="22"/>
      <c r="V29" s="56"/>
      <c r="W29" s="110"/>
      <c r="X29" s="118"/>
      <c r="Y29" s="184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4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1.5202621717291405</v>
      </c>
      <c r="J30" s="234">
        <f>IF(I$32&lt;=1,I30,1-SUM(J6:J29))</f>
        <v>0.53206940887261445</v>
      </c>
      <c r="K30" s="22">
        <f t="shared" si="4"/>
        <v>0.60906730012453303</v>
      </c>
      <c r="L30" s="22">
        <f>IF(L124=L119,0,IF(K30="",0,(L119-L124)/(B119-B124)*K30))</f>
        <v>0.11579287058338048</v>
      </c>
      <c r="M30" s="175">
        <f t="shared" si="6"/>
        <v>0.53206940887261445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2.1282776354904578</v>
      </c>
      <c r="Z30" s="122">
        <f>IF($Y30=0,0,AA30/($Y$30))</f>
        <v>0.21596488571902744</v>
      </c>
      <c r="AA30" s="188">
        <f>IF(AA79*4/$I$84+SUM(AA6:AA29)&lt;1,AA79*4/$I$84,1-SUM(AA6:AA29))</f>
        <v>0.45963323632705866</v>
      </c>
      <c r="AB30" s="122">
        <f>IF($Y30=0,0,AC30/($Y$30))</f>
        <v>0.27112851270466598</v>
      </c>
      <c r="AC30" s="188">
        <f>IF(AC79*4/$I$84+SUM(AC6:AC29)&lt;1,AC79*4/$I$84,1-SUM(AC6:AC29))</f>
        <v>0.57703674993313103</v>
      </c>
      <c r="AD30" s="122">
        <f>IF($Y30=0,0,AE30/($Y$30))</f>
        <v>0.28170615973288105</v>
      </c>
      <c r="AE30" s="188">
        <f>IF(AE79*4/$I$84+SUM(AE6:AE29)&lt;1,AE79*4/$I$84,1-SUM(AE6:AE29))</f>
        <v>0.59954891953939327</v>
      </c>
      <c r="AF30" s="122">
        <f>IF($Y30=0,0,AG30/($Y$30))</f>
        <v>0.26439064133633455</v>
      </c>
      <c r="AG30" s="188">
        <f>IF(AG79*4/$I$84+SUM(AG6:AG29)&lt;1,AG79*4/$I$84,1-SUM(AG6:AG29))</f>
        <v>0.56269668898909975</v>
      </c>
      <c r="AH30" s="123">
        <f t="shared" si="12"/>
        <v>1.0331901994929091</v>
      </c>
      <c r="AI30" s="184">
        <f t="shared" si="13"/>
        <v>0.54972889869717068</v>
      </c>
      <c r="AJ30" s="120">
        <f t="shared" si="14"/>
        <v>0.5183349931300949</v>
      </c>
      <c r="AK30" s="119">
        <f t="shared" si="15"/>
        <v>0.58112280426424645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0.33397109043863726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3740.4133518397794</v>
      </c>
      <c r="T31" s="237">
        <f>IF(T25&gt;T$23,T25-T$23,0)</f>
        <v>3332.7471274405325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1.9893466514343894</v>
      </c>
      <c r="J32" s="17"/>
      <c r="L32" s="22">
        <f>SUM(L6:L30)</f>
        <v>0.66602890956136274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36478.333351839785</v>
      </c>
      <c r="T32" s="237">
        <f t="shared" si="24"/>
        <v>36070.667127440538</v>
      </c>
      <c r="V32" s="56"/>
      <c r="W32" s="110"/>
      <c r="X32" s="118"/>
      <c r="Y32" s="115">
        <f>SUM(Y6:Y31)</f>
        <v>3.9293620407017751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0.69333296944826106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2916.1537365104637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7080</v>
      </c>
      <c r="K37" s="40">
        <f>(B37/B$65)</f>
        <v>0.15559762454293197</v>
      </c>
      <c r="L37" s="22">
        <f t="shared" ref="L37" si="28">(K37*H37)</f>
        <v>9.1802598480329858E-2</v>
      </c>
      <c r="M37" s="24">
        <f>J37/B$65</f>
        <v>9.1802598480329872E-2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3.6869424677484879E-2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261.03552671659293</v>
      </c>
      <c r="AB37" s="122">
        <f>IF($J37=0,0,AC37/($J37))</f>
        <v>0.14485277626347698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1025.5576559454171</v>
      </c>
      <c r="AD37" s="122">
        <f>IF($J37=0,0,AE37/($J37))</f>
        <v>0.16555862612171124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1172.1550729417156</v>
      </c>
      <c r="AF37" s="122">
        <f t="shared" ref="AF37:AF64" si="29">1-SUM(Z37,AB37,AD37)</f>
        <v>0.65271917293732695</v>
      </c>
      <c r="AG37" s="147">
        <f>$J37*AF37</f>
        <v>4621.2517443962752</v>
      </c>
      <c r="AH37" s="123">
        <f>SUM(Z37,AB37,AD37,AF37)</f>
        <v>1</v>
      </c>
      <c r="AI37" s="112">
        <f>SUM(AA37,AC37,AE37,AG37)</f>
        <v>7080.0000000000009</v>
      </c>
      <c r="AJ37" s="148">
        <f>(AA37+AC37)</f>
        <v>1286.5931826620099</v>
      </c>
      <c r="AK37" s="147">
        <f>(AE37+AG37)</f>
        <v>5793.406817337991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1.1669821840719899E-2</v>
      </c>
      <c r="L38" s="22">
        <f t="shared" ref="L38:L64" si="34">(K38*H38)</f>
        <v>6.8851948860247396E-3</v>
      </c>
      <c r="M38" s="24">
        <f t="shared" ref="M38:M64" si="35">J38/B$65</f>
        <v>1.1475324810041234E-2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3.6869424677484879E-2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32.629440839574116</v>
      </c>
      <c r="AB38" s="122">
        <f>IF($J38=0,0,AC38/($J38))</f>
        <v>0.14485277626347698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128.19470699317714</v>
      </c>
      <c r="AD38" s="122">
        <f>IF($J38=0,0,AE38/($J38))</f>
        <v>0.16555862612171124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146.51938411771445</v>
      </c>
      <c r="AF38" s="122">
        <f t="shared" si="29"/>
        <v>0.65271917293732695</v>
      </c>
      <c r="AG38" s="147">
        <f t="shared" ref="AG38:AG64" si="36">$J38*AF38</f>
        <v>577.6564680495344</v>
      </c>
      <c r="AH38" s="123">
        <f t="shared" ref="AH38:AI58" si="37">SUM(Z38,AB38,AD38,AF38)</f>
        <v>1</v>
      </c>
      <c r="AI38" s="112">
        <f t="shared" si="37"/>
        <v>885.00000000000011</v>
      </c>
      <c r="AJ38" s="148">
        <f t="shared" ref="AJ38:AJ64" si="38">(AA38+AC38)</f>
        <v>160.82414783275124</v>
      </c>
      <c r="AK38" s="147">
        <f t="shared" ref="AK38:AK64" si="39">(AE38+AG38)</f>
        <v>724.17585216724888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3.2416171779777494E-4</v>
      </c>
      <c r="L40" s="22">
        <f t="shared" si="34"/>
        <v>9.0765280983376976E-5</v>
      </c>
      <c r="M40" s="24">
        <f t="shared" si="35"/>
        <v>0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3.2416171779777494E-4</v>
      </c>
      <c r="L42" s="22">
        <f t="shared" si="34"/>
        <v>9.0765280983376976E-5</v>
      </c>
      <c r="M42" s="24">
        <f t="shared" si="35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1.0373174969528799E-3</v>
      </c>
      <c r="L43" s="22">
        <f t="shared" si="34"/>
        <v>2.9044889914680633E-4</v>
      </c>
      <c r="M43" s="24">
        <f t="shared" si="35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31265.279999999999</v>
      </c>
      <c r="J45" s="38">
        <f t="shared" si="32"/>
        <v>31265.279999999999</v>
      </c>
      <c r="K45" s="40">
        <f t="shared" si="33"/>
        <v>0.57259925831798963</v>
      </c>
      <c r="L45" s="22">
        <f t="shared" si="34"/>
        <v>0.40540027488913666</v>
      </c>
      <c r="M45" s="24">
        <f t="shared" si="35"/>
        <v>0.40540027488913666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7816.32</v>
      </c>
      <c r="AB45" s="156">
        <f>Poor!AB45</f>
        <v>0.25</v>
      </c>
      <c r="AC45" s="147">
        <f t="shared" si="41"/>
        <v>7816.32</v>
      </c>
      <c r="AD45" s="156">
        <f>Poor!AD45</f>
        <v>0.25</v>
      </c>
      <c r="AE45" s="147">
        <f t="shared" si="42"/>
        <v>7816.32</v>
      </c>
      <c r="AF45" s="122">
        <f t="shared" si="29"/>
        <v>0.25</v>
      </c>
      <c r="AG45" s="147">
        <f t="shared" si="36"/>
        <v>7816.32</v>
      </c>
      <c r="AH45" s="123">
        <f t="shared" si="37"/>
        <v>1</v>
      </c>
      <c r="AI45" s="112">
        <f t="shared" si="37"/>
        <v>31265.279999999999</v>
      </c>
      <c r="AJ45" s="148">
        <f t="shared" si="38"/>
        <v>15632.64</v>
      </c>
      <c r="AK45" s="147">
        <f t="shared" si="39"/>
        <v>15632.64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0.25844765436581002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39230.28</v>
      </c>
      <c r="J65" s="39">
        <f>SUM(J37:J64)</f>
        <v>39230.28</v>
      </c>
      <c r="K65" s="40">
        <f>SUM(K37:K64)</f>
        <v>1</v>
      </c>
      <c r="L65" s="22">
        <f>SUM(L37:L64)</f>
        <v>0.50456004771660479</v>
      </c>
      <c r="M65" s="24">
        <f>SUM(M37:M64)</f>
        <v>0.50867819817950777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8109.9849675561663</v>
      </c>
      <c r="AB65" s="137"/>
      <c r="AC65" s="153">
        <f>SUM(AC37:AC64)</f>
        <v>8970.0723629385939</v>
      </c>
      <c r="AD65" s="137"/>
      <c r="AE65" s="153">
        <f>SUM(AE37:AE64)</f>
        <v>9134.9944570594307</v>
      </c>
      <c r="AF65" s="137"/>
      <c r="AG65" s="153">
        <f>SUM(AG37:AG64)</f>
        <v>13015.228212445809</v>
      </c>
      <c r="AH65" s="137"/>
      <c r="AI65" s="153">
        <f>SUM(AI37:AI64)</f>
        <v>39230.28</v>
      </c>
      <c r="AJ65" s="153">
        <f>SUM(AJ37:AJ64)</f>
        <v>17080.057330494761</v>
      </c>
      <c r="AK65" s="153">
        <f>SUM(AK37:AK64)</f>
        <v>22150.222669505238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0.31477399445035137</v>
      </c>
      <c r="L72" s="22">
        <f t="shared" si="45"/>
        <v>2.9999429588376737E-2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20259.264216329702</v>
      </c>
      <c r="J74" s="51">
        <f t="shared" si="44"/>
        <v>7090.4446195068313</v>
      </c>
      <c r="K74" s="40">
        <f>B74/B$76</f>
        <v>6.3783483598205459E-2</v>
      </c>
      <c r="L74" s="22">
        <f t="shared" si="45"/>
        <v>2.0008232077508025E-2</v>
      </c>
      <c r="M74" s="24">
        <f>J74/B$76</f>
        <v>9.1938028312373007E-2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3367.2310216385918</v>
      </c>
      <c r="AB74" s="156"/>
      <c r="AC74" s="147">
        <f>AC30*$I$84/4</f>
        <v>4227.3184170210188</v>
      </c>
      <c r="AD74" s="156"/>
      <c r="AE74" s="147">
        <f>AE30*$I$84/4</f>
        <v>4392.2405111418548</v>
      </c>
      <c r="AF74" s="156"/>
      <c r="AG74" s="147">
        <f>AG30*$I$84/4</f>
        <v>4122.2644430116816</v>
      </c>
      <c r="AH74" s="155"/>
      <c r="AI74" s="147">
        <f>SUM(AA74,AC74,AE74,AG74)</f>
        <v>16109.054392813148</v>
      </c>
      <c r="AJ74" s="148">
        <f>(AA74+AC74)</f>
        <v>7594.549438659611</v>
      </c>
      <c r="AK74" s="147">
        <f>(AE74+AG74)</f>
        <v>8514.5049541535373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6397.827066217058</v>
      </c>
      <c r="AB75" s="158"/>
      <c r="AC75" s="149">
        <f>AA75+AC65-SUM(AC70,AC74)</f>
        <v>6397.827066217058</v>
      </c>
      <c r="AD75" s="158"/>
      <c r="AE75" s="149">
        <f>AC75+AE65-SUM(AE70,AE74)</f>
        <v>6397.827066217058</v>
      </c>
      <c r="AF75" s="158"/>
      <c r="AG75" s="149">
        <f>IF(SUM(AG6:AG29)+((AG65-AG70-$J$75)*4/I$83)&lt;1,0,AG65-AG70-$J$75-(1-SUM(AG6:AG29))*I$83/4)</f>
        <v>6397.8270662170598</v>
      </c>
      <c r="AH75" s="134"/>
      <c r="AI75" s="149">
        <f>AI76-SUM(AI70,AI74)</f>
        <v>4150.2098235165467</v>
      </c>
      <c r="AJ75" s="151">
        <f>AJ76-SUM(AJ70,AJ74)</f>
        <v>0</v>
      </c>
      <c r="AK75" s="149">
        <f>AJ75+AK76-SUM(AK70,AK74)</f>
        <v>4150.2098235165504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39230.28</v>
      </c>
      <c r="J76" s="51">
        <f t="shared" si="44"/>
        <v>39230.28</v>
      </c>
      <c r="K76" s="40">
        <f>SUM(K70:K75)</f>
        <v>1</v>
      </c>
      <c r="L76" s="22">
        <f>SUM(L70:L75)</f>
        <v>0.5045600477166049</v>
      </c>
      <c r="M76" s="24">
        <f>SUM(M70:M75)</f>
        <v>0.54649041436309309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8109.9849675561663</v>
      </c>
      <c r="AB76" s="137"/>
      <c r="AC76" s="153">
        <f>AC65</f>
        <v>8970.0723629385939</v>
      </c>
      <c r="AD76" s="137"/>
      <c r="AE76" s="153">
        <f>AE65</f>
        <v>9134.9944570594307</v>
      </c>
      <c r="AF76" s="137"/>
      <c r="AG76" s="153">
        <f>AG65</f>
        <v>13015.228212445809</v>
      </c>
      <c r="AH76" s="137"/>
      <c r="AI76" s="153">
        <f>SUM(AA76,AC76,AE76,AG76)</f>
        <v>39230.28</v>
      </c>
      <c r="AJ76" s="154">
        <f>SUM(AA76,AC76)</f>
        <v>17080.057330494761</v>
      </c>
      <c r="AK76" s="154">
        <f>SUM(AE76,AG76)</f>
        <v>22150.222669505238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2916.1537365104637</v>
      </c>
      <c r="K77" s="40"/>
      <c r="L77" s="22">
        <f>-(L131*G$37*F$9/F$7)/B$130</f>
        <v>-0.17856587387021269</v>
      </c>
      <c r="M77" s="24">
        <f>-J77/B$76</f>
        <v>-3.7812216183585275E-2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6397.8270662170598</v>
      </c>
      <c r="AB78" s="112"/>
      <c r="AC78" s="112">
        <f>IF(AA75&lt;0,0,AA75)</f>
        <v>6397.827066217058</v>
      </c>
      <c r="AD78" s="112"/>
      <c r="AE78" s="112">
        <f>AC75</f>
        <v>6397.827066217058</v>
      </c>
      <c r="AF78" s="112"/>
      <c r="AG78" s="112">
        <f>AE75</f>
        <v>6397.827066217058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9765.0580878556502</v>
      </c>
      <c r="AB79" s="112"/>
      <c r="AC79" s="112">
        <f>AA79-AA74+AC65-AC70</f>
        <v>10625.145483238077</v>
      </c>
      <c r="AD79" s="112"/>
      <c r="AE79" s="112">
        <f>AC79-AC74+AE65-AE70</f>
        <v>10790.067577358914</v>
      </c>
      <c r="AF79" s="112"/>
      <c r="AG79" s="112">
        <f>AE79-AE74+AG65-AG70</f>
        <v>14670.301332745294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0.3575757575757576</v>
      </c>
      <c r="I91" s="22">
        <f t="shared" ref="I91" si="52">(D91*H91)</f>
        <v>0.53128564102375342</v>
      </c>
      <c r="J91" s="24">
        <f>IF(I$32&lt;=1+I$131,I91,L91+J$33*(I91-L91))</f>
        <v>0.53128564102375342</v>
      </c>
      <c r="K91" s="22">
        <f t="shared" ref="K91" si="53">(B91)</f>
        <v>1.4857988265918527</v>
      </c>
      <c r="L91" s="22">
        <f t="shared" ref="L91" si="54">(K91*H91)</f>
        <v>0.53128564102375342</v>
      </c>
      <c r="M91" s="230">
        <f t="shared" si="49"/>
        <v>0.53128564102375342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0.3575757575757576</v>
      </c>
      <c r="I92" s="22">
        <f t="shared" ref="I92:I118" si="58">(D92*H92)</f>
        <v>6.6410705127969177E-2</v>
      </c>
      <c r="J92" s="24">
        <f t="shared" ref="J92:J118" si="59">IF(I$32&lt;=1+I$131,I92,L92+J$33*(I92-L92))</f>
        <v>6.6410705127969177E-2</v>
      </c>
      <c r="K92" s="22">
        <f t="shared" ref="K92:K118" si="60">(B92)</f>
        <v>0.11143491199438896</v>
      </c>
      <c r="L92" s="22">
        <f t="shared" ref="L92:L118" si="61">(K92*H92)</f>
        <v>3.9846423076781511E-2</v>
      </c>
      <c r="M92" s="230">
        <f t="shared" ref="M92:M118" si="62">(J92)</f>
        <v>6.6410705127969177E-2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0.16969696969696968</v>
      </c>
      <c r="I94" s="22">
        <f t="shared" si="58"/>
        <v>0</v>
      </c>
      <c r="J94" s="24">
        <f t="shared" si="59"/>
        <v>0</v>
      </c>
      <c r="K94" s="22">
        <f t="shared" si="60"/>
        <v>3.09541422206636E-3</v>
      </c>
      <c r="L94" s="22">
        <f t="shared" si="61"/>
        <v>5.2528241344156404E-4</v>
      </c>
      <c r="M94" s="230">
        <f t="shared" si="6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3.09541422206636E-3</v>
      </c>
      <c r="L96" s="22">
        <f t="shared" si="61"/>
        <v>5.2528241344156404E-4</v>
      </c>
      <c r="M96" s="230">
        <f t="shared" si="6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9.9053255106123523E-3</v>
      </c>
      <c r="L97" s="22">
        <f t="shared" si="61"/>
        <v>1.680903723013005E-3</v>
      </c>
      <c r="M97" s="230">
        <f t="shared" si="6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0.42909090909090908</v>
      </c>
      <c r="I99" s="22">
        <f t="shared" si="58"/>
        <v>2.346157390760895</v>
      </c>
      <c r="J99" s="24">
        <f t="shared" si="59"/>
        <v>2.346157390760895</v>
      </c>
      <c r="K99" s="22">
        <f t="shared" si="60"/>
        <v>5.467739681858018</v>
      </c>
      <c r="L99" s="22">
        <f t="shared" si="61"/>
        <v>2.346157390760895</v>
      </c>
      <c r="M99" s="230">
        <f t="shared" si="62"/>
        <v>2.346157390760895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2.4679118509690676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2.9438537369126179</v>
      </c>
      <c r="J119" s="24">
        <f>SUM(J91:J118)</f>
        <v>2.9438537369126179</v>
      </c>
      <c r="K119" s="22">
        <f>SUM(K91:K118)</f>
        <v>9.5489814253680727</v>
      </c>
      <c r="L119" s="22">
        <f>SUM(L91:L118)</f>
        <v>2.9200209234113261</v>
      </c>
      <c r="M119" s="57">
        <f t="shared" si="49"/>
        <v>2.9438537369126179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0.17361454297639201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1.5202621717291405</v>
      </c>
      <c r="J128" s="231">
        <f>(J30)</f>
        <v>0.53206940887261445</v>
      </c>
      <c r="K128" s="22">
        <f>(B128)</f>
        <v>0.60906730012453303</v>
      </c>
      <c r="L128" s="22">
        <f>IF(L124=L119,0,(L119-L124)/(B119-B124)*K128)</f>
        <v>0.11579287058338048</v>
      </c>
      <c r="M128" s="57">
        <f t="shared" si="63"/>
        <v>0.53206940887261445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2.9438537369126179</v>
      </c>
      <c r="J130" s="231">
        <f>(J119)</f>
        <v>2.9438537369126179</v>
      </c>
      <c r="K130" s="22">
        <f>(B130)</f>
        <v>9.5489814253680727</v>
      </c>
      <c r="L130" s="22">
        <f>(L119)</f>
        <v>2.9200209234113261</v>
      </c>
      <c r="M130" s="57">
        <f t="shared" si="63"/>
        <v>2.9438537369126179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0.2188291818115502</v>
      </c>
      <c r="K131" s="29"/>
      <c r="L131" s="29">
        <f>IF(I131&lt;SUM(L126:L127),0,I131-(SUM(L126:L127)))</f>
        <v>1.0334074016916843</v>
      </c>
      <c r="M131" s="240">
        <f>IF(I131&lt;SUM(M126:M127),0,I131-(SUM(M126:M127)))</f>
        <v>1.2070219446680763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0.3575757575757576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0.3575757575757576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0.16969696969696968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0.16969696969696968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0.16969696969696968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0.16969696969696968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0.16969696969696968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0.33636363636363642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0.42909090909090908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714.90999895988875</v>
      </c>
      <c r="G72" s="109">
        <f>Poor!T7</f>
        <v>953.88682233765826</v>
      </c>
      <c r="H72" s="109">
        <f>Middle!T7</f>
        <v>831.15416451917292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69.999999999999986</v>
      </c>
      <c r="H73" s="109">
        <f>Middle!T8</f>
        <v>0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176.0746454253474</v>
      </c>
      <c r="G74" s="109">
        <f>Poor!T9</f>
        <v>380.73614047792336</v>
      </c>
      <c r="H74" s="109">
        <f>Middle!T9</f>
        <v>533.1390735538389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1947</v>
      </c>
      <c r="G76" s="109">
        <f>Poor!T11</f>
        <v>5841</v>
      </c>
      <c r="H76" s="109">
        <f>Middle!T11</f>
        <v>9102.8571428571431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1087.1326355599381</v>
      </c>
      <c r="G77" s="109">
        <f>Poor!T12</f>
        <v>787.43263555993826</v>
      </c>
      <c r="H77" s="109">
        <f>Middle!T12</f>
        <v>268.95231018840593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35731.748571428572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12138.671835157456</v>
      </c>
      <c r="G88" s="109">
        <f>Poor!T23</f>
        <v>21438.610153587801</v>
      </c>
      <c r="H88" s="109">
        <f>Middle!T23</f>
        <v>48539.946855884074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21351.195481500483</v>
      </c>
      <c r="G98" s="242">
        <f t="shared" si="0"/>
        <v>12051.257163070131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39734.022148167147</v>
      </c>
      <c r="G99" s="242">
        <f t="shared" si="0"/>
        <v>30434.083829736806</v>
      </c>
      <c r="H99" s="242">
        <f t="shared" si="0"/>
        <v>3332.7471274405325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72471.94214816716</v>
      </c>
      <c r="G100" s="242">
        <f t="shared" si="0"/>
        <v>63172.003829736801</v>
      </c>
      <c r="H100" s="242">
        <f t="shared" si="0"/>
        <v>36070.667127440538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2016-06-02T07:48:54Z</dcterms:modified>
  <cp:category/>
</cp:coreProperties>
</file>