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3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4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0" yWindow="0" windowWidth="25600" windowHeight="1606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1" i="8" l="1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B37" i="8"/>
  <c r="B80" i="8"/>
  <c r="B82" i="8"/>
  <c r="B83" i="8"/>
  <c r="B91" i="8"/>
  <c r="C37" i="8"/>
  <c r="C91" i="8"/>
  <c r="D91" i="8"/>
  <c r="I91" i="8"/>
  <c r="B38" i="8"/>
  <c r="B92" i="8"/>
  <c r="C38" i="8"/>
  <c r="C92" i="8"/>
  <c r="D92" i="8"/>
  <c r="I92" i="8"/>
  <c r="B39" i="8"/>
  <c r="B93" i="8"/>
  <c r="C39" i="8"/>
  <c r="C93" i="8"/>
  <c r="D93" i="8"/>
  <c r="I93" i="8"/>
  <c r="B40" i="8"/>
  <c r="B94" i="8"/>
  <c r="C40" i="8"/>
  <c r="C94" i="8"/>
  <c r="D94" i="8"/>
  <c r="I94" i="8"/>
  <c r="B41" i="8"/>
  <c r="B95" i="8"/>
  <c r="C41" i="8"/>
  <c r="C95" i="8"/>
  <c r="D95" i="8"/>
  <c r="I95" i="8"/>
  <c r="B42" i="8"/>
  <c r="B96" i="8"/>
  <c r="C42" i="8"/>
  <c r="C96" i="8"/>
  <c r="D96" i="8"/>
  <c r="I96" i="8"/>
  <c r="B43" i="8"/>
  <c r="B97" i="8"/>
  <c r="C43" i="8"/>
  <c r="C97" i="8"/>
  <c r="D97" i="8"/>
  <c r="I97" i="8"/>
  <c r="B44" i="8"/>
  <c r="B98" i="8"/>
  <c r="C44" i="8"/>
  <c r="C98" i="8"/>
  <c r="D98" i="8"/>
  <c r="I98" i="8"/>
  <c r="B45" i="8"/>
  <c r="B99" i="8"/>
  <c r="C45" i="8"/>
  <c r="C99" i="8"/>
  <c r="D99" i="8"/>
  <c r="I99" i="8"/>
  <c r="B46" i="8"/>
  <c r="B100" i="8"/>
  <c r="C46" i="8"/>
  <c r="C100" i="8"/>
  <c r="D100" i="8"/>
  <c r="I100" i="8"/>
  <c r="B47" i="8"/>
  <c r="B101" i="8"/>
  <c r="C47" i="8"/>
  <c r="C101" i="8"/>
  <c r="D101" i="8"/>
  <c r="I101" i="8"/>
  <c r="B48" i="8"/>
  <c r="B102" i="8"/>
  <c r="C48" i="8"/>
  <c r="C102" i="8"/>
  <c r="D102" i="8"/>
  <c r="I102" i="8"/>
  <c r="B49" i="8"/>
  <c r="B103" i="8"/>
  <c r="C49" i="8"/>
  <c r="C103" i="8"/>
  <c r="D103" i="8"/>
  <c r="I103" i="8"/>
  <c r="B50" i="8"/>
  <c r="B104" i="8"/>
  <c r="C50" i="8"/>
  <c r="C104" i="8"/>
  <c r="D104" i="8"/>
  <c r="I104" i="8"/>
  <c r="B51" i="8"/>
  <c r="B105" i="8"/>
  <c r="C51" i="8"/>
  <c r="C105" i="8"/>
  <c r="D105" i="8"/>
  <c r="I105" i="8"/>
  <c r="B52" i="8"/>
  <c r="B106" i="8"/>
  <c r="C52" i="8"/>
  <c r="C106" i="8"/>
  <c r="D106" i="8"/>
  <c r="I106" i="8"/>
  <c r="B53" i="8"/>
  <c r="B107" i="8"/>
  <c r="C53" i="8"/>
  <c r="C107" i="8"/>
  <c r="D107" i="8"/>
  <c r="I107" i="8"/>
  <c r="B54" i="8"/>
  <c r="B108" i="8"/>
  <c r="C54" i="8"/>
  <c r="C108" i="8"/>
  <c r="D108" i="8"/>
  <c r="I108" i="8"/>
  <c r="B55" i="8"/>
  <c r="B109" i="8"/>
  <c r="C55" i="8"/>
  <c r="C109" i="8"/>
  <c r="D109" i="8"/>
  <c r="I109" i="8"/>
  <c r="B56" i="8"/>
  <c r="B110" i="8"/>
  <c r="C56" i="8"/>
  <c r="C110" i="8"/>
  <c r="D110" i="8"/>
  <c r="I110" i="8"/>
  <c r="B57" i="8"/>
  <c r="B111" i="8"/>
  <c r="C57" i="8"/>
  <c r="C111" i="8"/>
  <c r="D111" i="8"/>
  <c r="I111" i="8"/>
  <c r="B58" i="8"/>
  <c r="B112" i="8"/>
  <c r="C58" i="8"/>
  <c r="C112" i="8"/>
  <c r="D112" i="8"/>
  <c r="I112" i="8"/>
  <c r="B59" i="8"/>
  <c r="B113" i="8"/>
  <c r="C59" i="8"/>
  <c r="C113" i="8"/>
  <c r="D113" i="8"/>
  <c r="I113" i="8"/>
  <c r="B60" i="8"/>
  <c r="B114" i="8"/>
  <c r="C60" i="8"/>
  <c r="C114" i="8"/>
  <c r="D114" i="8"/>
  <c r="I114" i="8"/>
  <c r="B61" i="8"/>
  <c r="B115" i="8"/>
  <c r="C61" i="8"/>
  <c r="C115" i="8"/>
  <c r="D115" i="8"/>
  <c r="I115" i="8"/>
  <c r="B62" i="8"/>
  <c r="B116" i="8"/>
  <c r="C62" i="8"/>
  <c r="C116" i="8"/>
  <c r="D116" i="8"/>
  <c r="I116" i="8"/>
  <c r="B63" i="8"/>
  <c r="B117" i="8"/>
  <c r="C63" i="8"/>
  <c r="C117" i="8"/>
  <c r="D117" i="8"/>
  <c r="I117" i="8"/>
  <c r="B64" i="8"/>
  <c r="B118" i="8"/>
  <c r="C64" i="8"/>
  <c r="C118" i="8"/>
  <c r="D118" i="8"/>
  <c r="I118" i="8"/>
  <c r="I119" i="8"/>
  <c r="B70" i="8"/>
  <c r="B124" i="8"/>
  <c r="I124" i="8"/>
  <c r="I30" i="8"/>
  <c r="I32" i="8"/>
  <c r="B71" i="8"/>
  <c r="B125" i="8"/>
  <c r="I128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72" i="8"/>
  <c r="B126" i="8"/>
  <c r="B128" i="8"/>
  <c r="K128" i="8"/>
  <c r="L128" i="8"/>
  <c r="L127" i="8"/>
  <c r="J33" i="8"/>
  <c r="J8" i="8"/>
  <c r="M8" i="8"/>
  <c r="J9" i="8"/>
  <c r="M9" i="8"/>
  <c r="J10" i="8"/>
  <c r="M10" i="8"/>
  <c r="I83" i="8"/>
  <c r="B81" i="1"/>
  <c r="T37" i="8"/>
  <c r="R37" i="8"/>
  <c r="T56" i="8"/>
  <c r="S56" i="8"/>
  <c r="R56" i="8"/>
  <c r="T55" i="8"/>
  <c r="S55" i="8"/>
  <c r="R55" i="8"/>
  <c r="T54" i="8"/>
  <c r="S54" i="8"/>
  <c r="R54" i="8"/>
  <c r="J95" i="8"/>
  <c r="M95" i="8"/>
  <c r="J96" i="8"/>
  <c r="M96" i="8"/>
  <c r="J97" i="8"/>
  <c r="M97" i="8"/>
  <c r="T38" i="8"/>
  <c r="J6" i="8"/>
  <c r="M6" i="8"/>
  <c r="J7" i="8"/>
  <c r="M7" i="8"/>
  <c r="T39" i="8"/>
  <c r="T40" i="8"/>
  <c r="J91" i="8"/>
  <c r="M91" i="8"/>
  <c r="J92" i="8"/>
  <c r="M92" i="8"/>
  <c r="J93" i="8"/>
  <c r="M93" i="8"/>
  <c r="J94" i="8"/>
  <c r="M94" i="8"/>
  <c r="T41" i="8"/>
  <c r="T42" i="8"/>
  <c r="J98" i="8"/>
  <c r="M98" i="8"/>
  <c r="J99" i="8"/>
  <c r="M99" i="8"/>
  <c r="J100" i="8"/>
  <c r="M100" i="8"/>
  <c r="T43" i="8"/>
  <c r="J101" i="8"/>
  <c r="M101" i="8"/>
  <c r="T44" i="8"/>
  <c r="J104" i="8"/>
  <c r="M104" i="8"/>
  <c r="T45" i="8"/>
  <c r="T46" i="8"/>
  <c r="J102" i="8"/>
  <c r="M102" i="8"/>
  <c r="T47" i="8"/>
  <c r="J26" i="8"/>
  <c r="M26" i="8"/>
  <c r="T48" i="8"/>
  <c r="T49" i="8"/>
  <c r="J103" i="8"/>
  <c r="M103" i="8"/>
  <c r="T50" i="8"/>
  <c r="J105" i="8"/>
  <c r="M105" i="8"/>
  <c r="J106" i="8"/>
  <c r="M106" i="8"/>
  <c r="T51" i="8"/>
  <c r="T52" i="8"/>
  <c r="T53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B81" i="7"/>
  <c r="B70" i="7"/>
  <c r="B71" i="7"/>
  <c r="B72" i="7"/>
  <c r="B29" i="7"/>
  <c r="C29" i="7"/>
  <c r="D29" i="7"/>
  <c r="B80" i="7"/>
  <c r="B82" i="7"/>
  <c r="B83" i="7"/>
  <c r="I83" i="7"/>
  <c r="T56" i="7"/>
  <c r="S56" i="7"/>
  <c r="R56" i="7"/>
  <c r="T55" i="7"/>
  <c r="S55" i="7"/>
  <c r="R55" i="7"/>
  <c r="T54" i="7"/>
  <c r="S54" i="7"/>
  <c r="R54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I91" i="7"/>
  <c r="B38" i="7"/>
  <c r="B92" i="7"/>
  <c r="C38" i="7"/>
  <c r="C92" i="7"/>
  <c r="D92" i="7"/>
  <c r="I92" i="7"/>
  <c r="B39" i="7"/>
  <c r="B93" i="7"/>
  <c r="C39" i="7"/>
  <c r="C93" i="7"/>
  <c r="D93" i="7"/>
  <c r="I93" i="7"/>
  <c r="B40" i="7"/>
  <c r="B94" i="7"/>
  <c r="C40" i="7"/>
  <c r="C94" i="7"/>
  <c r="D94" i="7"/>
  <c r="I94" i="7"/>
  <c r="B41" i="7"/>
  <c r="B95" i="7"/>
  <c r="C41" i="7"/>
  <c r="C95" i="7"/>
  <c r="D95" i="7"/>
  <c r="I95" i="7"/>
  <c r="B42" i="7"/>
  <c r="B96" i="7"/>
  <c r="C42" i="7"/>
  <c r="C96" i="7"/>
  <c r="D96" i="7"/>
  <c r="I96" i="7"/>
  <c r="B43" i="7"/>
  <c r="B97" i="7"/>
  <c r="C43" i="7"/>
  <c r="C97" i="7"/>
  <c r="D97" i="7"/>
  <c r="I97" i="7"/>
  <c r="B44" i="7"/>
  <c r="B98" i="7"/>
  <c r="C44" i="7"/>
  <c r="C98" i="7"/>
  <c r="D98" i="7"/>
  <c r="I98" i="7"/>
  <c r="B45" i="7"/>
  <c r="B99" i="7"/>
  <c r="C45" i="7"/>
  <c r="C99" i="7"/>
  <c r="D99" i="7"/>
  <c r="I99" i="7"/>
  <c r="B46" i="7"/>
  <c r="B100" i="7"/>
  <c r="C46" i="7"/>
  <c r="C100" i="7"/>
  <c r="D100" i="7"/>
  <c r="I100" i="7"/>
  <c r="B47" i="7"/>
  <c r="B101" i="7"/>
  <c r="C47" i="7"/>
  <c r="C101" i="7"/>
  <c r="D101" i="7"/>
  <c r="I101" i="7"/>
  <c r="B48" i="7"/>
  <c r="B102" i="7"/>
  <c r="C48" i="7"/>
  <c r="C102" i="7"/>
  <c r="D102" i="7"/>
  <c r="I102" i="7"/>
  <c r="B49" i="7"/>
  <c r="B103" i="7"/>
  <c r="C49" i="7"/>
  <c r="C103" i="7"/>
  <c r="D103" i="7"/>
  <c r="I103" i="7"/>
  <c r="B50" i="7"/>
  <c r="B104" i="7"/>
  <c r="C50" i="7"/>
  <c r="C104" i="7"/>
  <c r="D104" i="7"/>
  <c r="I104" i="7"/>
  <c r="B51" i="7"/>
  <c r="B105" i="7"/>
  <c r="C51" i="7"/>
  <c r="C105" i="7"/>
  <c r="D105" i="7"/>
  <c r="I105" i="7"/>
  <c r="B52" i="7"/>
  <c r="B106" i="7"/>
  <c r="C52" i="7"/>
  <c r="C106" i="7"/>
  <c r="D106" i="7"/>
  <c r="I106" i="7"/>
  <c r="B53" i="7"/>
  <c r="B107" i="7"/>
  <c r="C53" i="7"/>
  <c r="C107" i="7"/>
  <c r="D107" i="7"/>
  <c r="I107" i="7"/>
  <c r="B54" i="7"/>
  <c r="B108" i="7"/>
  <c r="C54" i="7"/>
  <c r="C108" i="7"/>
  <c r="D108" i="7"/>
  <c r="I108" i="7"/>
  <c r="B55" i="7"/>
  <c r="B109" i="7"/>
  <c r="C55" i="7"/>
  <c r="C109" i="7"/>
  <c r="D109" i="7"/>
  <c r="I109" i="7"/>
  <c r="B56" i="7"/>
  <c r="B110" i="7"/>
  <c r="C56" i="7"/>
  <c r="C110" i="7"/>
  <c r="D110" i="7"/>
  <c r="I110" i="7"/>
  <c r="B57" i="7"/>
  <c r="B111" i="7"/>
  <c r="C57" i="7"/>
  <c r="C111" i="7"/>
  <c r="D111" i="7"/>
  <c r="I111" i="7"/>
  <c r="B58" i="7"/>
  <c r="B112" i="7"/>
  <c r="C58" i="7"/>
  <c r="C112" i="7"/>
  <c r="D112" i="7"/>
  <c r="I112" i="7"/>
  <c r="B59" i="7"/>
  <c r="B113" i="7"/>
  <c r="C59" i="7"/>
  <c r="C113" i="7"/>
  <c r="D113" i="7"/>
  <c r="I113" i="7"/>
  <c r="B60" i="7"/>
  <c r="B114" i="7"/>
  <c r="C60" i="7"/>
  <c r="C114" i="7"/>
  <c r="D114" i="7"/>
  <c r="I114" i="7"/>
  <c r="B61" i="7"/>
  <c r="B115" i="7"/>
  <c r="C61" i="7"/>
  <c r="C115" i="7"/>
  <c r="D115" i="7"/>
  <c r="I115" i="7"/>
  <c r="B62" i="7"/>
  <c r="B116" i="7"/>
  <c r="C62" i="7"/>
  <c r="C116" i="7"/>
  <c r="D116" i="7"/>
  <c r="I116" i="7"/>
  <c r="B63" i="7"/>
  <c r="B117" i="7"/>
  <c r="C63" i="7"/>
  <c r="C117" i="7"/>
  <c r="D117" i="7"/>
  <c r="I117" i="7"/>
  <c r="B64" i="7"/>
  <c r="B118" i="7"/>
  <c r="C64" i="7"/>
  <c r="C118" i="7"/>
  <c r="D118" i="7"/>
  <c r="I118" i="7"/>
  <c r="I119" i="7"/>
  <c r="B124" i="7"/>
  <c r="I124" i="7"/>
  <c r="I30" i="7"/>
  <c r="I32" i="7"/>
  <c r="B125" i="7"/>
  <c r="I128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L127" i="7"/>
  <c r="J33" i="7"/>
  <c r="J8" i="7"/>
  <c r="M8" i="7"/>
  <c r="J9" i="7"/>
  <c r="M9" i="7"/>
  <c r="J10" i="7"/>
  <c r="M10" i="7"/>
  <c r="T37" i="7"/>
  <c r="J95" i="7"/>
  <c r="M95" i="7"/>
  <c r="J96" i="7"/>
  <c r="M96" i="7"/>
  <c r="J97" i="7"/>
  <c r="M97" i="7"/>
  <c r="T38" i="7"/>
  <c r="J6" i="7"/>
  <c r="M6" i="7"/>
  <c r="J7" i="7"/>
  <c r="M7" i="7"/>
  <c r="T39" i="7"/>
  <c r="T40" i="7"/>
  <c r="J91" i="7"/>
  <c r="M91" i="7"/>
  <c r="J92" i="7"/>
  <c r="M92" i="7"/>
  <c r="J93" i="7"/>
  <c r="M93" i="7"/>
  <c r="J94" i="7"/>
  <c r="M94" i="7"/>
  <c r="T41" i="7"/>
  <c r="J98" i="7"/>
  <c r="M98" i="7"/>
  <c r="T42" i="7"/>
  <c r="J99" i="7"/>
  <c r="M99" i="7"/>
  <c r="J100" i="7"/>
  <c r="M100" i="7"/>
  <c r="J101" i="7"/>
  <c r="M101" i="7"/>
  <c r="T43" i="7"/>
  <c r="J102" i="7"/>
  <c r="M102" i="7"/>
  <c r="T44" i="7"/>
  <c r="J105" i="7"/>
  <c r="M105" i="7"/>
  <c r="T45" i="7"/>
  <c r="T46" i="7"/>
  <c r="J103" i="7"/>
  <c r="M103" i="7"/>
  <c r="T47" i="7"/>
  <c r="J26" i="7"/>
  <c r="M26" i="7"/>
  <c r="T48" i="7"/>
  <c r="T49" i="7"/>
  <c r="J104" i="7"/>
  <c r="M104" i="7"/>
  <c r="T50" i="7"/>
  <c r="J106" i="7"/>
  <c r="M106" i="7"/>
  <c r="J107" i="7"/>
  <c r="M107" i="7"/>
  <c r="T51" i="7"/>
  <c r="T52" i="7"/>
  <c r="T53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N52" i="12"/>
  <c r="N51" i="12"/>
  <c r="N50" i="12"/>
  <c r="N49" i="12"/>
  <c r="N48" i="12"/>
  <c r="N47" i="12"/>
  <c r="N46" i="12"/>
  <c r="N45" i="12"/>
  <c r="N44" i="12"/>
  <c r="N43" i="12"/>
  <c r="N42" i="12"/>
  <c r="N41" i="12"/>
  <c r="N40" i="12"/>
  <c r="N39" i="12"/>
  <c r="N38" i="12"/>
  <c r="N37" i="12"/>
  <c r="B81" i="12"/>
  <c r="B80" i="12"/>
  <c r="B82" i="12"/>
  <c r="B83" i="12"/>
  <c r="B41" i="12"/>
  <c r="B42" i="12"/>
  <c r="B37" i="12"/>
  <c r="B38" i="12"/>
  <c r="B39" i="12"/>
  <c r="B40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R38" i="12"/>
  <c r="B6" i="12"/>
  <c r="K6" i="12"/>
  <c r="B7" i="12"/>
  <c r="K7" i="12"/>
  <c r="R39" i="12"/>
  <c r="R40" i="12"/>
  <c r="R41" i="12"/>
  <c r="R42" i="12"/>
  <c r="R43" i="12"/>
  <c r="R44" i="12"/>
  <c r="R45" i="12"/>
  <c r="R46" i="12"/>
  <c r="R47" i="12"/>
  <c r="B26" i="12"/>
  <c r="K26" i="12"/>
  <c r="R48" i="12"/>
  <c r="R49" i="12"/>
  <c r="R50" i="12"/>
  <c r="R51" i="12"/>
  <c r="R52" i="12"/>
  <c r="B8" i="12"/>
  <c r="K8" i="12"/>
  <c r="B9" i="12"/>
  <c r="K9" i="12"/>
  <c r="B10" i="12"/>
  <c r="K10" i="12"/>
  <c r="R37" i="12"/>
  <c r="B70" i="12"/>
  <c r="B71" i="12"/>
  <c r="B72" i="12"/>
  <c r="B29" i="12"/>
  <c r="C29" i="12"/>
  <c r="D29" i="12"/>
  <c r="I83" i="12"/>
  <c r="T56" i="12"/>
  <c r="S56" i="12"/>
  <c r="R56" i="12"/>
  <c r="T55" i="12"/>
  <c r="S55" i="12"/>
  <c r="R55" i="12"/>
  <c r="T54" i="12"/>
  <c r="S54" i="12"/>
  <c r="R5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B91" i="12"/>
  <c r="C37" i="12"/>
  <c r="C91" i="12"/>
  <c r="D91" i="12"/>
  <c r="I91" i="12"/>
  <c r="B92" i="12"/>
  <c r="C38" i="12"/>
  <c r="C92" i="12"/>
  <c r="D92" i="12"/>
  <c r="I92" i="12"/>
  <c r="B93" i="12"/>
  <c r="C39" i="12"/>
  <c r="C93" i="12"/>
  <c r="D93" i="12"/>
  <c r="I93" i="12"/>
  <c r="B94" i="12"/>
  <c r="C40" i="12"/>
  <c r="C94" i="12"/>
  <c r="D94" i="12"/>
  <c r="I94" i="12"/>
  <c r="B95" i="12"/>
  <c r="C41" i="12"/>
  <c r="C95" i="12"/>
  <c r="D95" i="12"/>
  <c r="I95" i="12"/>
  <c r="B96" i="12"/>
  <c r="C42" i="12"/>
  <c r="C96" i="12"/>
  <c r="D96" i="12"/>
  <c r="I96" i="12"/>
  <c r="B97" i="12"/>
  <c r="C43" i="12"/>
  <c r="C97" i="12"/>
  <c r="D97" i="12"/>
  <c r="I97" i="12"/>
  <c r="B98" i="12"/>
  <c r="C44" i="12"/>
  <c r="C98" i="12"/>
  <c r="D98" i="12"/>
  <c r="I98" i="12"/>
  <c r="B99" i="12"/>
  <c r="C45" i="12"/>
  <c r="C99" i="12"/>
  <c r="D99" i="12"/>
  <c r="I99" i="12"/>
  <c r="B100" i="12"/>
  <c r="C46" i="12"/>
  <c r="C100" i="12"/>
  <c r="D100" i="12"/>
  <c r="I100" i="12"/>
  <c r="B101" i="12"/>
  <c r="C47" i="12"/>
  <c r="C101" i="12"/>
  <c r="D101" i="12"/>
  <c r="I101" i="12"/>
  <c r="B102" i="12"/>
  <c r="C48" i="12"/>
  <c r="C102" i="12"/>
  <c r="D102" i="12"/>
  <c r="I102" i="12"/>
  <c r="B103" i="12"/>
  <c r="C49" i="12"/>
  <c r="C103" i="12"/>
  <c r="D103" i="12"/>
  <c r="I103" i="12"/>
  <c r="B104" i="12"/>
  <c r="C50" i="12"/>
  <c r="C104" i="12"/>
  <c r="D104" i="12"/>
  <c r="I104" i="12"/>
  <c r="B105" i="12"/>
  <c r="C51" i="12"/>
  <c r="C105" i="12"/>
  <c r="D105" i="12"/>
  <c r="I105" i="12"/>
  <c r="B106" i="12"/>
  <c r="C52" i="12"/>
  <c r="C106" i="12"/>
  <c r="D106" i="12"/>
  <c r="I106" i="12"/>
  <c r="B107" i="12"/>
  <c r="C53" i="12"/>
  <c r="C107" i="12"/>
  <c r="D107" i="12"/>
  <c r="I107" i="12"/>
  <c r="B108" i="12"/>
  <c r="C54" i="12"/>
  <c r="C108" i="12"/>
  <c r="D108" i="12"/>
  <c r="I108" i="12"/>
  <c r="B109" i="12"/>
  <c r="C55" i="12"/>
  <c r="C109" i="12"/>
  <c r="D109" i="12"/>
  <c r="I109" i="12"/>
  <c r="B110" i="12"/>
  <c r="C56" i="12"/>
  <c r="C110" i="12"/>
  <c r="D110" i="12"/>
  <c r="I110" i="12"/>
  <c r="B111" i="12"/>
  <c r="C57" i="12"/>
  <c r="C111" i="12"/>
  <c r="D111" i="12"/>
  <c r="I111" i="12"/>
  <c r="B112" i="12"/>
  <c r="C58" i="12"/>
  <c r="C112" i="12"/>
  <c r="D112" i="12"/>
  <c r="I112" i="12"/>
  <c r="B113" i="12"/>
  <c r="C59" i="12"/>
  <c r="C113" i="12"/>
  <c r="D113" i="12"/>
  <c r="I113" i="12"/>
  <c r="B114" i="12"/>
  <c r="C60" i="12"/>
  <c r="C114" i="12"/>
  <c r="D114" i="12"/>
  <c r="I114" i="12"/>
  <c r="B115" i="12"/>
  <c r="C61" i="12"/>
  <c r="C115" i="12"/>
  <c r="D115" i="12"/>
  <c r="I115" i="12"/>
  <c r="B116" i="12"/>
  <c r="C62" i="12"/>
  <c r="C116" i="12"/>
  <c r="D116" i="12"/>
  <c r="I116" i="12"/>
  <c r="B117" i="12"/>
  <c r="C63" i="12"/>
  <c r="C117" i="12"/>
  <c r="D117" i="12"/>
  <c r="I117" i="12"/>
  <c r="B118" i="12"/>
  <c r="C64" i="12"/>
  <c r="C118" i="12"/>
  <c r="D118" i="12"/>
  <c r="I118" i="12"/>
  <c r="I119" i="12"/>
  <c r="B124" i="12"/>
  <c r="I124" i="12"/>
  <c r="I30" i="12"/>
  <c r="I32" i="12"/>
  <c r="B125" i="12"/>
  <c r="I128" i="12"/>
  <c r="I131" i="12"/>
  <c r="J8" i="12"/>
  <c r="M8" i="12"/>
  <c r="J9" i="12"/>
  <c r="M9" i="12"/>
  <c r="J10" i="12"/>
  <c r="M10" i="12"/>
  <c r="T37" i="12"/>
  <c r="J95" i="12"/>
  <c r="M95" i="12"/>
  <c r="J96" i="12"/>
  <c r="M96" i="12"/>
  <c r="J97" i="12"/>
  <c r="M97" i="12"/>
  <c r="T38" i="12"/>
  <c r="J6" i="12"/>
  <c r="M6" i="12"/>
  <c r="J7" i="12"/>
  <c r="M7" i="12"/>
  <c r="T39" i="12"/>
  <c r="T40" i="12"/>
  <c r="J91" i="12"/>
  <c r="M91" i="12"/>
  <c r="J92" i="12"/>
  <c r="M92" i="12"/>
  <c r="J93" i="12"/>
  <c r="M93" i="12"/>
  <c r="J94" i="12"/>
  <c r="M94" i="12"/>
  <c r="T41" i="12"/>
  <c r="T42" i="12"/>
  <c r="J98" i="12"/>
  <c r="M98" i="12"/>
  <c r="J99" i="12"/>
  <c r="M99" i="12"/>
  <c r="J100" i="12"/>
  <c r="M100" i="12"/>
  <c r="T43" i="12"/>
  <c r="J101" i="12"/>
  <c r="M101" i="12"/>
  <c r="T44" i="12"/>
  <c r="J104" i="12"/>
  <c r="M104" i="12"/>
  <c r="T45" i="12"/>
  <c r="T46" i="12"/>
  <c r="J102" i="12"/>
  <c r="M102" i="12"/>
  <c r="T47" i="12"/>
  <c r="J26" i="12"/>
  <c r="M26" i="12"/>
  <c r="T48" i="12"/>
  <c r="T49" i="12"/>
  <c r="J103" i="12"/>
  <c r="M103" i="12"/>
  <c r="T50" i="12"/>
  <c r="J105" i="12"/>
  <c r="M105" i="12"/>
  <c r="J106" i="12"/>
  <c r="M106" i="12"/>
  <c r="T51" i="12"/>
  <c r="T52" i="12"/>
  <c r="T53" i="12"/>
  <c r="S37" i="12"/>
  <c r="S38" i="12"/>
  <c r="S39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R53" i="12"/>
  <c r="B71" i="1"/>
  <c r="B72" i="1"/>
  <c r="B70" i="1"/>
  <c r="B29" i="1"/>
  <c r="C29" i="1"/>
  <c r="D29" i="1"/>
  <c r="B80" i="1"/>
  <c r="B82" i="1"/>
  <c r="B83" i="1"/>
  <c r="R56" i="1"/>
  <c r="R55" i="1"/>
  <c r="R54" i="1"/>
  <c r="B44" i="1"/>
  <c r="B45" i="1"/>
  <c r="B46" i="1"/>
  <c r="R43" i="1"/>
  <c r="B47" i="1"/>
  <c r="R44" i="1"/>
  <c r="B50" i="1"/>
  <c r="R45" i="1"/>
  <c r="R46" i="1"/>
  <c r="B48" i="1"/>
  <c r="R47" i="1"/>
  <c r="B26" i="1"/>
  <c r="K26" i="1"/>
  <c r="R48" i="1"/>
  <c r="R49" i="1"/>
  <c r="B49" i="1"/>
  <c r="R50" i="1"/>
  <c r="B51" i="1"/>
  <c r="B52" i="1"/>
  <c r="R51" i="1"/>
  <c r="R52" i="1"/>
  <c r="B6" i="1"/>
  <c r="K6" i="1"/>
  <c r="B7" i="1"/>
  <c r="K7" i="1"/>
  <c r="R39" i="1"/>
  <c r="R40" i="1"/>
  <c r="B37" i="1"/>
  <c r="B38" i="1"/>
  <c r="B39" i="1"/>
  <c r="B40" i="1"/>
  <c r="R41" i="1"/>
  <c r="R42" i="1"/>
  <c r="B8" i="1"/>
  <c r="K8" i="1"/>
  <c r="B9" i="1"/>
  <c r="K9" i="1"/>
  <c r="B10" i="1"/>
  <c r="K10" i="1"/>
  <c r="R37" i="1"/>
  <c r="B41" i="1"/>
  <c r="B42" i="1"/>
  <c r="B43" i="1"/>
  <c r="R38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37" i="1"/>
  <c r="A126" i="9"/>
  <c r="A125" i="9"/>
  <c r="A124" i="9"/>
  <c r="A123" i="9"/>
  <c r="A122" i="9"/>
  <c r="A121" i="9"/>
  <c r="A120" i="9"/>
  <c r="A119" i="9"/>
  <c r="A118" i="9"/>
  <c r="A117" i="9"/>
  <c r="A116" i="9"/>
  <c r="A115" i="9"/>
  <c r="A114" i="9"/>
  <c r="A113" i="9"/>
  <c r="A112" i="9"/>
  <c r="A111" i="9"/>
  <c r="A110" i="9"/>
  <c r="A109" i="9"/>
  <c r="A108" i="9"/>
  <c r="A107" i="9"/>
  <c r="A106" i="9"/>
  <c r="A105" i="9"/>
  <c r="A104" i="9"/>
  <c r="A103" i="9"/>
  <c r="A102" i="9"/>
  <c r="I122" i="9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I88" i="9"/>
  <c r="I131" i="9"/>
  <c r="H122" i="9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H88" i="9"/>
  <c r="H131" i="9"/>
  <c r="G122" i="9"/>
  <c r="C6" i="1"/>
  <c r="D6" i="1"/>
  <c r="F7" i="1"/>
  <c r="H6" i="1"/>
  <c r="I6" i="1"/>
  <c r="C7" i="1"/>
  <c r="D7" i="1"/>
  <c r="H7" i="1"/>
  <c r="I7" i="1"/>
  <c r="C8" i="1"/>
  <c r="D8" i="1"/>
  <c r="H8" i="1"/>
  <c r="I8" i="1"/>
  <c r="C9" i="1"/>
  <c r="D9" i="1"/>
  <c r="H9" i="1"/>
  <c r="I9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91" i="1"/>
  <c r="C37" i="1"/>
  <c r="C91" i="1"/>
  <c r="D91" i="1"/>
  <c r="H91" i="1"/>
  <c r="I91" i="1"/>
  <c r="B92" i="1"/>
  <c r="C38" i="1"/>
  <c r="C92" i="1"/>
  <c r="D92" i="1"/>
  <c r="H92" i="1"/>
  <c r="I92" i="1"/>
  <c r="B93" i="1"/>
  <c r="C39" i="1"/>
  <c r="C93" i="1"/>
  <c r="D93" i="1"/>
  <c r="H93" i="1"/>
  <c r="I93" i="1"/>
  <c r="B94" i="1"/>
  <c r="C40" i="1"/>
  <c r="C94" i="1"/>
  <c r="D94" i="1"/>
  <c r="H94" i="1"/>
  <c r="I94" i="1"/>
  <c r="B95" i="1"/>
  <c r="C41" i="1"/>
  <c r="C95" i="1"/>
  <c r="D95" i="1"/>
  <c r="H95" i="1"/>
  <c r="I95" i="1"/>
  <c r="B96" i="1"/>
  <c r="C42" i="1"/>
  <c r="C96" i="1"/>
  <c r="D96" i="1"/>
  <c r="H96" i="1"/>
  <c r="I96" i="1"/>
  <c r="B97" i="1"/>
  <c r="C43" i="1"/>
  <c r="C97" i="1"/>
  <c r="D97" i="1"/>
  <c r="H97" i="1"/>
  <c r="I97" i="1"/>
  <c r="B98" i="1"/>
  <c r="C44" i="1"/>
  <c r="C98" i="1"/>
  <c r="D98" i="1"/>
  <c r="H98" i="1"/>
  <c r="I98" i="1"/>
  <c r="B99" i="1"/>
  <c r="C45" i="1"/>
  <c r="C99" i="1"/>
  <c r="D99" i="1"/>
  <c r="H99" i="1"/>
  <c r="I99" i="1"/>
  <c r="B100" i="1"/>
  <c r="C46" i="1"/>
  <c r="C100" i="1"/>
  <c r="D100" i="1"/>
  <c r="H100" i="1"/>
  <c r="I100" i="1"/>
  <c r="B101" i="1"/>
  <c r="C47" i="1"/>
  <c r="C101" i="1"/>
  <c r="D101" i="1"/>
  <c r="H101" i="1"/>
  <c r="I101" i="1"/>
  <c r="B102" i="1"/>
  <c r="C48" i="1"/>
  <c r="C102" i="1"/>
  <c r="D102" i="1"/>
  <c r="H102" i="1"/>
  <c r="I102" i="1"/>
  <c r="B103" i="1"/>
  <c r="C49" i="1"/>
  <c r="C103" i="1"/>
  <c r="D103" i="1"/>
  <c r="H103" i="1"/>
  <c r="I103" i="1"/>
  <c r="B104" i="1"/>
  <c r="C50" i="1"/>
  <c r="C104" i="1"/>
  <c r="D104" i="1"/>
  <c r="H104" i="1"/>
  <c r="I104" i="1"/>
  <c r="B105" i="1"/>
  <c r="C51" i="1"/>
  <c r="C105" i="1"/>
  <c r="D105" i="1"/>
  <c r="H105" i="1"/>
  <c r="I105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B73" i="1"/>
  <c r="B127" i="1"/>
  <c r="K127" i="1"/>
  <c r="H127" i="1"/>
  <c r="L6" i="1"/>
  <c r="L7" i="1"/>
  <c r="L8" i="1"/>
  <c r="L9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8" i="1"/>
  <c r="M8" i="1"/>
  <c r="J9" i="1"/>
  <c r="M9" i="1"/>
  <c r="J10" i="1"/>
  <c r="M10" i="1"/>
  <c r="H83" i="1"/>
  <c r="I83" i="1"/>
  <c r="T7" i="1"/>
  <c r="J95" i="1"/>
  <c r="M95" i="1"/>
  <c r="J96" i="1"/>
  <c r="M96" i="1"/>
  <c r="J97" i="1"/>
  <c r="M97" i="1"/>
  <c r="T8" i="1"/>
  <c r="J6" i="1"/>
  <c r="M6" i="1"/>
  <c r="J7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J26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G88" i="9"/>
  <c r="G131" i="9"/>
  <c r="F122" i="9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F88" i="9"/>
  <c r="F131" i="9"/>
  <c r="I121" i="9"/>
  <c r="I130" i="9"/>
  <c r="H121" i="9"/>
  <c r="H130" i="9"/>
  <c r="T56" i="1"/>
  <c r="G121" i="9"/>
  <c r="G130" i="9"/>
  <c r="F121" i="9"/>
  <c r="F130" i="9"/>
  <c r="I120" i="9"/>
  <c r="I129" i="9"/>
  <c r="H120" i="9"/>
  <c r="H129" i="9"/>
  <c r="T55" i="1"/>
  <c r="G120" i="9"/>
  <c r="G129" i="9"/>
  <c r="F120" i="9"/>
  <c r="F129" i="9"/>
  <c r="I119" i="9"/>
  <c r="I128" i="9"/>
  <c r="H119" i="9"/>
  <c r="H128" i="9"/>
  <c r="T54" i="1"/>
  <c r="G119" i="9"/>
  <c r="G128" i="9"/>
  <c r="F119" i="9"/>
  <c r="F128" i="9"/>
  <c r="I126" i="9"/>
  <c r="H126" i="9"/>
  <c r="G126" i="9"/>
  <c r="F126" i="9"/>
  <c r="I125" i="9"/>
  <c r="H125" i="9"/>
  <c r="G125" i="9"/>
  <c r="F125" i="9"/>
  <c r="I124" i="9"/>
  <c r="H124" i="9"/>
  <c r="G124" i="9"/>
  <c r="F124" i="9"/>
  <c r="I123" i="9"/>
  <c r="H123" i="9"/>
  <c r="G123" i="9"/>
  <c r="F123" i="9"/>
  <c r="I118" i="9"/>
  <c r="H118" i="9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G118" i="9"/>
  <c r="F118" i="9"/>
  <c r="I117" i="9"/>
  <c r="H117" i="9"/>
  <c r="G117" i="9"/>
  <c r="F117" i="9"/>
  <c r="I116" i="9"/>
  <c r="H116" i="9"/>
  <c r="G116" i="9"/>
  <c r="F116" i="9"/>
  <c r="I115" i="9"/>
  <c r="H115" i="9"/>
  <c r="G115" i="9"/>
  <c r="F115" i="9"/>
  <c r="I114" i="9"/>
  <c r="H114" i="9"/>
  <c r="G114" i="9"/>
  <c r="F114" i="9"/>
  <c r="I113" i="9"/>
  <c r="H113" i="9"/>
  <c r="G113" i="9"/>
  <c r="F113" i="9"/>
  <c r="I112" i="9"/>
  <c r="H112" i="9"/>
  <c r="G112" i="9"/>
  <c r="F112" i="9"/>
  <c r="I111" i="9"/>
  <c r="H111" i="9"/>
  <c r="G111" i="9"/>
  <c r="F111" i="9"/>
  <c r="I110" i="9"/>
  <c r="H110" i="9"/>
  <c r="G110" i="9"/>
  <c r="F110" i="9"/>
  <c r="I109" i="9"/>
  <c r="H109" i="9"/>
  <c r="G109" i="9"/>
  <c r="F109" i="9"/>
  <c r="I108" i="9"/>
  <c r="H108" i="9"/>
  <c r="G108" i="9"/>
  <c r="F108" i="9"/>
  <c r="I107" i="9"/>
  <c r="H107" i="9"/>
  <c r="G107" i="9"/>
  <c r="F107" i="9"/>
  <c r="I106" i="9"/>
  <c r="H106" i="9"/>
  <c r="G106" i="9"/>
  <c r="F106" i="9"/>
  <c r="I105" i="9"/>
  <c r="H105" i="9"/>
  <c r="G105" i="9"/>
  <c r="F105" i="9"/>
  <c r="I104" i="9"/>
  <c r="H104" i="9"/>
  <c r="G104" i="9"/>
  <c r="F104" i="9"/>
  <c r="I103" i="9"/>
  <c r="H103" i="9"/>
  <c r="G103" i="9"/>
  <c r="F103" i="9"/>
  <c r="I102" i="9"/>
  <c r="H102" i="9"/>
  <c r="G102" i="9"/>
  <c r="F102" i="9"/>
  <c r="E122" i="9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E88" i="9"/>
  <c r="E131" i="9"/>
  <c r="D122" i="9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D88" i="9"/>
  <c r="D131" i="9"/>
  <c r="C122" i="9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C88" i="9"/>
  <c r="C131" i="9"/>
  <c r="E121" i="9"/>
  <c r="E130" i="9"/>
  <c r="D121" i="9"/>
  <c r="D130" i="9"/>
  <c r="C121" i="9"/>
  <c r="C130" i="9"/>
  <c r="E120" i="9"/>
  <c r="E129" i="9"/>
  <c r="D120" i="9"/>
  <c r="D129" i="9"/>
  <c r="C120" i="9"/>
  <c r="C129" i="9"/>
  <c r="E119" i="9"/>
  <c r="E128" i="9"/>
  <c r="D119" i="9"/>
  <c r="D128" i="9"/>
  <c r="C119" i="9"/>
  <c r="C128" i="9"/>
  <c r="E118" i="9"/>
  <c r="D118" i="9"/>
  <c r="R53" i="1"/>
  <c r="C118" i="9"/>
  <c r="E117" i="9"/>
  <c r="D117" i="9"/>
  <c r="C117" i="9"/>
  <c r="E116" i="9"/>
  <c r="D116" i="9"/>
  <c r="C116" i="9"/>
  <c r="E115" i="9"/>
  <c r="D115" i="9"/>
  <c r="C115" i="9"/>
  <c r="E114" i="9"/>
  <c r="D114" i="9"/>
  <c r="C114" i="9"/>
  <c r="E113" i="9"/>
  <c r="D113" i="9"/>
  <c r="C113" i="9"/>
  <c r="E112" i="9"/>
  <c r="D112" i="9"/>
  <c r="C112" i="9"/>
  <c r="E111" i="9"/>
  <c r="D111" i="9"/>
  <c r="C111" i="9"/>
  <c r="E110" i="9"/>
  <c r="D110" i="9"/>
  <c r="C110" i="9"/>
  <c r="E109" i="9"/>
  <c r="D109" i="9"/>
  <c r="C109" i="9"/>
  <c r="E108" i="9"/>
  <c r="D108" i="9"/>
  <c r="C108" i="9"/>
  <c r="E107" i="9"/>
  <c r="D107" i="9"/>
  <c r="C107" i="9"/>
  <c r="E106" i="9"/>
  <c r="D106" i="9"/>
  <c r="C106" i="9"/>
  <c r="E105" i="9"/>
  <c r="D105" i="9"/>
  <c r="C105" i="9"/>
  <c r="E104" i="9"/>
  <c r="D104" i="9"/>
  <c r="C104" i="9"/>
  <c r="E103" i="9"/>
  <c r="D103" i="9"/>
  <c r="C103" i="9"/>
  <c r="E102" i="9"/>
  <c r="D102" i="9"/>
  <c r="C102" i="9"/>
  <c r="B122" i="9"/>
  <c r="B84" i="12"/>
  <c r="I84" i="12"/>
  <c r="H84" i="12"/>
  <c r="R7" i="12"/>
  <c r="K95" i="12"/>
  <c r="K96" i="12"/>
  <c r="K97" i="12"/>
  <c r="R8" i="12"/>
  <c r="R9" i="12"/>
  <c r="R10" i="12"/>
  <c r="K91" i="12"/>
  <c r="K92" i="12"/>
  <c r="K93" i="12"/>
  <c r="K94" i="12"/>
  <c r="R11" i="12"/>
  <c r="R12" i="12"/>
  <c r="K98" i="12"/>
  <c r="K99" i="12"/>
  <c r="K100" i="12"/>
  <c r="R13" i="12"/>
  <c r="K101" i="12"/>
  <c r="R14" i="12"/>
  <c r="K104" i="12"/>
  <c r="R15" i="12"/>
  <c r="R16" i="12"/>
  <c r="K102" i="12"/>
  <c r="R17" i="12"/>
  <c r="R18" i="12"/>
  <c r="R19" i="12"/>
  <c r="K103" i="12"/>
  <c r="R20" i="12"/>
  <c r="K105" i="12"/>
  <c r="K106" i="12"/>
  <c r="R21" i="12"/>
  <c r="R22" i="12"/>
  <c r="R23" i="12"/>
  <c r="B88" i="9"/>
  <c r="B131" i="9"/>
  <c r="B121" i="9"/>
  <c r="B130" i="9"/>
  <c r="B120" i="9"/>
  <c r="B129" i="9"/>
  <c r="B119" i="9"/>
  <c r="B128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S56" i="1"/>
  <c r="S55" i="1"/>
  <c r="S54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E43" i="1"/>
  <c r="E42" i="1"/>
  <c r="E41" i="1"/>
  <c r="E6" i="7"/>
  <c r="H6" i="7"/>
  <c r="E7" i="7"/>
  <c r="H7" i="7"/>
  <c r="E8" i="7"/>
  <c r="H8" i="7"/>
  <c r="E9" i="7"/>
  <c r="H9" i="7"/>
  <c r="E10" i="7"/>
  <c r="H10" i="7"/>
  <c r="E37" i="7"/>
  <c r="F37" i="7"/>
  <c r="G37" i="7"/>
  <c r="H91" i="7"/>
  <c r="E38" i="7"/>
  <c r="G38" i="1"/>
  <c r="G38" i="7"/>
  <c r="F38" i="7"/>
  <c r="H92" i="7"/>
  <c r="E39" i="7"/>
  <c r="G39" i="1"/>
  <c r="G39" i="7"/>
  <c r="F39" i="7"/>
  <c r="H93" i="7"/>
  <c r="G40" i="1"/>
  <c r="G40" i="7"/>
  <c r="F40" i="7"/>
  <c r="E40" i="7"/>
  <c r="H94" i="7"/>
  <c r="G41" i="1"/>
  <c r="G41" i="7"/>
  <c r="E41" i="7"/>
  <c r="F41" i="7"/>
  <c r="H95" i="7"/>
  <c r="G42" i="1"/>
  <c r="G42" i="7"/>
  <c r="E42" i="7"/>
  <c r="F42" i="7"/>
  <c r="H96" i="7"/>
  <c r="G43" i="1"/>
  <c r="G43" i="7"/>
  <c r="E43" i="7"/>
  <c r="F43" i="7"/>
  <c r="H97" i="7"/>
  <c r="G44" i="1"/>
  <c r="G44" i="7"/>
  <c r="E44" i="7"/>
  <c r="F44" i="7"/>
  <c r="H98" i="7"/>
  <c r="G45" i="1"/>
  <c r="G45" i="7"/>
  <c r="E45" i="7"/>
  <c r="F45" i="7"/>
  <c r="H99" i="7"/>
  <c r="G46" i="1"/>
  <c r="G46" i="7"/>
  <c r="E46" i="7"/>
  <c r="F46" i="7"/>
  <c r="H100" i="7"/>
  <c r="E47" i="7"/>
  <c r="G47" i="1"/>
  <c r="G47" i="7"/>
  <c r="F47" i="7"/>
  <c r="H101" i="7"/>
  <c r="E48" i="7"/>
  <c r="G48" i="1"/>
  <c r="G48" i="7"/>
  <c r="F48" i="7"/>
  <c r="H102" i="7"/>
  <c r="G49" i="1"/>
  <c r="G49" i="7"/>
  <c r="F49" i="7"/>
  <c r="H103" i="7"/>
  <c r="G50" i="1"/>
  <c r="G50" i="7"/>
  <c r="F50" i="7"/>
  <c r="H104" i="7"/>
  <c r="G51" i="1"/>
  <c r="G51" i="7"/>
  <c r="H105" i="7"/>
  <c r="G52" i="1"/>
  <c r="G52" i="7"/>
  <c r="F52" i="7"/>
  <c r="H106" i="7"/>
  <c r="G53" i="1"/>
  <c r="G53" i="7"/>
  <c r="H107" i="7"/>
  <c r="G54" i="1"/>
  <c r="G54" i="7"/>
  <c r="H108" i="7"/>
  <c r="G55" i="1"/>
  <c r="G55" i="7"/>
  <c r="H109" i="7"/>
  <c r="G56" i="1"/>
  <c r="G56" i="7"/>
  <c r="H110" i="7"/>
  <c r="G57" i="1"/>
  <c r="G57" i="7"/>
  <c r="H111" i="7"/>
  <c r="G58" i="1"/>
  <c r="G58" i="7"/>
  <c r="H112" i="7"/>
  <c r="G59" i="1"/>
  <c r="G59" i="7"/>
  <c r="H113" i="7"/>
  <c r="G60" i="1"/>
  <c r="G60" i="7"/>
  <c r="H114" i="7"/>
  <c r="G61" i="1"/>
  <c r="G61" i="7"/>
  <c r="H115" i="7"/>
  <c r="G62" i="1"/>
  <c r="G62" i="7"/>
  <c r="H116" i="7"/>
  <c r="G63" i="1"/>
  <c r="G63" i="7"/>
  <c r="H117" i="7"/>
  <c r="G64" i="1"/>
  <c r="G64" i="7"/>
  <c r="H118" i="7"/>
  <c r="F70" i="7"/>
  <c r="H124" i="7"/>
  <c r="F71" i="7"/>
  <c r="H125" i="7"/>
  <c r="F72" i="7"/>
  <c r="H126" i="7"/>
  <c r="F73" i="7"/>
  <c r="H127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7" i="7"/>
  <c r="J28" i="7"/>
  <c r="J29" i="7"/>
  <c r="J30" i="7"/>
  <c r="J31" i="7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7" i="1"/>
  <c r="J28" i="1"/>
  <c r="J29" i="1"/>
  <c r="J30" i="1"/>
  <c r="J31" i="1"/>
  <c r="G37" i="8"/>
  <c r="H83" i="8"/>
  <c r="F70" i="8"/>
  <c r="H70" i="8"/>
  <c r="F71" i="8"/>
  <c r="H71" i="8"/>
  <c r="F72" i="8"/>
  <c r="H72" i="8"/>
  <c r="T26" i="8"/>
  <c r="E6" i="8"/>
  <c r="H6" i="8"/>
  <c r="E7" i="8"/>
  <c r="H7" i="8"/>
  <c r="E8" i="8"/>
  <c r="H8" i="8"/>
  <c r="E9" i="8"/>
  <c r="H9" i="8"/>
  <c r="E10" i="8"/>
  <c r="H10" i="8"/>
  <c r="E37" i="8"/>
  <c r="F37" i="8"/>
  <c r="H91" i="8"/>
  <c r="E38" i="8"/>
  <c r="G38" i="8"/>
  <c r="F38" i="8"/>
  <c r="H92" i="8"/>
  <c r="E39" i="8"/>
  <c r="G39" i="8"/>
  <c r="F39" i="8"/>
  <c r="H93" i="8"/>
  <c r="G40" i="8"/>
  <c r="F40" i="8"/>
  <c r="E40" i="8"/>
  <c r="H94" i="8"/>
  <c r="G41" i="8"/>
  <c r="E41" i="8"/>
  <c r="F41" i="8"/>
  <c r="H95" i="8"/>
  <c r="G42" i="8"/>
  <c r="E42" i="8"/>
  <c r="F42" i="8"/>
  <c r="H96" i="8"/>
  <c r="G43" i="8"/>
  <c r="E43" i="8"/>
  <c r="F43" i="8"/>
  <c r="H97" i="8"/>
  <c r="G44" i="8"/>
  <c r="E44" i="8"/>
  <c r="F44" i="8"/>
  <c r="H98" i="8"/>
  <c r="G45" i="8"/>
  <c r="E45" i="8"/>
  <c r="F45" i="8"/>
  <c r="H99" i="8"/>
  <c r="G46" i="8"/>
  <c r="E46" i="8"/>
  <c r="F46" i="8"/>
  <c r="H100" i="8"/>
  <c r="E47" i="8"/>
  <c r="G47" i="8"/>
  <c r="F47" i="8"/>
  <c r="H101" i="8"/>
  <c r="E48" i="8"/>
  <c r="G48" i="8"/>
  <c r="F48" i="8"/>
  <c r="H102" i="8"/>
  <c r="G49" i="8"/>
  <c r="F49" i="8"/>
  <c r="H103" i="8"/>
  <c r="G50" i="8"/>
  <c r="F50" i="8"/>
  <c r="H104" i="8"/>
  <c r="G51" i="8"/>
  <c r="H105" i="8"/>
  <c r="G52" i="8"/>
  <c r="F52" i="8"/>
  <c r="H106" i="8"/>
  <c r="G53" i="8"/>
  <c r="H107" i="8"/>
  <c r="G54" i="8"/>
  <c r="H108" i="8"/>
  <c r="G55" i="8"/>
  <c r="H109" i="8"/>
  <c r="G56" i="8"/>
  <c r="H110" i="8"/>
  <c r="G57" i="8"/>
  <c r="H111" i="8"/>
  <c r="G58" i="8"/>
  <c r="H112" i="8"/>
  <c r="G59" i="8"/>
  <c r="H113" i="8"/>
  <c r="G60" i="8"/>
  <c r="H114" i="8"/>
  <c r="G61" i="8"/>
  <c r="H115" i="8"/>
  <c r="G62" i="8"/>
  <c r="H116" i="8"/>
  <c r="G63" i="8"/>
  <c r="H117" i="8"/>
  <c r="G64" i="8"/>
  <c r="H118" i="8"/>
  <c r="H124" i="8"/>
  <c r="H125" i="8"/>
  <c r="H126" i="8"/>
  <c r="F73" i="8"/>
  <c r="H127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H70" i="7"/>
  <c r="H71" i="7"/>
  <c r="H72" i="7"/>
  <c r="T26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70" i="1"/>
  <c r="H71" i="1"/>
  <c r="H72" i="1"/>
  <c r="T26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F70" i="12"/>
  <c r="H70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G38" i="12"/>
  <c r="E38" i="12"/>
  <c r="F38" i="12"/>
  <c r="H92" i="12"/>
  <c r="G39" i="12"/>
  <c r="E39" i="12"/>
  <c r="F39" i="12"/>
  <c r="H93" i="12"/>
  <c r="G40" i="12"/>
  <c r="F40" i="12"/>
  <c r="E40" i="12"/>
  <c r="H94" i="12"/>
  <c r="G44" i="12"/>
  <c r="E44" i="12"/>
  <c r="F44" i="12"/>
  <c r="H98" i="12"/>
  <c r="G45" i="12"/>
  <c r="E45" i="12"/>
  <c r="F45" i="12"/>
  <c r="H99" i="12"/>
  <c r="G46" i="12"/>
  <c r="E46" i="12"/>
  <c r="F46" i="12"/>
  <c r="H100" i="12"/>
  <c r="G47" i="12"/>
  <c r="E47" i="12"/>
  <c r="F47" i="12"/>
  <c r="H101" i="12"/>
  <c r="G48" i="12"/>
  <c r="E48" i="12"/>
  <c r="F48" i="12"/>
  <c r="H102" i="12"/>
  <c r="G49" i="12"/>
  <c r="F49" i="12"/>
  <c r="H103" i="12"/>
  <c r="G50" i="12"/>
  <c r="F50" i="12"/>
  <c r="H104" i="12"/>
  <c r="G51" i="12"/>
  <c r="H105" i="12"/>
  <c r="G52" i="12"/>
  <c r="F52" i="12"/>
  <c r="H106" i="12"/>
  <c r="G53" i="12"/>
  <c r="H107" i="12"/>
  <c r="G54" i="12"/>
  <c r="H108" i="12"/>
  <c r="G55" i="12"/>
  <c r="H109" i="12"/>
  <c r="G56" i="12"/>
  <c r="H110" i="12"/>
  <c r="G57" i="12"/>
  <c r="H111" i="12"/>
  <c r="G58" i="12"/>
  <c r="H112" i="12"/>
  <c r="G59" i="12"/>
  <c r="H113" i="12"/>
  <c r="G60" i="12"/>
  <c r="H114" i="12"/>
  <c r="G61" i="12"/>
  <c r="H115" i="12"/>
  <c r="G62" i="12"/>
  <c r="H116" i="12"/>
  <c r="G63" i="12"/>
  <c r="H117" i="12"/>
  <c r="G64" i="12"/>
  <c r="H118" i="12"/>
  <c r="H124" i="12"/>
  <c r="E6" i="12"/>
  <c r="H6" i="12"/>
  <c r="E7" i="12"/>
  <c r="H7" i="12"/>
  <c r="E8" i="12"/>
  <c r="H8" i="12"/>
  <c r="E9" i="12"/>
  <c r="H9" i="12"/>
  <c r="E10" i="12"/>
  <c r="H10" i="12"/>
  <c r="F71" i="12"/>
  <c r="H125" i="12"/>
  <c r="L6" i="12"/>
  <c r="L7" i="12"/>
  <c r="S9" i="12"/>
  <c r="S10" i="12"/>
  <c r="L91" i="12"/>
  <c r="L92" i="12"/>
  <c r="L93" i="12"/>
  <c r="L94" i="12"/>
  <c r="S11" i="12"/>
  <c r="L98" i="12"/>
  <c r="S12" i="12"/>
  <c r="J11" i="12"/>
  <c r="M11" i="12"/>
  <c r="L99" i="12"/>
  <c r="L100" i="12"/>
  <c r="L101" i="12"/>
  <c r="S13" i="12"/>
  <c r="L102" i="12"/>
  <c r="S14" i="12"/>
  <c r="L105" i="12"/>
  <c r="L104" i="12"/>
  <c r="S15" i="12"/>
  <c r="S16" i="12"/>
  <c r="L103" i="12"/>
  <c r="S17" i="12"/>
  <c r="L26" i="12"/>
  <c r="S18" i="12"/>
  <c r="S19" i="12"/>
  <c r="S20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8" i="12"/>
  <c r="L9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126" i="12"/>
  <c r="B73" i="12"/>
  <c r="B127" i="12"/>
  <c r="L127" i="12"/>
  <c r="K127" i="12"/>
  <c r="J33" i="12"/>
  <c r="J107" i="12"/>
  <c r="M107" i="12"/>
  <c r="S22" i="12"/>
  <c r="H71" i="12"/>
  <c r="H72" i="12"/>
  <c r="T26" i="12"/>
  <c r="S26" i="12"/>
  <c r="R26" i="12"/>
  <c r="T25" i="12"/>
  <c r="S25" i="12"/>
  <c r="R25" i="12"/>
  <c r="T24" i="12"/>
  <c r="S24" i="12"/>
  <c r="R24" i="12"/>
  <c r="S7" i="12"/>
  <c r="T32" i="12"/>
  <c r="S23" i="12"/>
  <c r="S32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49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49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49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101" i="9"/>
  <c r="D92" i="9"/>
  <c r="D101" i="9"/>
  <c r="C92" i="9"/>
  <c r="C101" i="9"/>
  <c r="B92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98" i="9"/>
  <c r="G98" i="9"/>
  <c r="H9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<sst xmlns="http://schemas.openxmlformats.org/spreadsheetml/2006/main" count="874" uniqueCount="145">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</sst>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</numFmts>
  <fonts count="39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  <font>
      <sz val="10"/>
      <color rgb="FF7DB344"/>
      <name val="Arial"/>
      <family val="2"/>
    </font>
    <font>
      <sz val="10"/>
      <color rgb="FF9C0006"/>
      <name val="Arial"/>
      <family val="2"/>
    </font>
    <font>
      <sz val="10"/>
      <color rgb="FF974706"/>
      <name val="Arial"/>
    </font>
    <font>
      <sz val="10"/>
      <color rgb="FF60497A"/>
      <name val="Arial"/>
    </font>
    <font>
      <sz val="10"/>
      <color rgb="FFF2DCDB"/>
      <name val="Arial"/>
    </font>
    <font>
      <sz val="10"/>
      <color rgb="FF16365C"/>
      <name val="Arial"/>
    </font>
    <font>
      <sz val="10"/>
      <color rgb="FFFFFFFF"/>
      <name val="Arial"/>
    </font>
    <font>
      <sz val="10"/>
      <color rgb="FF595959"/>
      <name val="Arial"/>
    </font>
  </fonts>
  <fills count="20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ABF8F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E6B8B7"/>
        <bgColor rgb="FF000000"/>
      </patternFill>
    </fill>
    <fill>
      <patternFill patternType="solid">
        <fgColor rgb="FF963634"/>
        <bgColor rgb="FF000000"/>
      </patternFill>
    </fill>
    <fill>
      <patternFill patternType="solid">
        <fgColor rgb="FFCC66FF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632523"/>
        <bgColor rgb="FF000000"/>
      </patternFill>
    </fill>
    <fill>
      <patternFill patternType="solid">
        <fgColor rgb="FFD9D9D9"/>
        <bgColor rgb="FF000000"/>
      </patternFill>
    </fill>
  </fills>
  <borders count="35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/>
      <top/>
      <bottom style="medium">
        <color auto="1"/>
      </bottom>
      <diagonal/>
    </border>
  </borders>
  <cellStyleXfs count="188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6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0" fontId="0" fillId="0" borderId="34" xfId="0" applyBorder="1" applyAlignment="1"/>
    <xf numFmtId="3" fontId="0" fillId="0" borderId="34" xfId="1" applyNumberFormat="1" applyFont="1" applyBorder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  <xf numFmtId="1" fontId="7" fillId="0" borderId="0" xfId="0" applyNumberFormat="1" applyFont="1" applyBorder="1" applyAlignment="1" applyProtection="1">
      <alignment horizontal="right"/>
      <protection locked="0"/>
    </xf>
    <xf numFmtId="1" fontId="33" fillId="11" borderId="0" xfId="0" applyNumberFormat="1" applyFont="1" applyFill="1" applyAlignment="1" applyProtection="1">
      <alignment horizontal="left"/>
      <protection locked="0"/>
    </xf>
    <xf numFmtId="1" fontId="31" fillId="12" borderId="0" xfId="0" applyNumberFormat="1" applyFont="1" applyFill="1" applyAlignment="1" applyProtection="1">
      <alignment horizontal="left"/>
      <protection locked="0"/>
    </xf>
    <xf numFmtId="1" fontId="34" fillId="13" borderId="0" xfId="0" applyNumberFormat="1" applyFont="1" applyFill="1" applyAlignment="1" applyProtection="1">
      <alignment horizontal="left"/>
      <protection locked="0"/>
    </xf>
    <xf numFmtId="1" fontId="32" fillId="14" borderId="0" xfId="0" applyNumberFormat="1" applyFont="1" applyFill="1" applyAlignment="1" applyProtection="1">
      <alignment horizontal="left"/>
      <protection locked="0"/>
    </xf>
    <xf numFmtId="1" fontId="35" fillId="15" borderId="0" xfId="0" applyNumberFormat="1" applyFont="1" applyFill="1" applyAlignment="1" applyProtection="1">
      <alignment horizontal="left"/>
      <protection locked="0"/>
    </xf>
    <xf numFmtId="1" fontId="36" fillId="16" borderId="0" xfId="0" applyNumberFormat="1" applyFont="1" applyFill="1" applyAlignment="1" applyProtection="1">
      <alignment horizontal="left"/>
      <protection locked="0"/>
    </xf>
    <xf numFmtId="1" fontId="7" fillId="17" borderId="0" xfId="0" applyNumberFormat="1" applyFont="1" applyFill="1" applyAlignment="1" applyProtection="1">
      <alignment horizontal="left"/>
      <protection locked="0"/>
    </xf>
    <xf numFmtId="1" fontId="37" fillId="18" borderId="0" xfId="0" applyNumberFormat="1" applyFont="1" applyFill="1" applyAlignment="1" applyProtection="1">
      <alignment horizontal="left"/>
      <protection locked="0"/>
    </xf>
    <xf numFmtId="1" fontId="38" fillId="19" borderId="0" xfId="0" applyNumberFormat="1" applyFont="1" applyFill="1" applyAlignment="1" applyProtection="1">
      <alignment horizontal="left"/>
      <protection locked="0"/>
    </xf>
  </cellXfs>
  <cellStyles count="188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Normal" xfId="0" builtinId="0"/>
    <cellStyle name="Percent" xfId="6" builtinId="5"/>
    <cellStyle name="Total" xfId="7" builtinId="25" customBuiltin="1"/>
  </cellStyles>
  <dxfs count="63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0.00387052342305762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0.0065772789235315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0.209294007245687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0.294689816854807</c:v>
                </c:pt>
                <c:pt idx="2" formatCode="0.0%">
                  <c:v>0.588150322325235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4491704"/>
        <c:axId val="-2104488360"/>
      </c:barChart>
      <c:catAx>
        <c:axId val="-2104491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88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4488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4491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0.0648240145620165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0.00165914164945886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0.0011521817010131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0.104711773611273</c:v>
                </c:pt>
                <c:pt idx="2">
                  <c:v>0.104711773611273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859048"/>
        <c:axId val="-2100856024"/>
      </c:barChart>
      <c:catAx>
        <c:axId val="-2100859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6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856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859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0.0222406848394742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0.00677364409882124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0.000541891527905699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0.0418716413184193</c:v>
                </c:pt>
                <c:pt idx="2">
                  <c:v>0.0418716413184193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714520"/>
        <c:axId val="-2100711464"/>
      </c:barChart>
      <c:catAx>
        <c:axId val="-2100714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14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7114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7145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0.856871969833004</c:v>
                </c:pt>
                <c:pt idx="2">
                  <c:v>0.856871969833004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569704"/>
        <c:axId val="-2100566680"/>
      </c:barChart>
      <c:catAx>
        <c:axId val="-210056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6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566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569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445704"/>
        <c:axId val="-2100442328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445704"/>
        <c:axId val="-2100442328"/>
      </c:lineChart>
      <c:catAx>
        <c:axId val="-2100445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2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4423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445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327192"/>
        <c:axId val="-2100323960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327192"/>
        <c:axId val="-2100323960"/>
      </c:lineChart>
      <c:catAx>
        <c:axId val="-210032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32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32719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218200"/>
        <c:axId val="-2100214920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218200"/>
        <c:axId val="-2100214920"/>
      </c:lineChart>
      <c:catAx>
        <c:axId val="-2100218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4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214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0218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 with Grants</a:t>
            </a:r>
          </a:p>
        </c:rich>
      </c:tx>
      <c:layout>
        <c:manualLayout>
          <c:xMode val="edge"/>
          <c:yMode val="edge"/>
          <c:x val="0.342624535922647"/>
          <c:y val="0.0301363549068562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Income!$A$102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Income!$B$102:$I$102</c:f>
              <c:numCache>
                <c:formatCode>#,##0</c:formatCode>
                <c:ptCount val="8"/>
                <c:pt idx="0">
                  <c:v>984.254455906166</c:v>
                </c:pt>
                <c:pt idx="1">
                  <c:v>2704.266735645449</c:v>
                </c:pt>
                <c:pt idx="2">
                  <c:v>2492.85719023268</c:v>
                </c:pt>
                <c:pt idx="3">
                  <c:v>1745.920634604798</c:v>
                </c:pt>
                <c:pt idx="4">
                  <c:v>414.0773225620311</c:v>
                </c:pt>
                <c:pt idx="5">
                  <c:v>1305.918536947162</c:v>
                </c:pt>
                <c:pt idx="6">
                  <c:v>5379.225145642626</c:v>
                </c:pt>
                <c:pt idx="7">
                  <c:v>896.0397790998251</c:v>
                </c:pt>
              </c:numCache>
            </c:numRef>
          </c:val>
        </c:ser>
        <c:ser>
          <c:idx val="2"/>
          <c:order val="7"/>
          <c:tx>
            <c:strRef>
              <c:f>Income!$A$103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Income!$B$103:$I$103</c:f>
              <c:numCache>
                <c:formatCode>#,##0</c:formatCode>
                <c:ptCount val="8"/>
                <c:pt idx="0">
                  <c:v>0.0</c:v>
                </c:pt>
                <c:pt idx="1">
                  <c:v>1660.0</c:v>
                </c:pt>
                <c:pt idx="2">
                  <c:v>25314.28571428571</c:v>
                </c:pt>
                <c:pt idx="3">
                  <c:v>10032.0</c:v>
                </c:pt>
                <c:pt idx="4">
                  <c:v>0.0</c:v>
                </c:pt>
                <c:pt idx="5">
                  <c:v>444.2485180890382</c:v>
                </c:pt>
                <c:pt idx="6">
                  <c:v>5795.895241262886</c:v>
                </c:pt>
                <c:pt idx="7">
                  <c:v>3250.952751554597</c:v>
                </c:pt>
              </c:numCache>
            </c:numRef>
          </c:val>
        </c:ser>
        <c:ser>
          <c:idx val="5"/>
          <c:order val="8"/>
          <c:tx>
            <c:strRef>
              <c:f>Income!$A$104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Income!$B$104:$I$104</c:f>
              <c:numCache>
                <c:formatCode>#,##0</c:formatCode>
                <c:ptCount val="8"/>
                <c:pt idx="0">
                  <c:v>119.1850081059545</c:v>
                </c:pt>
                <c:pt idx="1">
                  <c:v>570.4354852515507</c:v>
                </c:pt>
                <c:pt idx="2">
                  <c:v>1656.364147132637</c:v>
                </c:pt>
                <c:pt idx="3">
                  <c:v>2032.202121774313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Income!$A$106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Income!$B$106:$I$106</c:f>
              <c:numCache>
                <c:formatCode>#,##0</c:formatCode>
                <c:ptCount val="8"/>
                <c:pt idx="0">
                  <c:v>1285.714285714286</c:v>
                </c:pt>
                <c:pt idx="1">
                  <c:v>9750.0</c:v>
                </c:pt>
                <c:pt idx="2">
                  <c:v>28457.14285714286</c:v>
                </c:pt>
                <c:pt idx="3">
                  <c:v>32750.0</c:v>
                </c:pt>
                <c:pt idx="4">
                  <c:v>758.5714285714286</c:v>
                </c:pt>
                <c:pt idx="5">
                  <c:v>5075.860807619005</c:v>
                </c:pt>
                <c:pt idx="6">
                  <c:v>19982.21500621756</c:v>
                </c:pt>
                <c:pt idx="7">
                  <c:v>19378.50914379836</c:v>
                </c:pt>
              </c:numCache>
            </c:numRef>
          </c:val>
        </c:ser>
        <c:ser>
          <c:idx val="8"/>
          <c:order val="10"/>
          <c:tx>
            <c:strRef>
              <c:f>Income!$A$107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Income!$B$107:$I$107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Income!$A$108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Income!$B$108:$I$108</c:f>
              <c:numCache>
                <c:formatCode>#,##0</c:formatCode>
                <c:ptCount val="8"/>
                <c:pt idx="0">
                  <c:v>7428.571428571428</c:v>
                </c:pt>
                <c:pt idx="1">
                  <c:v>4960.0</c:v>
                </c:pt>
                <c:pt idx="2">
                  <c:v>21942.85714285714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Income!$A$109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Income!$B$109:$I$109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75600.0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Income!$A$110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Income!$B$110:$I$110</c:f>
              <c:numCache>
                <c:formatCode>#,##0</c:formatCode>
                <c:ptCount val="8"/>
                <c:pt idx="0">
                  <c:v>0.0</c:v>
                </c:pt>
                <c:pt idx="1">
                  <c:v>14916.0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Income!$A$111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Income!$B$111:$I$111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Income!$B$112:$I$112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8708.57142857143</c:v>
                </c:pt>
                <c:pt idx="3">
                  <c:v>62700.0</c:v>
                </c:pt>
                <c:pt idx="4">
                  <c:v>0.0</c:v>
                </c:pt>
                <c:pt idx="5">
                  <c:v>0.0</c:v>
                </c:pt>
                <c:pt idx="6">
                  <c:v>10276.11428571429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Income!$A$113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Income!$B$113:$I$113</c:f>
              <c:numCache>
                <c:formatCode>#,##0</c:formatCode>
                <c:ptCount val="8"/>
                <c:pt idx="0">
                  <c:v>1401.310691241349</c:v>
                </c:pt>
                <c:pt idx="1">
                  <c:v>1401.310691241349</c:v>
                </c:pt>
                <c:pt idx="2">
                  <c:v>1401.310691241349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Income!$A$114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Income!$B$114:$I$114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Income!$A$115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Income!$B$115:$I$115</c:f>
              <c:numCache>
                <c:formatCode>#,##0</c:formatCode>
                <c:ptCount val="8"/>
                <c:pt idx="0">
                  <c:v>23108.57142857143</c:v>
                </c:pt>
                <c:pt idx="1">
                  <c:v>22020.0</c:v>
                </c:pt>
                <c:pt idx="2">
                  <c:v>0.0</c:v>
                </c:pt>
                <c:pt idx="3">
                  <c:v>7620.0</c:v>
                </c:pt>
                <c:pt idx="4">
                  <c:v>27268.11428571429</c:v>
                </c:pt>
                <c:pt idx="5">
                  <c:v>25983.6</c:v>
                </c:pt>
                <c:pt idx="6">
                  <c:v>0.0</c:v>
                </c:pt>
                <c:pt idx="7">
                  <c:v>8991.6</c:v>
                </c:pt>
              </c:numCache>
            </c:numRef>
          </c:val>
        </c:ser>
        <c:ser>
          <c:idx val="11"/>
          <c:order val="19"/>
          <c:tx>
            <c:strRef>
              <c:f>Income!$A$116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Income!$B$116:$I$116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13714.28571428571</c:v>
                </c:pt>
                <c:pt idx="3">
                  <c:v>26040.0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Income!$A$117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Income!$B$117:$I$117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00076232"/>
        <c:axId val="-2100072856"/>
      </c:barChart>
      <c:lineChart>
        <c:grouping val="standard"/>
        <c:varyColors val="0"/>
        <c:ser>
          <c:idx val="13"/>
          <c:order val="0"/>
          <c:tx>
            <c:strRef>
              <c:f>Income!$A$119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Income!$B$119:$E$119</c:f>
              <c:numCache>
                <c:formatCode>#,##0</c:formatCode>
                <c:ptCount val="4"/>
                <c:pt idx="0">
                  <c:v>24062.6463840672</c:v>
                </c:pt>
                <c:pt idx="1">
                  <c:v>24062.6463840672</c:v>
                </c:pt>
                <c:pt idx="2">
                  <c:v>24062.6463840672</c:v>
                </c:pt>
                <c:pt idx="3">
                  <c:v>24062.64638406721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Income!$A$123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Income!$B$123:$I$123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Income!$A$120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Income!$B$120:$E$120</c:f>
              <c:numCache>
                <c:formatCode>#,##0</c:formatCode>
                <c:ptCount val="4"/>
                <c:pt idx="0">
                  <c:v>42445.47305073387</c:v>
                </c:pt>
                <c:pt idx="1">
                  <c:v>42445.47305073388</c:v>
                </c:pt>
                <c:pt idx="2">
                  <c:v>42445.47305073387</c:v>
                </c:pt>
                <c:pt idx="3">
                  <c:v>42445.47305073388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Income!$A$124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Income!$B$124:$I$124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Income!$A$121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Income!$B$121:$E$121</c:f>
              <c:numCache>
                <c:formatCode>#,##0</c:formatCode>
                <c:ptCount val="4"/>
                <c:pt idx="0">
                  <c:v>75183.39305073386</c:v>
                </c:pt>
                <c:pt idx="1">
                  <c:v>75183.39305073388</c:v>
                </c:pt>
                <c:pt idx="2">
                  <c:v>75183.39305073386</c:v>
                </c:pt>
                <c:pt idx="3">
                  <c:v>75183.39305073388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Income!$A$125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Income!$B$125:$I$125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0076232"/>
        <c:axId val="-2100072856"/>
      </c:lineChart>
      <c:catAx>
        <c:axId val="-2100076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2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72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76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0.344854738053252</c:v>
                </c:pt>
                <c:pt idx="2">
                  <c:v>0.344854738053252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0.14141119561426</c:v>
                </c:pt>
                <c:pt idx="2">
                  <c:v>0.0214091437067264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0.107370926250068</c:v>
                </c:pt>
                <c:pt idx="2">
                  <c:v>0.214293950012703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-0.203443542438992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0014760"/>
        <c:axId val="-2100011384"/>
      </c:barChart>
      <c:catAx>
        <c:axId val="-2100014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1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0011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001476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0.189744813874087</c:v>
                </c:pt>
                <c:pt idx="2">
                  <c:v>0.160048641695385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0.0313874187401834</c:v>
                </c:pt>
                <c:pt idx="2">
                  <c:v>0.0676032889105634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952904"/>
        <c:axId val="-2099949496"/>
      </c:barChart>
      <c:catAx>
        <c:axId val="-2099952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49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949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9529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0.299543496370337</c:v>
                </c:pt>
                <c:pt idx="2">
                  <c:v>0.279129584417376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0.0184294189797105</c:v>
                </c:pt>
                <c:pt idx="2">
                  <c:v>0.0388153992535077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97656"/>
        <c:axId val="-2099894152"/>
      </c:barChart>
      <c:catAx>
        <c:axId val="-2099897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4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94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97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0.19440222322636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0.0762483680553499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0.00214133184226723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0.232115988485638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0.15859567713401</c:v>
                </c:pt>
                <c:pt idx="2" formatCode="0.0%">
                  <c:v>0.341588757903521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2092344"/>
        <c:axId val="-2102089032"/>
      </c:barChart>
      <c:catAx>
        <c:axId val="-2102092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89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2089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209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0.657080332270758</c:v>
                </c:pt>
                <c:pt idx="2">
                  <c:v>0.657080332270758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0.35318542459762</c:v>
                </c:pt>
                <c:pt idx="2">
                  <c:v>0.35318542459762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0.169720341541311</c:v>
                </c:pt>
                <c:pt idx="2">
                  <c:v>0.35318542459762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-0.577661100137667</c:v>
                </c:pt>
                <c:pt idx="2">
                  <c:v>-0.577661100137667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99836696"/>
        <c:axId val="-2099833320"/>
      </c:barChart>
      <c:catAx>
        <c:axId val="-2099836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3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99833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998366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740712"/>
        <c:axId val="-2099737288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740712"/>
        <c:axId val="-2099737288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740712"/>
        <c:axId val="-2099737288"/>
      </c:scatterChart>
      <c:catAx>
        <c:axId val="-2099740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37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73728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7407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99630968"/>
        <c:axId val="-209962759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9630968"/>
        <c:axId val="-2099627592"/>
      </c:lineChart>
      <c:catAx>
        <c:axId val="-2099630968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2759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9962759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630968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74552"/>
        <c:axId val="-2099571208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567592"/>
        <c:axId val="-2099564696"/>
      </c:scatterChart>
      <c:valAx>
        <c:axId val="-2099574552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1208"/>
        <c:crosses val="autoZero"/>
        <c:crossBetween val="midCat"/>
      </c:valAx>
      <c:valAx>
        <c:axId val="-2099571208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74552"/>
        <c:crosses val="autoZero"/>
        <c:crossBetween val="midCat"/>
      </c:valAx>
      <c:valAx>
        <c:axId val="-209956759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-2099564696"/>
        <c:crosses val="autoZero"/>
        <c:crossBetween val="midCat"/>
      </c:valAx>
      <c:valAx>
        <c:axId val="-2099564696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9956759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445496"/>
        <c:axId val="-210143975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445496"/>
        <c:axId val="-2101439752"/>
      </c:lineChart>
      <c:catAx>
        <c:axId val="-2101445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3975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10143975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101445496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0.027850261453263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0.00723759122006228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0.0318827091327527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0.458289352330187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0.203765648678931</c:v>
                </c:pt>
                <c:pt idx="2" formatCode="0.0%">
                  <c:v>0.429164099873697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961576"/>
        <c:axId val="-2101958232"/>
      </c:barChart>
      <c:catAx>
        <c:axId val="-2101961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58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958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9615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0.278083615024335</c:v>
                </c:pt>
                <c:pt idx="2" formatCode="0.0%">
                  <c:v>0.578687732737711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830808"/>
        <c:axId val="-2101827480"/>
      </c:barChart>
      <c:catAx>
        <c:axId val="-2101830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27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8274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1018308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0.0154820936922305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0.209294007245687</c:v>
                </c:pt>
                <c:pt idx="1">
                  <c:v>0.209294007245687</c:v>
                </c:pt>
                <c:pt idx="2">
                  <c:v>0.209294007245687</c:v>
                </c:pt>
                <c:pt idx="3">
                  <c:v>0.209294007245687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0.392935374814468</c:v>
                </c:pt>
                <c:pt idx="1">
                  <c:v>0.661889625293747</c:v>
                </c:pt>
                <c:pt idx="2">
                  <c:v>0.65888588930371</c:v>
                </c:pt>
                <c:pt idx="3">
                  <c:v>0.638890399889015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3915656"/>
        <c:axId val="-2103884296"/>
      </c:barChart>
      <c:catAx>
        <c:axId val="-210391565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88429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3884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39156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0.571036278492327</c:v>
                </c:pt>
                <c:pt idx="1">
                  <c:v>0.656315607010384</c:v>
                </c:pt>
                <c:pt idx="2">
                  <c:v>0.547768306740725</c:v>
                </c:pt>
                <c:pt idx="3">
                  <c:v>0.539630738707409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193864"/>
        <c:axId val="-2101190488"/>
      </c:barChart>
      <c:catAx>
        <c:axId val="-210119386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048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1904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1938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0.446238982877829</c:v>
                </c:pt>
                <c:pt idx="1">
                  <c:v>0.331369910027609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0.0144902079063615</c:v>
                </c:pt>
                <c:pt idx="1">
                  <c:v>0.0107601959363711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0.175023688733721</c:v>
                </c:pt>
                <c:pt idx="1">
                  <c:v>0.129969783487679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0.232115988485638</c:v>
                </c:pt>
                <c:pt idx="1">
                  <c:v>0.232115988485638</c:v>
                </c:pt>
                <c:pt idx="2">
                  <c:v>0.232115988485638</c:v>
                </c:pt>
                <c:pt idx="3">
                  <c:v>0.232115988485638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-2.22044604925031E-16</c:v>
                </c:pt>
                <c:pt idx="1">
                  <c:v>0.163652990066252</c:v>
                </c:pt>
                <c:pt idx="2">
                  <c:v>0.625454356123497</c:v>
                </c:pt>
                <c:pt idx="3">
                  <c:v>0.577247685424334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711016"/>
        <c:axId val="-2101707640"/>
      </c:barChart>
      <c:catAx>
        <c:axId val="-210171101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0764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01707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7110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0.111401045813052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0.0289503648802491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0.458289352330187</c:v>
                </c:pt>
                <c:pt idx="1">
                  <c:v>0.458289352330187</c:v>
                </c:pt>
                <c:pt idx="2">
                  <c:v>0.458289352330187</c:v>
                </c:pt>
                <c:pt idx="3">
                  <c:v>0.458289352330187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0.313799030957084</c:v>
                </c:pt>
                <c:pt idx="1">
                  <c:v>0.498338648375167</c:v>
                </c:pt>
                <c:pt idx="2">
                  <c:v>0.487525198811033</c:v>
                </c:pt>
                <c:pt idx="3">
                  <c:v>0.416993521351506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27793352"/>
        <c:axId val="-2127736152"/>
      </c:barChart>
      <c:catAx>
        <c:axId val="-21277933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3615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127736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277933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0.0205110270442165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0.000454892846753429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0.48744231418602</c:v>
                </c:pt>
                <c:pt idx="2">
                  <c:v>0.48744231418602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101005256"/>
        <c:axId val="-2101002200"/>
      </c:barChart>
      <c:catAx>
        <c:axId val="-210100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2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101002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10100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8" Type="http://schemas.openxmlformats.org/officeDocument/2006/relationships/chart" Target="../charts/chart16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495300</xdr:colOff>
      <xdr:row>141</xdr:row>
      <xdr:rowOff>0</xdr:rowOff>
    </xdr:from>
    <xdr:to>
      <xdr:col>18</xdr:col>
      <xdr:colOff>533400</xdr:colOff>
      <xdr:row>161</xdr:row>
      <xdr:rowOff>38100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0</xdr:colOff>
      <xdr:row>105</xdr:row>
      <xdr:rowOff>0</xdr:rowOff>
    </xdr:from>
    <xdr:to>
      <xdr:col>19</xdr:col>
      <xdr:colOff>381000</xdr:colOff>
      <xdr:row>129</xdr:row>
      <xdr:rowOff>114300</xdr:rowOff>
    </xdr:to>
    <xdr:graphicFrame macro="">
      <xdr:nvGraphicFramePr>
        <xdr:cNvPr id="9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1" activePane="bottomRight" state="frozen"/>
      <selection pane="topRight" activeCell="B1" sqref="B1"/>
      <selection pane="bottomLeft" activeCell="A3" sqref="A3"/>
      <selection pane="bottomRight" activeCell="Q37" sqref="Q37:T5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2" t="str">
        <f>Poor!Z1</f>
        <v>Apr-Jun</v>
      </c>
      <c r="AA1" s="253"/>
      <c r="AB1" s="252" t="str">
        <f>Poor!AB1</f>
        <v>Jul-Sep</v>
      </c>
      <c r="AC1" s="253"/>
      <c r="AD1" s="252" t="str">
        <f>Poor!AD1</f>
        <v>Oct-Dec</v>
      </c>
      <c r="AE1" s="253"/>
      <c r="AF1" s="252" t="str">
        <f>Poor!AF1</f>
        <v>Jan-Mar</v>
      </c>
      <c r="AG1" s="253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1471.2865959745848</v>
      </c>
      <c r="S7" s="220">
        <f>IF($B$81=0,0,(SUMIF($N$6:$N$28,$U7,L$6:L$28)+SUMIF($N$91:$N$118,$U7,L$91:L$118))*$I$83*Poor!$B$81/$B$81)</f>
        <v>414.0773225620311</v>
      </c>
      <c r="T7" s="220">
        <f>IF($B$81=0,0,(SUMIF($N$6:$N$28,$U7,M$6:M$28)+SUMIF($N$91:$N$118,$U7,M$91:M$118))*$I$83*Poor!$B$81/$B$81)</f>
        <v>414.0773225620311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2">
        <f t="shared" si="6"/>
        <v>1.3789401956947162E-2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0</v>
      </c>
      <c r="S8" s="220">
        <f>IF($B$81=0,0,(SUMIF($N$6:$N$28,$U8,L$6:L$28)+SUMIF($N$91:$N$118,$U8,L$91:L$118))*$I$83*Poor!$B$81/$B$81)</f>
        <v>0</v>
      </c>
      <c r="T8" s="220">
        <f>IF($B$81=0,0,(SUMIF($N$6:$N$28,$U8,M$6:M$28)+SUMIF($N$91:$N$118,$U8,M$91:M$118))*$I$83*Poor!$B$81/$B$81)</f>
        <v>0</v>
      </c>
      <c r="U8" s="221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2">
        <f t="shared" si="6"/>
        <v>2.5250403842732617E-3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178.16053949785783</v>
      </c>
      <c r="S9" s="220">
        <f>IF($B$81=0,0,(SUMIF($N$6:$N$28,$U9,L$6:L$28)+SUMIF($N$91:$N$118,$U9,L$91:L$118))*$I$83*Poor!$B$81/$B$81)</f>
        <v>39.331052674964965</v>
      </c>
      <c r="T9" s="220">
        <f>IF($B$81=0,0,(SUMIF($N$6:$N$28,$U9,M$6:M$28)+SUMIF($N$91:$N$118,$U9,M$91:M$118))*$I$83*Poor!$B$81/$B$81)</f>
        <v>39.331052674964965</v>
      </c>
      <c r="U9" s="221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2">
        <f t="shared" si="6"/>
        <v>5.0053897882938979E-3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1921.9158048747584</v>
      </c>
      <c r="S11" s="220">
        <f>IF($B$81=0,0,(SUMIF($N$6:$N$28,$U11,L$6:L$28)+SUMIF($N$91:$N$118,$U11,L$91:L$118))*$I$83*Poor!$B$81/$B$81)</f>
        <v>758.57142857142856</v>
      </c>
      <c r="T11" s="220">
        <f>IF($B$81=0,0,(SUMIF($N$6:$N$28,$U11,M$6:M$28)+SUMIF($N$91:$N$118,$U11,M$91:M$118))*$I$83*Poor!$B$81/$B$81)</f>
        <v>758.57142857142856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11104.402428165269</v>
      </c>
      <c r="S13" s="220">
        <f>IF($B$81=0,0,(SUMIF($N$6:$N$28,$U13,L$6:L$28)+SUMIF($N$91:$N$118,$U13,L$91:L$118))*$I$83*Poor!$B$81/$B$81)</f>
        <v>4122.8571428571431</v>
      </c>
      <c r="T13" s="220">
        <f>IF($B$81=0,0,(SUMIF($N$6:$N$28,$U13,M$6:M$28)+SUMIF($N$91:$N$118,$U13,M$91:M$118))*$I$83*Poor!$B$81/$B$81)</f>
        <v>4122.8571428571431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128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4">
        <f t="shared" ref="M16:M25" si="23">J16</f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4">
        <f t="shared" si="23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4">
        <f t="shared" si="23"/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34543.233399615659</v>
      </c>
      <c r="S20" s="220">
        <f>IF($B$81=0,0,(SUMIF($N$6:$N$28,$U20,L$6:L$28)+SUMIF($N$91:$N$118,$U20,L$91:L$118))*$I$83*Poor!$B$81/$B$81)</f>
        <v>27268.114285714288</v>
      </c>
      <c r="T20" s="220">
        <f>IF($B$81=0,0,(SUMIF($N$6:$N$28,$U20,M$6:M$28)+SUMIF($N$91:$N$118,$U20,M$91:M$118))*$I$83*Poor!$B$81/$B$81)</f>
        <v>27268.114285714288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7"/>
      <c r="O23" s="2"/>
      <c r="P23" s="22"/>
      <c r="Q23" s="171" t="s">
        <v>100</v>
      </c>
      <c r="R23" s="179">
        <f>SUM(R7:R22)</f>
        <v>51313.710785378913</v>
      </c>
      <c r="S23" s="179">
        <f>SUM(S7:S22)</f>
        <v>34915.113872928079</v>
      </c>
      <c r="T23" s="179">
        <f>SUM(T7:T22)</f>
        <v>34915.113872928079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4">
        <f t="shared" si="6"/>
        <v>0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2">
        <f t="shared" si="6"/>
        <v>0.22463677394199702</v>
      </c>
      <c r="N29" s="227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0.57868773273771112</v>
      </c>
      <c r="J30" s="229">
        <f>IF(I$32&lt;=1,I30,1-SUM(J6:J29))</f>
        <v>0.57868773273771112</v>
      </c>
      <c r="K30" s="22">
        <f t="shared" si="4"/>
        <v>0.68939859227895406</v>
      </c>
      <c r="L30" s="22">
        <f>IF(L124=L119,0,IF(K30="",0,(L119-L124)/(B119-B124)*K30))</f>
        <v>0.27808361502433498</v>
      </c>
      <c r="M30" s="175">
        <f t="shared" si="6"/>
        <v>0.57868773273771112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1054.2930991339817</v>
      </c>
      <c r="T30" s="232">
        <f t="shared" si="24"/>
        <v>1054.2930991339817</v>
      </c>
      <c r="V30" s="56"/>
      <c r="W30" s="110"/>
      <c r="X30" s="118"/>
      <c r="Y30" s="183">
        <f>M30*4</f>
        <v>2.3147509309508445</v>
      </c>
      <c r="Z30" s="122">
        <f>IF($Y30=0,0,AA30/($Y$30))</f>
        <v>0.24669448054083234</v>
      </c>
      <c r="AA30" s="187">
        <f>IF(AA79*4/$I$83+SUM(AA6:AA29)&lt;1,AA79*4/$I$83,1-SUM(AA6:AA29))</f>
        <v>0.57103627849232663</v>
      </c>
      <c r="AB30" s="122">
        <f>IF($Y30=0,0,AC30/($Y$30))</f>
        <v>0.28353616721121055</v>
      </c>
      <c r="AC30" s="187">
        <f>IF(AC79*4/$I$83+SUM(AC6:AC29)&lt;1,AC79*4/$I$83,1-SUM(AC6:AC29))</f>
        <v>0.65631560701038394</v>
      </c>
      <c r="AD30" s="122">
        <f>IF($Y30=0,0,AE30/($Y$30))</f>
        <v>0.23664243932962375</v>
      </c>
      <c r="AE30" s="187">
        <f>IF(AE79*4/$I$83+SUM(AE6:AE29)&lt;1,AE79*4/$I$83,1-SUM(AE6:AE29))</f>
        <v>0.5477683067407253</v>
      </c>
      <c r="AF30" s="122">
        <f>IF($Y30=0,0,AG30/($Y$30))</f>
        <v>0.23312691291833362</v>
      </c>
      <c r="AG30" s="187">
        <f>IF(AG79*4/$I$83+SUM(AG6:AG29)&lt;1,AG79*4/$I$83,1-SUM(AG6:AG29))</f>
        <v>0.53963073870740919</v>
      </c>
      <c r="AH30" s="123">
        <f t="shared" si="12"/>
        <v>1.0000000000000002</v>
      </c>
      <c r="AI30" s="183">
        <f t="shared" si="13"/>
        <v>0.57868773273771124</v>
      </c>
      <c r="AJ30" s="120">
        <f t="shared" si="14"/>
        <v>0.61367594275135529</v>
      </c>
      <c r="AK30" s="119">
        <f t="shared" si="15"/>
        <v>0.5436995227240673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5.4282982100461452E-2</v>
      </c>
      <c r="K31" s="22" t="str">
        <f t="shared" si="4"/>
        <v/>
      </c>
      <c r="L31" s="22">
        <f>(1-SUM(L6:L30))</f>
        <v>0.33193584315629721</v>
      </c>
      <c r="M31" s="239">
        <f t="shared" si="6"/>
        <v>5.4282982100461452E-2</v>
      </c>
      <c r="N31" s="167">
        <f>M31*I83</f>
        <v>922.50646174222766</v>
      </c>
      <c r="P31" s="22"/>
      <c r="Q31" s="236" t="s">
        <v>142</v>
      </c>
      <c r="R31" s="232">
        <f t="shared" si="24"/>
        <v>3038.5228533498084</v>
      </c>
      <c r="S31" s="232">
        <f t="shared" si="24"/>
        <v>19437.119765800642</v>
      </c>
      <c r="T31" s="232">
        <f>IF(T25&gt;T$23,T25-T$23,0)</f>
        <v>19437.119765800642</v>
      </c>
      <c r="V31" s="56"/>
      <c r="W31" s="129" t="s">
        <v>84</v>
      </c>
      <c r="X31" s="130"/>
      <c r="Y31" s="121">
        <f>M31*4</f>
        <v>0.21713192840184581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0.10854730026965864</v>
      </c>
      <c r="AF31" s="134"/>
      <c r="AG31" s="133">
        <f>1-AG32+IF($Y32&lt;0,$Y32/4,0)</f>
        <v>0.10858462813218661</v>
      </c>
      <c r="AH31" s="123"/>
      <c r="AI31" s="182">
        <f>SUM(AA31,AC31,AE31,AG31)/4</f>
        <v>5.4282982100461313E-2</v>
      </c>
      <c r="AJ31" s="135">
        <f t="shared" si="14"/>
        <v>0</v>
      </c>
      <c r="AK31" s="136">
        <f t="shared" si="15"/>
        <v>0.10856596420092263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0.94571701789953855</v>
      </c>
      <c r="J32" s="17"/>
      <c r="L32" s="22">
        <f>SUM(L6:L30)</f>
        <v>0.66806415684370279</v>
      </c>
      <c r="M32" s="23"/>
      <c r="N32" s="56"/>
      <c r="O32" s="2"/>
      <c r="P32" s="22"/>
      <c r="Q32" s="232" t="s">
        <v>143</v>
      </c>
      <c r="R32" s="232">
        <f t="shared" si="24"/>
        <v>35776.442853349821</v>
      </c>
      <c r="S32" s="232">
        <f t="shared" si="24"/>
        <v>52175.039765800655</v>
      </c>
      <c r="T32" s="232">
        <f t="shared" si="24"/>
        <v>52175.039765800655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0.89145269973034136</v>
      </c>
      <c r="AF32" s="137"/>
      <c r="AG32" s="139">
        <f>SUM(AG6:AG30)</f>
        <v>0.89141537186781339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2.2140711783988674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16084.97333333333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27">
        <f>N91</f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984.25445590616596</v>
      </c>
      <c r="S37" s="220">
        <f>IF($B$81=0,0,(SUMIF($N$6:$N$28,$U37,L$6:L$28)+SUMIF($N$91:$N$118,$U37,L$91:L$118))*$I$83*Poor!$B$81/$B$81)</f>
        <v>0</v>
      </c>
      <c r="T37" s="220">
        <f>IF($B$81=0,0,(SUMIF($N$6:$N$28,$U7,M$6:M$28)+SUMIF($N$91:$N$118,$U7,M$91:M$118))*$I$83*Poor!$B$81/$B$81)</f>
        <v>414.0773225620311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66">
        <f t="shared" ref="N38:N52" si="36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0</v>
      </c>
      <c r="S38" s="220">
        <f>IF($B$81=0,0,(SUMIF($N$6:$N$28,$U38,L$6:L$28)+SUMIF($N$91:$N$118,$U38,L$91:L$118))*$I$83*Poor!$B$81/$B$81)</f>
        <v>0</v>
      </c>
      <c r="T38" s="220">
        <f>IF($B$81=0,0,(SUMIF($N$6:$N$28,$U8,M$6:M$28)+SUMIF($N$91:$N$118,$U8,M$91:M$118))*$I$83*Poor!$B$81/$B$81)</f>
        <v>0</v>
      </c>
      <c r="U38" s="56"/>
      <c r="V38" s="56"/>
      <c r="W38" s="115"/>
      <c r="X38" s="118"/>
      <c r="Y38" s="110"/>
      <c r="Z38" s="122">
        <f>IF($J38=0,0,AA38/($J38))</f>
        <v>0.20102378949434591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133.4295402768721</v>
      </c>
      <c r="AB38" s="122">
        <f>IF($J38=0,0,AC38/($J38))</f>
        <v>0.74688843317310594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495.74719751864905</v>
      </c>
      <c r="AD38" s="122">
        <f>IF($J38=0,0,AE38/($J38))</f>
        <v>5.2087777332548178E-2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34.573262204478851</v>
      </c>
      <c r="AF38" s="122">
        <f t="shared" si="29"/>
        <v>0</v>
      </c>
      <c r="AG38" s="147">
        <f t="shared" ref="AG38:AG64" si="37">$J38*AF38</f>
        <v>0</v>
      </c>
      <c r="AH38" s="123">
        <f t="shared" ref="AH38:AI58" si="38">SUM(Z38,AB38,AD38,AF38)</f>
        <v>1</v>
      </c>
      <c r="AI38" s="112">
        <f t="shared" si="38"/>
        <v>663.75</v>
      </c>
      <c r="AJ38" s="148">
        <f t="shared" ref="AJ38:AJ64" si="39">(AA38+AC38)</f>
        <v>629.17673779552115</v>
      </c>
      <c r="AK38" s="147">
        <f t="shared" ref="AK38:AK64" si="40">(AE38+AG38)</f>
        <v>34.573262204478851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66">
        <f t="shared" si="36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119.18500810595445</v>
      </c>
      <c r="S39" s="220">
        <f>IF($B$81=0,0,(SUMIF($N$6:$N$28,$U39,L$6:L$28)+SUMIF($N$91:$N$118,$U39,L$91:L$118))*$I$83*Poor!$B$81/$B$81)</f>
        <v>0</v>
      </c>
      <c r="T39" s="220">
        <f>IF($B$81=0,0,(SUMIF($N$6:$N$28,$U9,M$6:M$28)+SUMIF($N$91:$N$118,$U9,M$91:M$118))*$I$83*Poor!$B$81/$B$81)</f>
        <v>39.331052674964965</v>
      </c>
      <c r="U39" s="56"/>
      <c r="V39" s="56"/>
      <c r="W39" s="115"/>
      <c r="X39" s="118"/>
      <c r="Y39" s="110"/>
      <c r="Z39" s="122">
        <f>Z8</f>
        <v>1</v>
      </c>
      <c r="AA39" s="147">
        <f t="shared" ref="AA39:AA64" si="41">$J39*Z39</f>
        <v>0</v>
      </c>
      <c r="AB39" s="122">
        <f>AB8</f>
        <v>0</v>
      </c>
      <c r="AC39" s="147">
        <f t="shared" ref="AC39:AC64" si="42">$J39*AB39</f>
        <v>0</v>
      </c>
      <c r="AD39" s="122">
        <f>AD8</f>
        <v>0</v>
      </c>
      <c r="AE39" s="147">
        <f t="shared" ref="AE39:AE64" si="43">$J39*AD39</f>
        <v>0</v>
      </c>
      <c r="AF39" s="122">
        <f t="shared" si="29"/>
        <v>0</v>
      </c>
      <c r="AG39" s="147">
        <f t="shared" si="37"/>
        <v>0</v>
      </c>
      <c r="AH39" s="123">
        <f t="shared" si="38"/>
        <v>1</v>
      </c>
      <c r="AI39" s="112">
        <f t="shared" si="38"/>
        <v>0</v>
      </c>
      <c r="AJ39" s="148">
        <f t="shared" si="39"/>
        <v>0</v>
      </c>
      <c r="AK39" s="147">
        <f t="shared" si="40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66">
        <f t="shared" si="36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IF($B$81=0,0,(SUMIF($N$6:$N$28,$U40,L$6:L$28)+SUMIF($N$91:$N$118,$U40,L$91:L$118))*$I$83*Poor!$B$81/$B$81)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1"/>
        <v>0</v>
      </c>
      <c r="AB40" s="122">
        <f>AB9</f>
        <v>0</v>
      </c>
      <c r="AC40" s="147">
        <f t="shared" si="42"/>
        <v>0</v>
      </c>
      <c r="AD40" s="122">
        <f>AD9</f>
        <v>0</v>
      </c>
      <c r="AE40" s="147">
        <f t="shared" si="43"/>
        <v>0</v>
      </c>
      <c r="AF40" s="122">
        <f t="shared" si="29"/>
        <v>0</v>
      </c>
      <c r="AG40" s="147">
        <f t="shared" si="37"/>
        <v>0</v>
      </c>
      <c r="AH40" s="123">
        <f t="shared" si="38"/>
        <v>1</v>
      </c>
      <c r="AI40" s="112">
        <f t="shared" si="38"/>
        <v>0</v>
      </c>
      <c r="AJ40" s="148">
        <f t="shared" si="39"/>
        <v>0</v>
      </c>
      <c r="AK40" s="147">
        <f t="shared" si="40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66">
        <f t="shared" si="36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1285.7142857142858</v>
      </c>
      <c r="S41" s="220">
        <f>IF($B$81=0,0,(SUMIF($N$6:$N$28,$U41,L$6:L$28)+SUMIF($N$91:$N$118,$U41,L$91:L$118))*$I$83*Poor!$B$81/$B$81)</f>
        <v>0</v>
      </c>
      <c r="T41" s="220">
        <f>IF($B$81=0,0,(SUMIF($N$6:$N$28,$U11,M$6:M$28)+SUMIF($N$91:$N$118,$U11,M$91:M$118))*$I$83*Poor!$B$81/$B$81)</f>
        <v>758.57142857142856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1"/>
        <v>0</v>
      </c>
      <c r="AB41" s="122">
        <f>AB11</f>
        <v>0</v>
      </c>
      <c r="AC41" s="147">
        <f t="shared" si="42"/>
        <v>0</v>
      </c>
      <c r="AD41" s="122">
        <f>AD11</f>
        <v>0</v>
      </c>
      <c r="AE41" s="147">
        <f t="shared" si="43"/>
        <v>0</v>
      </c>
      <c r="AF41" s="122">
        <f t="shared" si="29"/>
        <v>1</v>
      </c>
      <c r="AG41" s="147">
        <f t="shared" si="37"/>
        <v>0</v>
      </c>
      <c r="AH41" s="123">
        <f t="shared" si="38"/>
        <v>1</v>
      </c>
      <c r="AI41" s="112">
        <f t="shared" si="38"/>
        <v>0</v>
      </c>
      <c r="AJ41" s="148">
        <f t="shared" si="39"/>
        <v>0</v>
      </c>
      <c r="AK41" s="147">
        <f t="shared" si="40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66">
        <f t="shared" si="36"/>
        <v>2</v>
      </c>
      <c r="O42" s="2"/>
      <c r="P42" s="17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IF($B$81=0,0,(SUMIF($N$6:$N$28,$U42,L$6:L$28)+SUMIF($N$91:$N$118,$U42,L$91:L$118))*$I$83*Poor!$B$81/$B$81)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1"/>
        <v>0</v>
      </c>
      <c r="AB42" s="156">
        <f>Poor!AB42</f>
        <v>0</v>
      </c>
      <c r="AC42" s="147">
        <f t="shared" si="42"/>
        <v>0</v>
      </c>
      <c r="AD42" s="156">
        <f>Poor!AD42</f>
        <v>0.5</v>
      </c>
      <c r="AE42" s="147">
        <f t="shared" si="43"/>
        <v>0</v>
      </c>
      <c r="AF42" s="122">
        <f t="shared" si="29"/>
        <v>0.25</v>
      </c>
      <c r="AG42" s="147">
        <f t="shared" si="37"/>
        <v>0</v>
      </c>
      <c r="AH42" s="123">
        <f t="shared" si="38"/>
        <v>1</v>
      </c>
      <c r="AI42" s="112">
        <f t="shared" si="38"/>
        <v>0</v>
      </c>
      <c r="AJ42" s="148">
        <f t="shared" si="39"/>
        <v>0</v>
      </c>
      <c r="AK42" s="147">
        <f t="shared" si="40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66">
        <f t="shared" si="36"/>
        <v>2</v>
      </c>
      <c r="O43" s="2"/>
      <c r="P43" s="176"/>
      <c r="Q43" s="59" t="s">
        <v>76</v>
      </c>
      <c r="R43" s="220">
        <f>IF($B$81=0,0,(SUMIF($N$6:$N$28,$U13,K$6:K$28)*$B$83+SUMIF($N$37:$N$64,$U13,B$37:B$64))*Poor!$B$81/$B$81)</f>
        <v>7428.5714285714284</v>
      </c>
      <c r="S43" s="220">
        <f>IF($B$81=0,0,(SUMIF($N$6:$N$28,$U43,L$6:L$28)+SUMIF($N$91:$N$118,$U43,L$91:L$118))*$I$83*Poor!$B$81/$B$81)</f>
        <v>0</v>
      </c>
      <c r="T43" s="220">
        <f>IF($B$81=0,0,(SUMIF($N$6:$N$28,$U13,M$6:M$28)+SUMIF($N$91:$N$118,$U13,M$91:M$118))*$I$83*Poor!$B$81/$B$81)</f>
        <v>4122.8571428571431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1"/>
        <v>0</v>
      </c>
      <c r="AB43" s="156">
        <f>Poor!AB43</f>
        <v>0.25</v>
      </c>
      <c r="AC43" s="147">
        <f t="shared" si="42"/>
        <v>0</v>
      </c>
      <c r="AD43" s="156">
        <f>Poor!AD43</f>
        <v>0.25</v>
      </c>
      <c r="AE43" s="147">
        <f t="shared" si="43"/>
        <v>0</v>
      </c>
      <c r="AF43" s="122">
        <f t="shared" si="29"/>
        <v>0.25</v>
      </c>
      <c r="AG43" s="147">
        <f t="shared" si="37"/>
        <v>0</v>
      </c>
      <c r="AH43" s="123">
        <f t="shared" si="38"/>
        <v>1</v>
      </c>
      <c r="AI43" s="112">
        <f t="shared" si="38"/>
        <v>0</v>
      </c>
      <c r="AJ43" s="148">
        <f t="shared" si="39"/>
        <v>0</v>
      </c>
      <c r="AK43" s="147">
        <f t="shared" si="40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66">
        <f t="shared" si="36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IF($B$81=0,0,(SUMIF($N$6:$N$28,$U44,L$6:L$28)+SUMIF($N$91:$N$118,$U44,L$91:L$118))*$I$83*Poor!$B$81/$B$81)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1"/>
        <v>105.45000000000002</v>
      </c>
      <c r="AB44" s="156">
        <f>Poor!AB44</f>
        <v>0.25</v>
      </c>
      <c r="AC44" s="147">
        <f t="shared" si="42"/>
        <v>105.45000000000002</v>
      </c>
      <c r="AD44" s="156">
        <f>Poor!AD44</f>
        <v>0.25</v>
      </c>
      <c r="AE44" s="147">
        <f t="shared" si="43"/>
        <v>105.45000000000002</v>
      </c>
      <c r="AF44" s="122">
        <f t="shared" si="29"/>
        <v>0.25</v>
      </c>
      <c r="AG44" s="147">
        <f t="shared" si="37"/>
        <v>105.45000000000002</v>
      </c>
      <c r="AH44" s="123">
        <f t="shared" si="38"/>
        <v>1</v>
      </c>
      <c r="AI44" s="112">
        <f t="shared" si="38"/>
        <v>421.80000000000007</v>
      </c>
      <c r="AJ44" s="148">
        <f t="shared" si="39"/>
        <v>210.90000000000003</v>
      </c>
      <c r="AK44" s="147">
        <f t="shared" si="40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66">
        <f t="shared" si="36"/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IF($B$81=0,0,(SUMIF($N$6:$N$28,$U45,L$6:L$28)+SUMIF($N$91:$N$118,$U45,L$91:L$118))*$I$83*Poor!$B$81/$B$81)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1"/>
        <v>130.42500000000001</v>
      </c>
      <c r="AB45" s="156">
        <f>Poor!AB45</f>
        <v>0.25</v>
      </c>
      <c r="AC45" s="147">
        <f t="shared" si="42"/>
        <v>130.42500000000001</v>
      </c>
      <c r="AD45" s="156">
        <f>Poor!AD45</f>
        <v>0.25</v>
      </c>
      <c r="AE45" s="147">
        <f t="shared" si="43"/>
        <v>130.42500000000001</v>
      </c>
      <c r="AF45" s="122">
        <f t="shared" si="29"/>
        <v>0.25</v>
      </c>
      <c r="AG45" s="147">
        <f t="shared" si="37"/>
        <v>130.42500000000001</v>
      </c>
      <c r="AH45" s="123">
        <f t="shared" si="38"/>
        <v>1</v>
      </c>
      <c r="AI45" s="112">
        <f t="shared" si="38"/>
        <v>521.70000000000005</v>
      </c>
      <c r="AJ45" s="148">
        <f t="shared" si="39"/>
        <v>260.85000000000002</v>
      </c>
      <c r="AK45" s="147">
        <f t="shared" si="40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66">
        <f t="shared" si="36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IF($B$81=0,0,(SUMIF($N$6:$N$28,$U46,L$6:L$28)+SUMIF($N$91:$N$118,$U46,L$91:L$118))*$I$83*Poor!$B$81/$B$81)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1"/>
        <v>666.00000000000011</v>
      </c>
      <c r="AB46" s="156">
        <f>Poor!AB46</f>
        <v>0.25</v>
      </c>
      <c r="AC46" s="147">
        <f t="shared" si="42"/>
        <v>666.00000000000011</v>
      </c>
      <c r="AD46" s="156">
        <f>Poor!AD46</f>
        <v>0.25</v>
      </c>
      <c r="AE46" s="147">
        <f t="shared" si="43"/>
        <v>666.00000000000011</v>
      </c>
      <c r="AF46" s="122">
        <f t="shared" si="29"/>
        <v>0.25</v>
      </c>
      <c r="AG46" s="147">
        <f t="shared" si="37"/>
        <v>666.00000000000011</v>
      </c>
      <c r="AH46" s="123">
        <f t="shared" si="38"/>
        <v>1</v>
      </c>
      <c r="AI46" s="112">
        <f t="shared" si="38"/>
        <v>2664.0000000000005</v>
      </c>
      <c r="AJ46" s="148">
        <f t="shared" si="39"/>
        <v>1332.0000000000002</v>
      </c>
      <c r="AK46" s="147">
        <f t="shared" si="40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66">
        <f t="shared" si="36"/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IF($B$81=0,0,(SUMIF($N$6:$N$28,$U47,L$6:L$28)+SUMIF($N$91:$N$118,$U47,L$91:L$118))*$I$83*Poor!$B$81/$B$81)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1"/>
        <v>0</v>
      </c>
      <c r="AB47" s="156">
        <f>Poor!AB47</f>
        <v>0.25</v>
      </c>
      <c r="AC47" s="147">
        <f t="shared" si="42"/>
        <v>0</v>
      </c>
      <c r="AD47" s="156">
        <f>Poor!AD47</f>
        <v>0.25</v>
      </c>
      <c r="AE47" s="147">
        <f t="shared" si="43"/>
        <v>0</v>
      </c>
      <c r="AF47" s="122">
        <f t="shared" si="29"/>
        <v>0.25</v>
      </c>
      <c r="AG47" s="147">
        <f t="shared" si="37"/>
        <v>0</v>
      </c>
      <c r="AH47" s="123">
        <f t="shared" si="38"/>
        <v>1</v>
      </c>
      <c r="AI47" s="112">
        <f t="shared" si="38"/>
        <v>0</v>
      </c>
      <c r="AJ47" s="148">
        <f t="shared" si="39"/>
        <v>0</v>
      </c>
      <c r="AK47" s="147">
        <f t="shared" si="40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66">
        <f t="shared" si="36"/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IF($B$81=0,0,(SUMIF($N$6:$N$28,$U48,L$6:L$28)+SUMIF($N$91:$N$118,$U48,L$91:L$118))*$I$83*Poor!$B$81/$B$81)</f>
        <v>0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1"/>
        <v>0</v>
      </c>
      <c r="AB48" s="156">
        <f>Poor!AB48</f>
        <v>0.25</v>
      </c>
      <c r="AC48" s="147">
        <f t="shared" si="42"/>
        <v>0</v>
      </c>
      <c r="AD48" s="156">
        <f>Poor!AD48</f>
        <v>0.25</v>
      </c>
      <c r="AE48" s="147">
        <f t="shared" si="43"/>
        <v>0</v>
      </c>
      <c r="AF48" s="122">
        <f t="shared" si="29"/>
        <v>0.25</v>
      </c>
      <c r="AG48" s="147">
        <f t="shared" si="37"/>
        <v>0</v>
      </c>
      <c r="AH48" s="123">
        <f t="shared" si="38"/>
        <v>1</v>
      </c>
      <c r="AI48" s="112">
        <f t="shared" si="38"/>
        <v>0</v>
      </c>
      <c r="AJ48" s="148">
        <f t="shared" si="39"/>
        <v>0</v>
      </c>
      <c r="AK48" s="147">
        <f t="shared" si="40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23859.599999999999</v>
      </c>
      <c r="J49" s="38">
        <f t="shared" si="32"/>
        <v>23859.600000000002</v>
      </c>
      <c r="K49" s="40">
        <f t="shared" si="33"/>
        <v>0.72616268629915603</v>
      </c>
      <c r="L49" s="22">
        <f t="shared" si="34"/>
        <v>0.85687196983300407</v>
      </c>
      <c r="M49" s="24">
        <f t="shared" si="35"/>
        <v>0.85687196983300418</v>
      </c>
      <c r="N49" s="266">
        <f t="shared" si="36"/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IF($B$81=0,0,(SUMIF($N$6:$N$28,$U49,L$6:L$28)+SUMIF($N$91:$N$118,$U49,L$91:L$118))*$I$83*Poor!$B$81/$B$81)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1"/>
        <v>5964.9000000000005</v>
      </c>
      <c r="AB49" s="156">
        <f>Poor!AB49</f>
        <v>0.25</v>
      </c>
      <c r="AC49" s="147">
        <f t="shared" si="42"/>
        <v>5964.9000000000005</v>
      </c>
      <c r="AD49" s="156">
        <f>Poor!AD49</f>
        <v>0.25</v>
      </c>
      <c r="AE49" s="147">
        <f t="shared" si="43"/>
        <v>5964.9000000000005</v>
      </c>
      <c r="AF49" s="122">
        <f t="shared" si="29"/>
        <v>0.25</v>
      </c>
      <c r="AG49" s="147">
        <f t="shared" si="37"/>
        <v>5964.9000000000005</v>
      </c>
      <c r="AH49" s="123">
        <f t="shared" si="38"/>
        <v>1</v>
      </c>
      <c r="AI49" s="112">
        <f t="shared" si="38"/>
        <v>23859.600000000002</v>
      </c>
      <c r="AJ49" s="148">
        <f t="shared" si="39"/>
        <v>11929.800000000001</v>
      </c>
      <c r="AK49" s="147">
        <f t="shared" si="40"/>
        <v>11929.800000000001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66">
        <f t="shared" si="36"/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23108.571428571428</v>
      </c>
      <c r="S50" s="220">
        <f>IF($B$81=0,0,(SUMIF($N$6:$N$28,$U50,L$6:L$28)+SUMIF($N$91:$N$118,$U50,L$91:L$118))*$I$83*Poor!$B$81/$B$81)</f>
        <v>0</v>
      </c>
      <c r="T50" s="220">
        <f>IF($B$81=0,0,(SUMIF($N$6:$N$28,$U20,M$6:M$28)+SUMIF($N$91:$N$118,$U20,M$91:M$118))*$I$83*Poor!$B$81/$B$81)</f>
        <v>27268.114285714288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1"/>
        <v>0</v>
      </c>
      <c r="AB50" s="156">
        <f>Poor!AB55</f>
        <v>0.25</v>
      </c>
      <c r="AC50" s="147">
        <f t="shared" si="42"/>
        <v>0</v>
      </c>
      <c r="AD50" s="156">
        <f>Poor!AD55</f>
        <v>0.25</v>
      </c>
      <c r="AE50" s="147">
        <f t="shared" si="43"/>
        <v>0</v>
      </c>
      <c r="AF50" s="122">
        <f t="shared" si="29"/>
        <v>0.25</v>
      </c>
      <c r="AG50" s="147">
        <f t="shared" si="37"/>
        <v>0</v>
      </c>
      <c r="AH50" s="123">
        <f t="shared" si="38"/>
        <v>1</v>
      </c>
      <c r="AI50" s="112">
        <f t="shared" si="38"/>
        <v>0</v>
      </c>
      <c r="AJ50" s="148">
        <f t="shared" si="39"/>
        <v>0</v>
      </c>
      <c r="AK50" s="147">
        <f t="shared" si="40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66">
        <f t="shared" si="36"/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IF($B$81=0,0,(SUMIF($N$6:$N$28,$U51,L$6:L$28)+SUMIF($N$91:$N$118,$U51,L$91:L$118))*$I$83*Poor!$B$81/$B$81)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1"/>
        <v>0</v>
      </c>
      <c r="AB51" s="156">
        <f>Poor!AB56</f>
        <v>0.25</v>
      </c>
      <c r="AC51" s="147">
        <f t="shared" si="42"/>
        <v>0</v>
      </c>
      <c r="AD51" s="156">
        <f>Poor!AD56</f>
        <v>0.25</v>
      </c>
      <c r="AE51" s="147">
        <f t="shared" si="43"/>
        <v>0</v>
      </c>
      <c r="AF51" s="122">
        <f t="shared" si="29"/>
        <v>0.25</v>
      </c>
      <c r="AG51" s="147">
        <f t="shared" si="37"/>
        <v>0</v>
      </c>
      <c r="AH51" s="123">
        <f t="shared" si="38"/>
        <v>1</v>
      </c>
      <c r="AI51" s="112">
        <f t="shared" si="38"/>
        <v>0</v>
      </c>
      <c r="AJ51" s="148">
        <f t="shared" si="39"/>
        <v>0</v>
      </c>
      <c r="AK51" s="147">
        <f t="shared" si="40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66">
        <f t="shared" si="36"/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IF($B$81=0,0,(SUMIF($N$6:$N$28,$U52,L$6:L$28)+SUMIF($N$91:$N$118,$U52,L$91:L$118))*$I$83*Poor!$B$81/$B$81)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1"/>
        <v>0</v>
      </c>
      <c r="AB52" s="156">
        <f>Poor!AB57</f>
        <v>0.25</v>
      </c>
      <c r="AC52" s="147">
        <f t="shared" si="42"/>
        <v>0</v>
      </c>
      <c r="AD52" s="156">
        <f>Poor!AD57</f>
        <v>0.25</v>
      </c>
      <c r="AE52" s="147">
        <f t="shared" si="43"/>
        <v>0</v>
      </c>
      <c r="AF52" s="122">
        <f t="shared" si="29"/>
        <v>0.25</v>
      </c>
      <c r="AG52" s="147">
        <f t="shared" si="37"/>
        <v>0</v>
      </c>
      <c r="AH52" s="123">
        <f t="shared" si="38"/>
        <v>1</v>
      </c>
      <c r="AI52" s="112">
        <f t="shared" si="38"/>
        <v>0</v>
      </c>
      <c r="AJ52" s="148">
        <f t="shared" si="39"/>
        <v>0</v>
      </c>
      <c r="AK52" s="147">
        <f t="shared" si="40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171" t="s">
        <v>100</v>
      </c>
      <c r="R53" s="179">
        <f>SUM(R37:R52)</f>
        <v>34327.607298110612</v>
      </c>
      <c r="S53" s="179">
        <f>SUM(S37:S52)</f>
        <v>0</v>
      </c>
      <c r="T53" s="179">
        <f>SUM(T37:T52)</f>
        <v>34915.113872928079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1"/>
        <v>0</v>
      </c>
      <c r="AB58" s="156">
        <f>Poor!AB58</f>
        <v>0.25</v>
      </c>
      <c r="AC58" s="147">
        <f t="shared" si="42"/>
        <v>0</v>
      </c>
      <c r="AD58" s="156">
        <f>Poor!AD58</f>
        <v>0.25</v>
      </c>
      <c r="AE58" s="147">
        <f t="shared" si="43"/>
        <v>0</v>
      </c>
      <c r="AF58" s="122">
        <f t="shared" si="29"/>
        <v>0.25</v>
      </c>
      <c r="AG58" s="147">
        <f t="shared" si="37"/>
        <v>0</v>
      </c>
      <c r="AH58" s="123">
        <f t="shared" si="38"/>
        <v>1</v>
      </c>
      <c r="AI58" s="112">
        <f t="shared" si="38"/>
        <v>0</v>
      </c>
      <c r="AJ58" s="148">
        <f t="shared" si="39"/>
        <v>0</v>
      </c>
      <c r="AK58" s="147">
        <f t="shared" si="40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1"/>
        <v>0</v>
      </c>
      <c r="AB59" s="156">
        <f>Poor!AB59</f>
        <v>0.25</v>
      </c>
      <c r="AC59" s="147">
        <f t="shared" si="42"/>
        <v>0</v>
      </c>
      <c r="AD59" s="156">
        <f>Poor!AD59</f>
        <v>0.25</v>
      </c>
      <c r="AE59" s="147">
        <f t="shared" si="43"/>
        <v>0</v>
      </c>
      <c r="AF59" s="122">
        <f t="shared" si="29"/>
        <v>0.25</v>
      </c>
      <c r="AG59" s="147">
        <f t="shared" si="37"/>
        <v>0</v>
      </c>
      <c r="AH59" s="123">
        <f t="shared" ref="AH59:AI64" si="44">SUM(Z59,AB59,AD59,AF59)</f>
        <v>1</v>
      </c>
      <c r="AI59" s="112">
        <f t="shared" si="44"/>
        <v>0</v>
      </c>
      <c r="AJ59" s="148">
        <f t="shared" si="39"/>
        <v>0</v>
      </c>
      <c r="AK59" s="147">
        <f t="shared" si="40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1"/>
        <v>0</v>
      </c>
      <c r="AB60" s="156">
        <f>Poor!AB60</f>
        <v>0.25</v>
      </c>
      <c r="AC60" s="147">
        <f t="shared" si="42"/>
        <v>0</v>
      </c>
      <c r="AD60" s="156">
        <f>Poor!AD60</f>
        <v>0.25</v>
      </c>
      <c r="AE60" s="147">
        <f t="shared" si="43"/>
        <v>0</v>
      </c>
      <c r="AF60" s="122">
        <f t="shared" si="29"/>
        <v>0.25</v>
      </c>
      <c r="AG60" s="147">
        <f t="shared" si="37"/>
        <v>0</v>
      </c>
      <c r="AH60" s="123">
        <f t="shared" si="44"/>
        <v>1</v>
      </c>
      <c r="AI60" s="112">
        <f t="shared" si="44"/>
        <v>0</v>
      </c>
      <c r="AJ60" s="148">
        <f t="shared" si="39"/>
        <v>0</v>
      </c>
      <c r="AK60" s="147">
        <f t="shared" si="40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1"/>
        <v>0</v>
      </c>
      <c r="AB61" s="156">
        <f>Poor!AB61</f>
        <v>0.25</v>
      </c>
      <c r="AC61" s="147">
        <f t="shared" si="42"/>
        <v>0</v>
      </c>
      <c r="AD61" s="156">
        <f>Poor!AD61</f>
        <v>0.25</v>
      </c>
      <c r="AE61" s="147">
        <f t="shared" si="43"/>
        <v>0</v>
      </c>
      <c r="AF61" s="122">
        <f t="shared" si="29"/>
        <v>0.25</v>
      </c>
      <c r="AG61" s="147">
        <f t="shared" si="37"/>
        <v>0</v>
      </c>
      <c r="AH61" s="123">
        <f t="shared" si="44"/>
        <v>1</v>
      </c>
      <c r="AI61" s="112">
        <f t="shared" si="44"/>
        <v>0</v>
      </c>
      <c r="AJ61" s="148">
        <f t="shared" si="39"/>
        <v>0</v>
      </c>
      <c r="AK61" s="147">
        <f t="shared" si="40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1"/>
        <v>0</v>
      </c>
      <c r="AB62" s="156">
        <f>Poor!AB62</f>
        <v>0.25</v>
      </c>
      <c r="AC62" s="147">
        <f t="shared" si="42"/>
        <v>0</v>
      </c>
      <c r="AD62" s="156">
        <f>Poor!AD62</f>
        <v>0.25</v>
      </c>
      <c r="AE62" s="147">
        <f t="shared" si="43"/>
        <v>0</v>
      </c>
      <c r="AF62" s="122">
        <f t="shared" si="29"/>
        <v>0.25</v>
      </c>
      <c r="AG62" s="147">
        <f t="shared" si="37"/>
        <v>0</v>
      </c>
      <c r="AH62" s="123">
        <f t="shared" si="44"/>
        <v>1</v>
      </c>
      <c r="AI62" s="112">
        <f t="shared" si="44"/>
        <v>0</v>
      </c>
      <c r="AJ62" s="148">
        <f t="shared" si="39"/>
        <v>0</v>
      </c>
      <c r="AK62" s="147">
        <f t="shared" si="40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1"/>
        <v>0</v>
      </c>
      <c r="AB63" s="156">
        <f>Poor!AB63</f>
        <v>0.25</v>
      </c>
      <c r="AC63" s="147">
        <f t="shared" si="42"/>
        <v>0</v>
      </c>
      <c r="AD63" s="156">
        <f>Poor!AD63</f>
        <v>0.25</v>
      </c>
      <c r="AE63" s="147">
        <f t="shared" si="43"/>
        <v>0</v>
      </c>
      <c r="AF63" s="122">
        <f t="shared" si="29"/>
        <v>0.25</v>
      </c>
      <c r="AG63" s="147">
        <f t="shared" si="37"/>
        <v>0</v>
      </c>
      <c r="AH63" s="123">
        <f t="shared" si="44"/>
        <v>1</v>
      </c>
      <c r="AI63" s="112">
        <f t="shared" si="44"/>
        <v>0</v>
      </c>
      <c r="AJ63" s="148">
        <f t="shared" si="39"/>
        <v>0</v>
      </c>
      <c r="AK63" s="147">
        <f t="shared" si="40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1"/>
        <v>0</v>
      </c>
      <c r="AB64" s="156">
        <f>Poor!AB64</f>
        <v>0.25</v>
      </c>
      <c r="AC64" s="149">
        <f t="shared" si="42"/>
        <v>0</v>
      </c>
      <c r="AD64" s="156">
        <f>Poor!AD64</f>
        <v>0.25</v>
      </c>
      <c r="AE64" s="149">
        <f t="shared" si="43"/>
        <v>0</v>
      </c>
      <c r="AF64" s="150">
        <f t="shared" si="29"/>
        <v>0.25</v>
      </c>
      <c r="AG64" s="149">
        <f t="shared" si="37"/>
        <v>0</v>
      </c>
      <c r="AH64" s="123">
        <f t="shared" si="44"/>
        <v>1</v>
      </c>
      <c r="AI64" s="112">
        <f t="shared" si="44"/>
        <v>0</v>
      </c>
      <c r="AJ64" s="151">
        <f t="shared" si="39"/>
        <v>0</v>
      </c>
      <c r="AK64" s="149">
        <f t="shared" si="40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28130.85</v>
      </c>
      <c r="J65" s="39">
        <f>SUM(J37:J64)</f>
        <v>28130.850000000002</v>
      </c>
      <c r="K65" s="40">
        <f>SUM(K37:K64)</f>
        <v>1</v>
      </c>
      <c r="L65" s="22">
        <f>SUM(L37:L64)</f>
        <v>1.0102657568683784</v>
      </c>
      <c r="M65" s="24">
        <f>SUM(M37:M64)</f>
        <v>1.0102657568683786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7000.2045402768726</v>
      </c>
      <c r="AB65" s="137"/>
      <c r="AC65" s="153">
        <f>SUM(AC37:AC64)</f>
        <v>7362.5221975186496</v>
      </c>
      <c r="AD65" s="137"/>
      <c r="AE65" s="153">
        <f>SUM(AE37:AE64)</f>
        <v>6901.3482622044794</v>
      </c>
      <c r="AF65" s="137"/>
      <c r="AG65" s="153">
        <f>SUM(AG37:AG64)</f>
        <v>6866.7750000000005</v>
      </c>
      <c r="AH65" s="137"/>
      <c r="AI65" s="153">
        <f>SUM(AI37:AI64)</f>
        <v>28130.850000000002</v>
      </c>
      <c r="AJ65" s="153">
        <f>SUM(AJ37:AJ64)</f>
        <v>14362.726737795521</v>
      </c>
      <c r="AK65" s="153">
        <f>SUM(AK37:AK64)</f>
        <v>13768.123262204481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5">J124*I$83</f>
        <v>18296.40185207926</v>
      </c>
      <c r="K70" s="40">
        <f>B70/B$76</f>
        <v>0.46934309447911304</v>
      </c>
      <c r="L70" s="22">
        <f t="shared" ref="L70:L74" si="46">(L124*G$37*F$9/F$7)/B$130</f>
        <v>0.65708033227075802</v>
      </c>
      <c r="M70" s="24">
        <f>J70/B$76</f>
        <v>0.65708033227075813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7">(E71*F71)</f>
        <v>1.18</v>
      </c>
      <c r="I71" s="39">
        <f>I125*I$83</f>
        <v>9834.4481479207407</v>
      </c>
      <c r="J71" s="51">
        <f t="shared" si="45"/>
        <v>9834.4481479207407</v>
      </c>
      <c r="K71" s="40">
        <f t="shared" ref="K71:K72" si="48">B71/B$76</f>
        <v>0.48954330520141259</v>
      </c>
      <c r="L71" s="22">
        <f t="shared" si="46"/>
        <v>0.35318542459762031</v>
      </c>
      <c r="M71" s="24">
        <f t="shared" ref="M71:M72" si="49">J71/B$76</f>
        <v>0.35318542459762042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7"/>
        <v>1.18</v>
      </c>
      <c r="I72" s="39">
        <f>I126*I$83</f>
        <v>0</v>
      </c>
      <c r="J72" s="51">
        <f t="shared" si="45"/>
        <v>0</v>
      </c>
      <c r="K72" s="40">
        <f t="shared" si="48"/>
        <v>0.87182618064284434</v>
      </c>
      <c r="L72" s="22">
        <f t="shared" si="46"/>
        <v>0</v>
      </c>
      <c r="M72" s="24">
        <f t="shared" si="49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5"/>
        <v>0</v>
      </c>
      <c r="K73" s="40">
        <f>B73/B$76</f>
        <v>0.14627401687915245</v>
      </c>
      <c r="L73" s="22">
        <f t="shared" si="46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9834.4481479207407</v>
      </c>
      <c r="J74" s="51">
        <f t="shared" si="45"/>
        <v>9834.4481479207407</v>
      </c>
      <c r="K74" s="40">
        <f>B74/B$76</f>
        <v>0.2550027973234395</v>
      </c>
      <c r="L74" s="22">
        <f t="shared" si="46"/>
        <v>0.16972034154131052</v>
      </c>
      <c r="M74" s="24">
        <f>J74/B$76</f>
        <v>0.35318542459762042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2426.1040772570577</v>
      </c>
      <c r="AB74" s="156"/>
      <c r="AC74" s="147">
        <f>AC30*$I$83/4</f>
        <v>2788.4217344988347</v>
      </c>
      <c r="AD74" s="156"/>
      <c r="AE74" s="147">
        <f>AE30*$I$83/4</f>
        <v>2327.2477991846645</v>
      </c>
      <c r="AF74" s="156"/>
      <c r="AG74" s="147">
        <f>AG30*$I$83/4</f>
        <v>2292.6745369801856</v>
      </c>
      <c r="AH74" s="155"/>
      <c r="AI74" s="147">
        <f>SUM(AA74,AC74,AE74,AG74)</f>
        <v>9834.4481479207425</v>
      </c>
      <c r="AJ74" s="148">
        <f>(AA74+AC74)</f>
        <v>5214.5258117558924</v>
      </c>
      <c r="AK74" s="147">
        <f>(AE74+AG74)</f>
        <v>4619.9223361648501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5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28130.850000000002</v>
      </c>
      <c r="J76" s="51">
        <f t="shared" si="45"/>
        <v>28130.850000000002</v>
      </c>
      <c r="K76" s="40">
        <f>SUM(K70:K75)</f>
        <v>2.2319893945259621</v>
      </c>
      <c r="L76" s="22">
        <f>SUM(L70:L75)</f>
        <v>1.1799860984096888</v>
      </c>
      <c r="M76" s="24">
        <f>SUM(M70:M75)</f>
        <v>1.3634511814659991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7000.2045402768726</v>
      </c>
      <c r="AB76" s="137"/>
      <c r="AC76" s="153">
        <f>AC65</f>
        <v>7362.5221975186496</v>
      </c>
      <c r="AD76" s="137"/>
      <c r="AE76" s="153">
        <f>AE65</f>
        <v>6901.3482622044794</v>
      </c>
      <c r="AF76" s="137"/>
      <c r="AG76" s="153">
        <f>AG65</f>
        <v>6866.7750000000005</v>
      </c>
      <c r="AH76" s="137"/>
      <c r="AI76" s="153">
        <f>SUM(AA76,AC76,AE76,AG76)</f>
        <v>28130.850000000002</v>
      </c>
      <c r="AJ76" s="154">
        <f>SUM(AA76,AC76)</f>
        <v>14362.726737795521</v>
      </c>
      <c r="AK76" s="154">
        <f>SUM(AE76,AG76)</f>
        <v>13768.123262204481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5"/>
        <v>16084.973333333328</v>
      </c>
      <c r="K77" s="40"/>
      <c r="L77" s="22">
        <f>-(L131*G$37*F$9/F$7)/B$130</f>
        <v>-0.57766110013766658</v>
      </c>
      <c r="M77" s="24">
        <f>-J77/B$76</f>
        <v>-0.57766110013766669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461.17393531417059</v>
      </c>
      <c r="AF77" s="112"/>
      <c r="AG77" s="111">
        <f>AG31*$I$83/4</f>
        <v>461.33252642805479</v>
      </c>
      <c r="AH77" s="110"/>
      <c r="AI77" s="154">
        <f>SUM(AA77,AC77,AE77,AG77)</f>
        <v>922.50646174222538</v>
      </c>
      <c r="AJ77" s="153">
        <f>SUM(AA77,AC77)</f>
        <v>0</v>
      </c>
      <c r="AK77" s="160">
        <f>SUM(AE77,AG77)</f>
        <v>922.50646174222538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2426.1040772570577</v>
      </c>
      <c r="AB79" s="112"/>
      <c r="AC79" s="112">
        <f>AA79-AA74+AC65-AC70</f>
        <v>2788.4217344988347</v>
      </c>
      <c r="AD79" s="112"/>
      <c r="AE79" s="112">
        <f>AC79-AC74+AE65-AE70</f>
        <v>2327.2477991846645</v>
      </c>
      <c r="AF79" s="112"/>
      <c r="AG79" s="112">
        <f>AE79-AE74+AG65-AG70</f>
        <v>2292.6745369801856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21054.815586058805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1">IF(A37="","",A37)</f>
        <v>Cattle sales - local: no. sold</v>
      </c>
      <c r="B91" s="75">
        <f t="shared" ref="B91:C118" si="52">(B37/$B$83)</f>
        <v>0</v>
      </c>
      <c r="C91" s="75">
        <f t="shared" si="52"/>
        <v>0</v>
      </c>
      <c r="D91" s="24">
        <f t="shared" ref="D91:D106" si="53">(B91+C91)</f>
        <v>0</v>
      </c>
      <c r="H91" s="24">
        <f t="shared" ref="H91:H106" si="54">(E37*F37/G37*F$7/F$9)</f>
        <v>0.3575757575757576</v>
      </c>
      <c r="I91" s="22">
        <f t="shared" ref="I91:I106" si="55">(D91*H91)</f>
        <v>0</v>
      </c>
      <c r="J91" s="24">
        <f t="shared" ref="J91:J99" si="56">IF(I$32&lt;=1+I$131,I91,L91+J$33*(I91-L91))</f>
        <v>0</v>
      </c>
      <c r="K91" s="22">
        <f t="shared" ref="K91:K106" si="57">(B91)</f>
        <v>0</v>
      </c>
      <c r="L91" s="22">
        <f t="shared" ref="L91:L106" si="58">(K91*H91)</f>
        <v>0</v>
      </c>
      <c r="M91" s="225">
        <f t="shared" si="50"/>
        <v>0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1"/>
        <v>Goat sales - local: no. sold</v>
      </c>
      <c r="B92" s="75">
        <f t="shared" si="52"/>
        <v>0.1092271866949126</v>
      </c>
      <c r="C92" s="75">
        <f t="shared" si="52"/>
        <v>0</v>
      </c>
      <c r="D92" s="24">
        <f t="shared" si="53"/>
        <v>0.1092271866949126</v>
      </c>
      <c r="H92" s="24">
        <f t="shared" si="54"/>
        <v>0.3575757575757576</v>
      </c>
      <c r="I92" s="22">
        <f t="shared" si="55"/>
        <v>3.9056994030302085E-2</v>
      </c>
      <c r="J92" s="24">
        <f t="shared" si="56"/>
        <v>3.9056994030302085E-2</v>
      </c>
      <c r="K92" s="22">
        <f t="shared" si="57"/>
        <v>0.1092271866949126</v>
      </c>
      <c r="L92" s="22">
        <f t="shared" si="58"/>
        <v>3.9056994030302085E-2</v>
      </c>
      <c r="M92" s="225">
        <f t="shared" si="50"/>
        <v>3.9056994030302085E-2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1"/>
        <v>Sheep sales - local: no. sold</v>
      </c>
      <c r="B93" s="75">
        <f t="shared" si="52"/>
        <v>0</v>
      </c>
      <c r="C93" s="75">
        <f t="shared" si="52"/>
        <v>0</v>
      </c>
      <c r="D93" s="24">
        <f t="shared" si="53"/>
        <v>0</v>
      </c>
      <c r="H93" s="24">
        <f t="shared" si="54"/>
        <v>0.3575757575757576</v>
      </c>
      <c r="I93" s="22">
        <f t="shared" si="55"/>
        <v>0</v>
      </c>
      <c r="J93" s="24">
        <f t="shared" si="56"/>
        <v>0</v>
      </c>
      <c r="K93" s="22">
        <f t="shared" si="57"/>
        <v>0</v>
      </c>
      <c r="L93" s="22">
        <f t="shared" si="58"/>
        <v>0</v>
      </c>
      <c r="M93" s="225">
        <f t="shared" si="50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1"/>
        <v>Chicken sales: no. sold</v>
      </c>
      <c r="B94" s="75">
        <f t="shared" si="52"/>
        <v>0</v>
      </c>
      <c r="C94" s="75">
        <f t="shared" si="52"/>
        <v>0</v>
      </c>
      <c r="D94" s="24">
        <f t="shared" si="53"/>
        <v>0</v>
      </c>
      <c r="H94" s="24">
        <f t="shared" si="54"/>
        <v>0.7151515151515152</v>
      </c>
      <c r="I94" s="22">
        <f t="shared" si="55"/>
        <v>0</v>
      </c>
      <c r="J94" s="24">
        <f t="shared" si="56"/>
        <v>0</v>
      </c>
      <c r="K94" s="22">
        <f t="shared" si="57"/>
        <v>0</v>
      </c>
      <c r="L94" s="22">
        <f t="shared" si="58"/>
        <v>0</v>
      </c>
      <c r="M94" s="226">
        <f t="shared" si="50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1"/>
        <v>Maize: kg produced</v>
      </c>
      <c r="B95" s="75">
        <f t="shared" si="52"/>
        <v>0</v>
      </c>
      <c r="C95" s="75">
        <f t="shared" si="52"/>
        <v>0</v>
      </c>
      <c r="D95" s="24">
        <f t="shared" si="53"/>
        <v>0</v>
      </c>
      <c r="H95" s="24">
        <f t="shared" si="54"/>
        <v>0.25454545454545457</v>
      </c>
      <c r="I95" s="22">
        <f t="shared" si="55"/>
        <v>0</v>
      </c>
      <c r="J95" s="24">
        <f t="shared" si="56"/>
        <v>0</v>
      </c>
      <c r="K95" s="22">
        <f t="shared" si="57"/>
        <v>0</v>
      </c>
      <c r="L95" s="22">
        <f t="shared" si="58"/>
        <v>0</v>
      </c>
      <c r="M95" s="226">
        <f t="shared" si="50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1"/>
        <v>Beans: kg produced</v>
      </c>
      <c r="B96" s="75">
        <f t="shared" si="52"/>
        <v>0</v>
      </c>
      <c r="C96" s="75">
        <f t="shared" si="52"/>
        <v>0</v>
      </c>
      <c r="D96" s="24">
        <f t="shared" si="53"/>
        <v>0</v>
      </c>
      <c r="H96" s="24">
        <f t="shared" si="54"/>
        <v>0.16969696969696968</v>
      </c>
      <c r="I96" s="22">
        <f t="shared" si="55"/>
        <v>0</v>
      </c>
      <c r="J96" s="24">
        <f t="shared" si="56"/>
        <v>0</v>
      </c>
      <c r="K96" s="22">
        <f t="shared" si="57"/>
        <v>0</v>
      </c>
      <c r="L96" s="22">
        <f t="shared" si="58"/>
        <v>0</v>
      </c>
      <c r="M96" s="226">
        <f t="shared" si="50"/>
        <v>0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1"/>
        <v>potatoes: kg produced</v>
      </c>
      <c r="B97" s="75">
        <f t="shared" si="52"/>
        <v>0</v>
      </c>
      <c r="C97" s="75">
        <f t="shared" si="52"/>
        <v>0</v>
      </c>
      <c r="D97" s="24">
        <f t="shared" si="53"/>
        <v>0</v>
      </c>
      <c r="H97" s="24">
        <f t="shared" si="54"/>
        <v>0.16969696969696968</v>
      </c>
      <c r="I97" s="22">
        <f t="shared" si="55"/>
        <v>0</v>
      </c>
      <c r="J97" s="24">
        <f t="shared" si="56"/>
        <v>0</v>
      </c>
      <c r="K97" s="22">
        <f t="shared" si="57"/>
        <v>0</v>
      </c>
      <c r="L97" s="22">
        <f t="shared" si="58"/>
        <v>0</v>
      </c>
      <c r="M97" s="226">
        <f t="shared" si="50"/>
        <v>0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1"/>
        <v>Agricultural cash income -- see Data2</v>
      </c>
      <c r="B98" s="75">
        <f t="shared" si="52"/>
        <v>7.3789032789452078E-2</v>
      </c>
      <c r="C98" s="75">
        <f t="shared" si="52"/>
        <v>0</v>
      </c>
      <c r="D98" s="24">
        <f t="shared" si="53"/>
        <v>7.3789032789452078E-2</v>
      </c>
      <c r="H98" s="24">
        <f t="shared" si="54"/>
        <v>0.33636363636363642</v>
      </c>
      <c r="I98" s="22">
        <f t="shared" si="55"/>
        <v>2.4819947392815702E-2</v>
      </c>
      <c r="J98" s="24">
        <f t="shared" si="56"/>
        <v>2.4819947392815702E-2</v>
      </c>
      <c r="K98" s="22">
        <f t="shared" si="57"/>
        <v>7.3789032789452078E-2</v>
      </c>
      <c r="L98" s="22">
        <f t="shared" si="58"/>
        <v>2.4819947392815702E-2</v>
      </c>
      <c r="M98" s="226">
        <f t="shared" si="50"/>
        <v>2.4819947392815702E-2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1"/>
        <v>Construction cash income -- see Data2</v>
      </c>
      <c r="B99" s="75">
        <f t="shared" si="52"/>
        <v>9.1265382660638092E-2</v>
      </c>
      <c r="C99" s="75">
        <f t="shared" si="52"/>
        <v>0</v>
      </c>
      <c r="D99" s="24">
        <f t="shared" si="53"/>
        <v>9.1265382660638092E-2</v>
      </c>
      <c r="H99" s="24">
        <f t="shared" si="54"/>
        <v>0.33636363636363642</v>
      </c>
      <c r="I99" s="22">
        <f t="shared" si="55"/>
        <v>3.0698355985850998E-2</v>
      </c>
      <c r="J99" s="24">
        <f t="shared" si="56"/>
        <v>3.0698355985850998E-2</v>
      </c>
      <c r="K99" s="22">
        <f t="shared" si="57"/>
        <v>9.1265382660638092E-2</v>
      </c>
      <c r="L99" s="22">
        <f t="shared" si="58"/>
        <v>3.0698355985850998E-2</v>
      </c>
      <c r="M99" s="226">
        <f t="shared" si="50"/>
        <v>3.0698355985850998E-2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1"/>
        <v>Domestic work cash income -- see Data2</v>
      </c>
      <c r="B100" s="75">
        <f t="shared" si="52"/>
        <v>0.46603599656496048</v>
      </c>
      <c r="C100" s="75">
        <f t="shared" si="52"/>
        <v>0</v>
      </c>
      <c r="D100" s="24">
        <f t="shared" si="53"/>
        <v>0.46603599656496048</v>
      </c>
      <c r="H100" s="24">
        <f t="shared" si="54"/>
        <v>0.33636363636363642</v>
      </c>
      <c r="I100" s="22">
        <f t="shared" si="55"/>
        <v>0.15675756248094128</v>
      </c>
      <c r="J100" s="24">
        <f>IF(I$32&lt;=1+I131,I100,L100+J$33*(I100-L100))</f>
        <v>0.15675756248094128</v>
      </c>
      <c r="K100" s="22">
        <f t="shared" si="57"/>
        <v>0.46603599656496048</v>
      </c>
      <c r="L100" s="22">
        <f t="shared" si="58"/>
        <v>0.15675756248094128</v>
      </c>
      <c r="M100" s="226">
        <f t="shared" si="50"/>
        <v>0.15675756248094128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1"/>
        <v>Labour migration(formal employment): no. people per HH</v>
      </c>
      <c r="B101" s="75">
        <f t="shared" si="52"/>
        <v>0</v>
      </c>
      <c r="C101" s="75">
        <f t="shared" si="52"/>
        <v>0</v>
      </c>
      <c r="D101" s="24">
        <f t="shared" si="53"/>
        <v>0</v>
      </c>
      <c r="H101" s="24">
        <f t="shared" si="54"/>
        <v>0.28606060606060607</v>
      </c>
      <c r="I101" s="22">
        <f t="shared" si="55"/>
        <v>0</v>
      </c>
      <c r="J101" s="24">
        <f>IF(I$32&lt;=1+I131,I101,L101+J$33*(I101-L101))</f>
        <v>0</v>
      </c>
      <c r="K101" s="22">
        <f t="shared" si="57"/>
        <v>0</v>
      </c>
      <c r="L101" s="22">
        <f t="shared" si="58"/>
        <v>0</v>
      </c>
      <c r="M101" s="225">
        <f t="shared" si="50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1"/>
        <v>Small business -- see Data2</v>
      </c>
      <c r="B102" s="75">
        <f t="shared" si="52"/>
        <v>0</v>
      </c>
      <c r="C102" s="75">
        <f t="shared" si="52"/>
        <v>0</v>
      </c>
      <c r="D102" s="24">
        <f t="shared" si="53"/>
        <v>0</v>
      </c>
      <c r="H102" s="24">
        <f t="shared" si="54"/>
        <v>0.57212121212121214</v>
      </c>
      <c r="I102" s="22">
        <f t="shared" si="55"/>
        <v>0</v>
      </c>
      <c r="J102" s="24">
        <f>IF(I$32&lt;=1+I131,I102,L102+J$33*(I102-L102))</f>
        <v>0</v>
      </c>
      <c r="K102" s="22">
        <f t="shared" si="57"/>
        <v>0</v>
      </c>
      <c r="L102" s="22">
        <f t="shared" si="58"/>
        <v>0</v>
      </c>
      <c r="M102" s="226">
        <f t="shared" si="50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1"/>
        <v>Social development -- see Data2</v>
      </c>
      <c r="B103" s="75">
        <f t="shared" si="52"/>
        <v>1.9631766355298961</v>
      </c>
      <c r="C103" s="75">
        <f t="shared" si="52"/>
        <v>0</v>
      </c>
      <c r="D103" s="24">
        <f t="shared" si="53"/>
        <v>1.9631766355298961</v>
      </c>
      <c r="H103" s="24">
        <f t="shared" si="54"/>
        <v>0.7151515151515152</v>
      </c>
      <c r="I103" s="22">
        <f t="shared" si="55"/>
        <v>1.4039687454092591</v>
      </c>
      <c r="J103" s="24">
        <f>IF(I$32&lt;=1+I131,I103,L103+J$33*(I103-L103))</f>
        <v>1.4039687454092591</v>
      </c>
      <c r="K103" s="22">
        <f t="shared" si="57"/>
        <v>1.9631766355298961</v>
      </c>
      <c r="L103" s="22">
        <f t="shared" si="58"/>
        <v>1.4039687454092591</v>
      </c>
      <c r="M103" s="226">
        <f t="shared" si="50"/>
        <v>1.4039687454092591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1"/>
        <v>Public works -- see Data2</v>
      </c>
      <c r="B104" s="75">
        <f t="shared" si="52"/>
        <v>0</v>
      </c>
      <c r="C104" s="75">
        <f t="shared" si="52"/>
        <v>0</v>
      </c>
      <c r="D104" s="24">
        <f t="shared" si="53"/>
        <v>0</v>
      </c>
      <c r="H104" s="24">
        <f t="shared" si="54"/>
        <v>0.7151515151515152</v>
      </c>
      <c r="I104" s="22">
        <f t="shared" si="55"/>
        <v>0</v>
      </c>
      <c r="J104" s="24">
        <f>IF(I$32&lt;=1+I131,I104,L104+J$33*(I104-L104))</f>
        <v>0</v>
      </c>
      <c r="K104" s="22">
        <f t="shared" si="57"/>
        <v>0</v>
      </c>
      <c r="L104" s="22">
        <f t="shared" si="58"/>
        <v>0</v>
      </c>
      <c r="M104" s="226">
        <f t="shared" si="50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1"/>
        <v>Gifts/social support: type (Child support, Pension and Foster Care)</v>
      </c>
      <c r="B105" s="75">
        <f t="shared" si="52"/>
        <v>0</v>
      </c>
      <c r="C105" s="75">
        <f t="shared" si="52"/>
        <v>0</v>
      </c>
      <c r="D105" s="24">
        <f t="shared" si="53"/>
        <v>0</v>
      </c>
      <c r="H105" s="24">
        <f t="shared" si="54"/>
        <v>0.60606060606060608</v>
      </c>
      <c r="I105" s="22">
        <f t="shared" si="55"/>
        <v>0</v>
      </c>
      <c r="J105" s="24">
        <f>IF(I$32&lt;=1+I131,I105,L105+J$33*(I105-L105))</f>
        <v>0</v>
      </c>
      <c r="K105" s="22">
        <f t="shared" si="57"/>
        <v>0</v>
      </c>
      <c r="L105" s="22">
        <f t="shared" si="58"/>
        <v>0</v>
      </c>
      <c r="M105" s="226">
        <f t="shared" si="50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1"/>
        <v>Remittances: no. times per year</v>
      </c>
      <c r="B106" s="75">
        <f t="shared" si="52"/>
        <v>0</v>
      </c>
      <c r="C106" s="75">
        <f t="shared" si="52"/>
        <v>0</v>
      </c>
      <c r="D106" s="24">
        <f t="shared" si="53"/>
        <v>0</v>
      </c>
      <c r="H106" s="24">
        <f t="shared" si="54"/>
        <v>0.67272727272727284</v>
      </c>
      <c r="I106" s="22">
        <f t="shared" si="55"/>
        <v>0</v>
      </c>
      <c r="J106" s="24">
        <f>IF(I$32&lt;=1+I132,I106,L106+J$33*(I106-L106))</f>
        <v>0</v>
      </c>
      <c r="K106" s="22">
        <f t="shared" si="57"/>
        <v>0</v>
      </c>
      <c r="L106" s="22">
        <f t="shared" si="58"/>
        <v>0</v>
      </c>
      <c r="M106" s="226">
        <f>(J106)</f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9">IF(A53="","",A53)</f>
        <v/>
      </c>
      <c r="B107" s="75">
        <f t="shared" si="52"/>
        <v>0</v>
      </c>
      <c r="C107" s="75">
        <f t="shared" si="52"/>
        <v>0</v>
      </c>
      <c r="D107" s="24">
        <f t="shared" ref="D107:D118" si="60">(B107+C107)</f>
        <v>0</v>
      </c>
      <c r="H107" s="24">
        <f t="shared" ref="H107:H118" si="61">(E53*F53/G53*F$7/F$9)</f>
        <v>0.60606060606060608</v>
      </c>
      <c r="I107" s="22">
        <f t="shared" ref="I107:I118" si="62">(D107*H107)</f>
        <v>0</v>
      </c>
      <c r="J107" s="24">
        <f t="shared" ref="J107:J118" si="63">IF(I$32&lt;=1+I133,I107,L107+J$33*(I107-L107))</f>
        <v>0</v>
      </c>
      <c r="K107" s="22">
        <f t="shared" ref="K107:K118" si="64">(B107)</f>
        <v>0</v>
      </c>
      <c r="L107" s="22">
        <f t="shared" ref="L107:L118" si="65">(K107*H107)</f>
        <v>0</v>
      </c>
      <c r="M107" s="226">
        <f t="shared" ref="M107:M118" si="66">(J107)</f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9"/>
        <v/>
      </c>
      <c r="B108" s="75">
        <f t="shared" si="52"/>
        <v>0</v>
      </c>
      <c r="C108" s="75">
        <f t="shared" si="52"/>
        <v>0</v>
      </c>
      <c r="D108" s="24">
        <f t="shared" si="60"/>
        <v>0</v>
      </c>
      <c r="H108" s="24">
        <f t="shared" si="61"/>
        <v>0.60606060606060608</v>
      </c>
      <c r="I108" s="22">
        <f t="shared" si="62"/>
        <v>0</v>
      </c>
      <c r="J108" s="24">
        <f t="shared" si="63"/>
        <v>0</v>
      </c>
      <c r="K108" s="22">
        <f t="shared" si="64"/>
        <v>0</v>
      </c>
      <c r="L108" s="22">
        <f t="shared" si="65"/>
        <v>0</v>
      </c>
      <c r="M108" s="226">
        <f t="shared" si="66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9"/>
        <v/>
      </c>
      <c r="B109" s="75">
        <f t="shared" si="52"/>
        <v>0</v>
      </c>
      <c r="C109" s="75">
        <f t="shared" si="52"/>
        <v>0</v>
      </c>
      <c r="D109" s="24">
        <f t="shared" si="60"/>
        <v>0</v>
      </c>
      <c r="H109" s="24">
        <f t="shared" si="61"/>
        <v>0.60606060606060608</v>
      </c>
      <c r="I109" s="22">
        <f t="shared" si="62"/>
        <v>0</v>
      </c>
      <c r="J109" s="24">
        <f t="shared" si="63"/>
        <v>0</v>
      </c>
      <c r="K109" s="22">
        <f t="shared" si="64"/>
        <v>0</v>
      </c>
      <c r="L109" s="22">
        <f t="shared" si="65"/>
        <v>0</v>
      </c>
      <c r="M109" s="226">
        <f t="shared" si="66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9"/>
        <v/>
      </c>
      <c r="B110" s="75">
        <f t="shared" si="52"/>
        <v>0</v>
      </c>
      <c r="C110" s="75">
        <f t="shared" si="52"/>
        <v>0</v>
      </c>
      <c r="D110" s="24">
        <f t="shared" si="60"/>
        <v>0</v>
      </c>
      <c r="H110" s="24">
        <f t="shared" si="61"/>
        <v>0.60606060606060608</v>
      </c>
      <c r="I110" s="22">
        <f t="shared" si="62"/>
        <v>0</v>
      </c>
      <c r="J110" s="24">
        <f t="shared" si="63"/>
        <v>0</v>
      </c>
      <c r="K110" s="22">
        <f t="shared" si="64"/>
        <v>0</v>
      </c>
      <c r="L110" s="22">
        <f t="shared" si="65"/>
        <v>0</v>
      </c>
      <c r="M110" s="226">
        <f t="shared" si="66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9"/>
        <v/>
      </c>
      <c r="B111" s="75">
        <f t="shared" si="52"/>
        <v>0</v>
      </c>
      <c r="C111" s="75">
        <f t="shared" si="52"/>
        <v>0</v>
      </c>
      <c r="D111" s="24">
        <f t="shared" si="60"/>
        <v>0</v>
      </c>
      <c r="H111" s="24">
        <f t="shared" si="61"/>
        <v>0.60606060606060608</v>
      </c>
      <c r="I111" s="22">
        <f t="shared" si="62"/>
        <v>0</v>
      </c>
      <c r="J111" s="24">
        <f t="shared" si="63"/>
        <v>0</v>
      </c>
      <c r="K111" s="22">
        <f t="shared" si="64"/>
        <v>0</v>
      </c>
      <c r="L111" s="22">
        <f t="shared" si="65"/>
        <v>0</v>
      </c>
      <c r="M111" s="226">
        <f t="shared" si="66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9"/>
        <v/>
      </c>
      <c r="B112" s="75">
        <f t="shared" si="52"/>
        <v>0</v>
      </c>
      <c r="C112" s="75">
        <f t="shared" si="52"/>
        <v>0</v>
      </c>
      <c r="D112" s="24">
        <f t="shared" si="60"/>
        <v>0</v>
      </c>
      <c r="H112" s="24">
        <f t="shared" si="61"/>
        <v>0.60606060606060608</v>
      </c>
      <c r="I112" s="22">
        <f t="shared" si="62"/>
        <v>0</v>
      </c>
      <c r="J112" s="24">
        <f t="shared" si="63"/>
        <v>0</v>
      </c>
      <c r="K112" s="22">
        <f t="shared" si="64"/>
        <v>0</v>
      </c>
      <c r="L112" s="22">
        <f t="shared" si="65"/>
        <v>0</v>
      </c>
      <c r="M112" s="226">
        <f t="shared" si="66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9"/>
        <v/>
      </c>
      <c r="B113" s="75">
        <f t="shared" si="52"/>
        <v>0</v>
      </c>
      <c r="C113" s="75">
        <f t="shared" si="52"/>
        <v>0</v>
      </c>
      <c r="D113" s="24">
        <f t="shared" si="60"/>
        <v>0</v>
      </c>
      <c r="H113" s="24">
        <f t="shared" si="61"/>
        <v>0.60606060606060608</v>
      </c>
      <c r="I113" s="22">
        <f t="shared" si="62"/>
        <v>0</v>
      </c>
      <c r="J113" s="24">
        <f t="shared" si="63"/>
        <v>0</v>
      </c>
      <c r="K113" s="22">
        <f t="shared" si="64"/>
        <v>0</v>
      </c>
      <c r="L113" s="22">
        <f t="shared" si="65"/>
        <v>0</v>
      </c>
      <c r="M113" s="226">
        <f t="shared" si="66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9"/>
        <v/>
      </c>
      <c r="B114" s="75">
        <f t="shared" si="52"/>
        <v>0</v>
      </c>
      <c r="C114" s="75">
        <f t="shared" si="52"/>
        <v>0</v>
      </c>
      <c r="D114" s="24">
        <f t="shared" si="60"/>
        <v>0</v>
      </c>
      <c r="H114" s="24">
        <f t="shared" si="61"/>
        <v>0.60606060606060608</v>
      </c>
      <c r="I114" s="22">
        <f t="shared" si="62"/>
        <v>0</v>
      </c>
      <c r="J114" s="24">
        <f t="shared" si="63"/>
        <v>0</v>
      </c>
      <c r="K114" s="22">
        <f t="shared" si="64"/>
        <v>0</v>
      </c>
      <c r="L114" s="22">
        <f t="shared" si="65"/>
        <v>0</v>
      </c>
      <c r="M114" s="226">
        <f t="shared" si="66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9"/>
        <v/>
      </c>
      <c r="B115" s="75">
        <f t="shared" si="52"/>
        <v>0</v>
      </c>
      <c r="C115" s="75">
        <f t="shared" si="52"/>
        <v>0</v>
      </c>
      <c r="D115" s="24">
        <f t="shared" si="60"/>
        <v>0</v>
      </c>
      <c r="H115" s="24">
        <f t="shared" si="61"/>
        <v>0.60606060606060608</v>
      </c>
      <c r="I115" s="22">
        <f t="shared" si="62"/>
        <v>0</v>
      </c>
      <c r="J115" s="24">
        <f t="shared" si="63"/>
        <v>0</v>
      </c>
      <c r="K115" s="22">
        <f t="shared" si="64"/>
        <v>0</v>
      </c>
      <c r="L115" s="22">
        <f t="shared" si="65"/>
        <v>0</v>
      </c>
      <c r="M115" s="226">
        <f t="shared" si="66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9"/>
        <v/>
      </c>
      <c r="B116" s="75">
        <f t="shared" si="52"/>
        <v>0</v>
      </c>
      <c r="C116" s="75">
        <f t="shared" si="52"/>
        <v>0</v>
      </c>
      <c r="D116" s="24">
        <f t="shared" si="60"/>
        <v>0</v>
      </c>
      <c r="H116" s="24">
        <f t="shared" si="61"/>
        <v>0.60606060606060608</v>
      </c>
      <c r="I116" s="22">
        <f t="shared" si="62"/>
        <v>0</v>
      </c>
      <c r="J116" s="24">
        <f t="shared" si="63"/>
        <v>0</v>
      </c>
      <c r="K116" s="22">
        <f t="shared" si="64"/>
        <v>0</v>
      </c>
      <c r="L116" s="22">
        <f t="shared" si="65"/>
        <v>0</v>
      </c>
      <c r="M116" s="226">
        <f t="shared" si="66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9"/>
        <v/>
      </c>
      <c r="B117" s="75">
        <f t="shared" si="52"/>
        <v>0</v>
      </c>
      <c r="C117" s="75">
        <f t="shared" si="52"/>
        <v>0</v>
      </c>
      <c r="D117" s="24">
        <f t="shared" si="60"/>
        <v>0</v>
      </c>
      <c r="H117" s="24">
        <f t="shared" si="61"/>
        <v>0.60606060606060608</v>
      </c>
      <c r="I117" s="22">
        <f t="shared" si="62"/>
        <v>0</v>
      </c>
      <c r="J117" s="24">
        <f t="shared" si="63"/>
        <v>0</v>
      </c>
      <c r="K117" s="22">
        <f t="shared" si="64"/>
        <v>0</v>
      </c>
      <c r="L117" s="22">
        <f t="shared" si="65"/>
        <v>0</v>
      </c>
      <c r="M117" s="226">
        <f t="shared" si="66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9"/>
        <v/>
      </c>
      <c r="B118" s="75">
        <f t="shared" si="52"/>
        <v>0</v>
      </c>
      <c r="C118" s="75">
        <f t="shared" si="52"/>
        <v>0</v>
      </c>
      <c r="D118" s="24">
        <f t="shared" si="60"/>
        <v>0</v>
      </c>
      <c r="H118" s="24">
        <f t="shared" si="61"/>
        <v>0.60606060606060608</v>
      </c>
      <c r="I118" s="22">
        <f t="shared" si="62"/>
        <v>0</v>
      </c>
      <c r="J118" s="24">
        <f t="shared" si="63"/>
        <v>0</v>
      </c>
      <c r="K118" s="22">
        <f t="shared" si="64"/>
        <v>0</v>
      </c>
      <c r="L118" s="22">
        <f t="shared" si="65"/>
        <v>0</v>
      </c>
      <c r="M118" s="226">
        <f t="shared" si="66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1.6553016052991691</v>
      </c>
      <c r="J119" s="24">
        <f>SUM(J91:J118)</f>
        <v>1.6553016052991691</v>
      </c>
      <c r="K119" s="22">
        <f>SUM(K91:K118)</f>
        <v>2.7034942342398596</v>
      </c>
      <c r="L119" s="22">
        <f>SUM(L91:L118)</f>
        <v>1.6553016052991691</v>
      </c>
      <c r="M119" s="57">
        <f t="shared" si="50"/>
        <v>1.6553016052991691</v>
      </c>
      <c r="N119" s="221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7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7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67"/>
        <v>1.076613872561458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0.57868773273771112</v>
      </c>
      <c r="J125" s="235">
        <f>IF(SUMPRODUCT($B$124:$B125,$H$124:$H125)&lt;J$119,($B125*$H125),IF(SUMPRODUCT($B$124:$B124,$H$124:$H124)&lt;J$119,J$119-SUMPRODUCT($B$124:$B124,$H$124:$H124),0))</f>
        <v>0.57868773273771112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0.57868773273771112</v>
      </c>
      <c r="M125" s="238">
        <f t="shared" si="67"/>
        <v>0.57868773273771112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8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8">
        <f t="shared" si="67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8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67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0.57868773273771112</v>
      </c>
      <c r="J128" s="226">
        <f>(J30)</f>
        <v>0.57868773273771112</v>
      </c>
      <c r="K128" s="29">
        <f>(B128)</f>
        <v>0.68939859227895406</v>
      </c>
      <c r="L128" s="29">
        <f>IF(L124=L119,0,(L119-L124)/(B119-B124)*K128)</f>
        <v>0.27808361502433498</v>
      </c>
      <c r="M128" s="238">
        <f t="shared" si="67"/>
        <v>0.57868773273771112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67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1.6553016052991691</v>
      </c>
      <c r="J130" s="226">
        <f>(J119)</f>
        <v>1.6553016052991691</v>
      </c>
      <c r="K130" s="29">
        <f>(B130)</f>
        <v>2.7034942342398596</v>
      </c>
      <c r="L130" s="29">
        <f>(L119)</f>
        <v>1.6553016052991691</v>
      </c>
      <c r="M130" s="238">
        <f t="shared" si="67"/>
        <v>1.6553016052991691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0.94648694155565805</v>
      </c>
      <c r="K131" s="29"/>
      <c r="L131" s="29">
        <f>IF(I131&lt;SUM(L126:L127),0,I131-(SUM(L126:L127)))</f>
        <v>0.94648694155565805</v>
      </c>
      <c r="M131" s="235">
        <f>IF(I131&lt;SUM(M126:M127),0,I131-(SUM(M126:M127)))</f>
        <v>0.94648694155565805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635" priority="132" operator="equal">
      <formula>16</formula>
    </cfRule>
    <cfRule type="cellIs" dxfId="634" priority="133" operator="equal">
      <formula>15</formula>
    </cfRule>
    <cfRule type="cellIs" dxfId="633" priority="134" operator="equal">
      <formula>14</formula>
    </cfRule>
    <cfRule type="cellIs" dxfId="632" priority="135" operator="equal">
      <formula>13</formula>
    </cfRule>
    <cfRule type="cellIs" dxfId="631" priority="136" operator="equal">
      <formula>12</formula>
    </cfRule>
    <cfRule type="cellIs" dxfId="630" priority="137" operator="equal">
      <formula>11</formula>
    </cfRule>
    <cfRule type="cellIs" dxfId="629" priority="138" operator="equal">
      <formula>10</formula>
    </cfRule>
    <cfRule type="cellIs" dxfId="628" priority="139" operator="equal">
      <formula>9</formula>
    </cfRule>
    <cfRule type="cellIs" dxfId="627" priority="140" operator="equal">
      <formula>8</formula>
    </cfRule>
    <cfRule type="cellIs" dxfId="626" priority="141" operator="equal">
      <formula>7</formula>
    </cfRule>
    <cfRule type="cellIs" dxfId="625" priority="142" operator="equal">
      <formula>6</formula>
    </cfRule>
    <cfRule type="cellIs" dxfId="624" priority="143" operator="equal">
      <formula>5</formula>
    </cfRule>
    <cfRule type="cellIs" dxfId="623" priority="144" operator="equal">
      <formula>4</formula>
    </cfRule>
    <cfRule type="cellIs" dxfId="622" priority="145" operator="equal">
      <formula>3</formula>
    </cfRule>
    <cfRule type="cellIs" dxfId="621" priority="146" operator="equal">
      <formula>2</formula>
    </cfRule>
    <cfRule type="cellIs" dxfId="620" priority="147" operator="equal">
      <formula>1</formula>
    </cfRule>
  </conditionalFormatting>
  <conditionalFormatting sqref="N29">
    <cfRule type="cellIs" dxfId="619" priority="116" operator="equal">
      <formula>16</formula>
    </cfRule>
    <cfRule type="cellIs" dxfId="618" priority="117" operator="equal">
      <formula>15</formula>
    </cfRule>
    <cfRule type="cellIs" dxfId="617" priority="118" operator="equal">
      <formula>14</formula>
    </cfRule>
    <cfRule type="cellIs" dxfId="616" priority="119" operator="equal">
      <formula>13</formula>
    </cfRule>
    <cfRule type="cellIs" dxfId="615" priority="120" operator="equal">
      <formula>12</formula>
    </cfRule>
    <cfRule type="cellIs" dxfId="614" priority="121" operator="equal">
      <formula>11</formula>
    </cfRule>
    <cfRule type="cellIs" dxfId="613" priority="122" operator="equal">
      <formula>10</formula>
    </cfRule>
    <cfRule type="cellIs" dxfId="612" priority="123" operator="equal">
      <formula>9</formula>
    </cfRule>
    <cfRule type="cellIs" dxfId="611" priority="124" operator="equal">
      <formula>8</formula>
    </cfRule>
    <cfRule type="cellIs" dxfId="610" priority="125" operator="equal">
      <formula>7</formula>
    </cfRule>
    <cfRule type="cellIs" dxfId="609" priority="126" operator="equal">
      <formula>6</formula>
    </cfRule>
    <cfRule type="cellIs" dxfId="608" priority="127" operator="equal">
      <formula>5</formula>
    </cfRule>
    <cfRule type="cellIs" dxfId="607" priority="128" operator="equal">
      <formula>4</formula>
    </cfRule>
    <cfRule type="cellIs" dxfId="606" priority="129" operator="equal">
      <formula>3</formula>
    </cfRule>
    <cfRule type="cellIs" dxfId="605" priority="130" operator="equal">
      <formula>2</formula>
    </cfRule>
    <cfRule type="cellIs" dxfId="604" priority="131" operator="equal">
      <formula>1</formula>
    </cfRule>
  </conditionalFormatting>
  <conditionalFormatting sqref="N113:N119">
    <cfRule type="cellIs" dxfId="603" priority="100" operator="equal">
      <formula>16</formula>
    </cfRule>
    <cfRule type="cellIs" dxfId="602" priority="101" operator="equal">
      <formula>15</formula>
    </cfRule>
    <cfRule type="cellIs" dxfId="601" priority="102" operator="equal">
      <formula>14</formula>
    </cfRule>
    <cfRule type="cellIs" dxfId="600" priority="103" operator="equal">
      <formula>13</formula>
    </cfRule>
    <cfRule type="cellIs" dxfId="599" priority="104" operator="equal">
      <formula>12</formula>
    </cfRule>
    <cfRule type="cellIs" dxfId="598" priority="105" operator="equal">
      <formula>11</formula>
    </cfRule>
    <cfRule type="cellIs" dxfId="597" priority="106" operator="equal">
      <formula>10</formula>
    </cfRule>
    <cfRule type="cellIs" dxfId="596" priority="107" operator="equal">
      <formula>9</formula>
    </cfRule>
    <cfRule type="cellIs" dxfId="595" priority="108" operator="equal">
      <formula>8</formula>
    </cfRule>
    <cfRule type="cellIs" dxfId="594" priority="109" operator="equal">
      <formula>7</formula>
    </cfRule>
    <cfRule type="cellIs" dxfId="593" priority="110" operator="equal">
      <formula>6</formula>
    </cfRule>
    <cfRule type="cellIs" dxfId="592" priority="111" operator="equal">
      <formula>5</formula>
    </cfRule>
    <cfRule type="cellIs" dxfId="591" priority="112" operator="equal">
      <formula>4</formula>
    </cfRule>
    <cfRule type="cellIs" dxfId="590" priority="113" operator="equal">
      <formula>3</formula>
    </cfRule>
    <cfRule type="cellIs" dxfId="589" priority="114" operator="equal">
      <formula>2</formula>
    </cfRule>
    <cfRule type="cellIs" dxfId="588" priority="115" operator="equal">
      <formula>1</formula>
    </cfRule>
  </conditionalFormatting>
  <conditionalFormatting sqref="N91:N104">
    <cfRule type="cellIs" dxfId="587" priority="84" operator="equal">
      <formula>16</formula>
    </cfRule>
    <cfRule type="cellIs" dxfId="586" priority="85" operator="equal">
      <formula>15</formula>
    </cfRule>
    <cfRule type="cellIs" dxfId="585" priority="86" operator="equal">
      <formula>14</formula>
    </cfRule>
    <cfRule type="cellIs" dxfId="584" priority="87" operator="equal">
      <formula>13</formula>
    </cfRule>
    <cfRule type="cellIs" dxfId="583" priority="88" operator="equal">
      <formula>12</formula>
    </cfRule>
    <cfRule type="cellIs" dxfId="582" priority="89" operator="equal">
      <formula>11</formula>
    </cfRule>
    <cfRule type="cellIs" dxfId="581" priority="90" operator="equal">
      <formula>10</formula>
    </cfRule>
    <cfRule type="cellIs" dxfId="580" priority="91" operator="equal">
      <formula>9</formula>
    </cfRule>
    <cfRule type="cellIs" dxfId="579" priority="92" operator="equal">
      <formula>8</formula>
    </cfRule>
    <cfRule type="cellIs" dxfId="578" priority="93" operator="equal">
      <formula>7</formula>
    </cfRule>
    <cfRule type="cellIs" dxfId="577" priority="94" operator="equal">
      <formula>6</formula>
    </cfRule>
    <cfRule type="cellIs" dxfId="576" priority="95" operator="equal">
      <formula>5</formula>
    </cfRule>
    <cfRule type="cellIs" dxfId="575" priority="96" operator="equal">
      <formula>4</formula>
    </cfRule>
    <cfRule type="cellIs" dxfId="574" priority="97" operator="equal">
      <formula>3</formula>
    </cfRule>
    <cfRule type="cellIs" dxfId="573" priority="98" operator="equal">
      <formula>2</formula>
    </cfRule>
    <cfRule type="cellIs" dxfId="572" priority="99" operator="equal">
      <formula>1</formula>
    </cfRule>
  </conditionalFormatting>
  <conditionalFormatting sqref="N105:N112">
    <cfRule type="cellIs" dxfId="571" priority="68" operator="equal">
      <formula>16</formula>
    </cfRule>
    <cfRule type="cellIs" dxfId="570" priority="69" operator="equal">
      <formula>15</formula>
    </cfRule>
    <cfRule type="cellIs" dxfId="569" priority="70" operator="equal">
      <formula>14</formula>
    </cfRule>
    <cfRule type="cellIs" dxfId="568" priority="71" operator="equal">
      <formula>13</formula>
    </cfRule>
    <cfRule type="cellIs" dxfId="567" priority="72" operator="equal">
      <formula>12</formula>
    </cfRule>
    <cfRule type="cellIs" dxfId="566" priority="73" operator="equal">
      <formula>11</formula>
    </cfRule>
    <cfRule type="cellIs" dxfId="565" priority="74" operator="equal">
      <formula>10</formula>
    </cfRule>
    <cfRule type="cellIs" dxfId="564" priority="75" operator="equal">
      <formula>9</formula>
    </cfRule>
    <cfRule type="cellIs" dxfId="563" priority="76" operator="equal">
      <formula>8</formula>
    </cfRule>
    <cfRule type="cellIs" dxfId="562" priority="77" operator="equal">
      <formula>7</formula>
    </cfRule>
    <cfRule type="cellIs" dxfId="561" priority="78" operator="equal">
      <formula>6</formula>
    </cfRule>
    <cfRule type="cellIs" dxfId="560" priority="79" operator="equal">
      <formula>5</formula>
    </cfRule>
    <cfRule type="cellIs" dxfId="559" priority="80" operator="equal">
      <formula>4</formula>
    </cfRule>
    <cfRule type="cellIs" dxfId="558" priority="81" operator="equal">
      <formula>3</formula>
    </cfRule>
    <cfRule type="cellIs" dxfId="557" priority="82" operator="equal">
      <formula>2</formula>
    </cfRule>
    <cfRule type="cellIs" dxfId="556" priority="83" operator="equal">
      <formula>1</formula>
    </cfRule>
  </conditionalFormatting>
  <conditionalFormatting sqref="N27:N28">
    <cfRule type="cellIs" dxfId="555" priority="52" operator="equal">
      <formula>16</formula>
    </cfRule>
    <cfRule type="cellIs" dxfId="554" priority="53" operator="equal">
      <formula>15</formula>
    </cfRule>
    <cfRule type="cellIs" dxfId="553" priority="54" operator="equal">
      <formula>14</formula>
    </cfRule>
    <cfRule type="cellIs" dxfId="552" priority="55" operator="equal">
      <formula>13</formula>
    </cfRule>
    <cfRule type="cellIs" dxfId="551" priority="56" operator="equal">
      <formula>12</formula>
    </cfRule>
    <cfRule type="cellIs" dxfId="550" priority="57" operator="equal">
      <formula>11</formula>
    </cfRule>
    <cfRule type="cellIs" dxfId="549" priority="58" operator="equal">
      <formula>10</formula>
    </cfRule>
    <cfRule type="cellIs" dxfId="548" priority="59" operator="equal">
      <formula>9</formula>
    </cfRule>
    <cfRule type="cellIs" dxfId="547" priority="60" operator="equal">
      <formula>8</formula>
    </cfRule>
    <cfRule type="cellIs" dxfId="546" priority="61" operator="equal">
      <formula>7</formula>
    </cfRule>
    <cfRule type="cellIs" dxfId="545" priority="62" operator="equal">
      <formula>6</formula>
    </cfRule>
    <cfRule type="cellIs" dxfId="544" priority="63" operator="equal">
      <formula>5</formula>
    </cfRule>
    <cfRule type="cellIs" dxfId="543" priority="64" operator="equal">
      <formula>4</formula>
    </cfRule>
    <cfRule type="cellIs" dxfId="542" priority="65" operator="equal">
      <formula>3</formula>
    </cfRule>
    <cfRule type="cellIs" dxfId="541" priority="66" operator="equal">
      <formula>2</formula>
    </cfRule>
    <cfRule type="cellIs" dxfId="540" priority="67" operator="equal">
      <formula>1</formula>
    </cfRule>
  </conditionalFormatting>
  <conditionalFormatting sqref="N6:N26">
    <cfRule type="cellIs" dxfId="539" priority="36" operator="equal">
      <formula>16</formula>
    </cfRule>
    <cfRule type="cellIs" dxfId="538" priority="37" operator="equal">
      <formula>15</formula>
    </cfRule>
    <cfRule type="cellIs" dxfId="537" priority="38" operator="equal">
      <formula>14</formula>
    </cfRule>
    <cfRule type="cellIs" dxfId="536" priority="39" operator="equal">
      <formula>13</formula>
    </cfRule>
    <cfRule type="cellIs" dxfId="535" priority="40" operator="equal">
      <formula>12</formula>
    </cfRule>
    <cfRule type="cellIs" dxfId="534" priority="41" operator="equal">
      <formula>11</formula>
    </cfRule>
    <cfRule type="cellIs" dxfId="533" priority="42" operator="equal">
      <formula>10</formula>
    </cfRule>
    <cfRule type="cellIs" dxfId="532" priority="43" operator="equal">
      <formula>9</formula>
    </cfRule>
    <cfRule type="cellIs" dxfId="531" priority="44" operator="equal">
      <formula>8</formula>
    </cfRule>
    <cfRule type="cellIs" dxfId="530" priority="45" operator="equal">
      <formula>7</formula>
    </cfRule>
    <cfRule type="cellIs" dxfId="529" priority="46" operator="equal">
      <formula>6</formula>
    </cfRule>
    <cfRule type="cellIs" dxfId="528" priority="47" operator="equal">
      <formula>5</formula>
    </cfRule>
    <cfRule type="cellIs" dxfId="527" priority="48" operator="equal">
      <formula>4</formula>
    </cfRule>
    <cfRule type="cellIs" dxfId="526" priority="49" operator="equal">
      <formula>3</formula>
    </cfRule>
    <cfRule type="cellIs" dxfId="525" priority="50" operator="equal">
      <formula>2</formula>
    </cfRule>
    <cfRule type="cellIs" dxfId="524" priority="51" operator="equal">
      <formula>1</formula>
    </cfRule>
  </conditionalFormatting>
  <conditionalFormatting sqref="R31:T31">
    <cfRule type="cellIs" dxfId="523" priority="35" operator="greaterThan">
      <formula>0</formula>
    </cfRule>
  </conditionalFormatting>
  <conditionalFormatting sqref="R32:T32">
    <cfRule type="cellIs" dxfId="522" priority="34" operator="greaterThan">
      <formula>0</formula>
    </cfRule>
  </conditionalFormatting>
  <conditionalFormatting sqref="R30:T30">
    <cfRule type="cellIs" dxfId="521" priority="33" operator="greaterThan">
      <formula>0</formula>
    </cfRule>
  </conditionalFormatting>
  <conditionalFormatting sqref="N37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38:N52">
    <cfRule type="cellIs" dxfId="95" priority="1" operator="equal">
      <formula>16</formula>
    </cfRule>
    <cfRule type="cellIs" dxfId="94" priority="2" operator="equal">
      <formula>15</formula>
    </cfRule>
    <cfRule type="cellIs" dxfId="93" priority="3" operator="equal">
      <formula>14</formula>
    </cfRule>
    <cfRule type="cellIs" dxfId="92" priority="4" operator="equal">
      <formula>13</formula>
    </cfRule>
    <cfRule type="cellIs" dxfId="91" priority="5" operator="equal">
      <formula>12</formula>
    </cfRule>
    <cfRule type="cellIs" dxfId="90" priority="6" operator="equal">
      <formula>11</formula>
    </cfRule>
    <cfRule type="cellIs" dxfId="89" priority="7" operator="equal">
      <formula>10</formula>
    </cfRule>
    <cfRule type="cellIs" dxfId="88" priority="8" operator="equal">
      <formula>9</formula>
    </cfRule>
    <cfRule type="cellIs" dxfId="87" priority="9" operator="equal">
      <formula>8</formula>
    </cfRule>
    <cfRule type="cellIs" dxfId="86" priority="10" operator="equal">
      <formula>7</formula>
    </cfRule>
    <cfRule type="cellIs" dxfId="85" priority="11" operator="equal">
      <formula>6</formula>
    </cfRule>
    <cfRule type="cellIs" dxfId="84" priority="12" operator="equal">
      <formula>5</formula>
    </cfRule>
    <cfRule type="cellIs" dxfId="83" priority="13" operator="equal">
      <formula>4</formula>
    </cfRule>
    <cfRule type="cellIs" dxfId="82" priority="14" operator="equal">
      <formula>3</formula>
    </cfRule>
    <cfRule type="cellIs" dxfId="81" priority="15" operator="equal">
      <formula>2</formula>
    </cfRule>
    <cfRule type="cellIs" dxfId="8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zoomScale="150" zoomScaleNormal="150" zoomScalePageLayoutView="150" workbookViewId="0">
      <pane xSplit="1" ySplit="2" topLeftCell="P45" activePane="bottomRight" state="frozen"/>
      <selection pane="topRight" activeCell="B1" sqref="B1"/>
      <selection pane="bottomLeft" activeCell="A3" sqref="A3"/>
      <selection pane="bottomRight" activeCell="T53" sqref="T53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1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6" t="s">
        <v>105</v>
      </c>
      <c r="AA1" s="257"/>
      <c r="AB1" s="256" t="s">
        <v>106</v>
      </c>
      <c r="AC1" s="257"/>
      <c r="AD1" s="256" t="s">
        <v>107</v>
      </c>
      <c r="AE1" s="257"/>
      <c r="AF1" s="256" t="s">
        <v>108</v>
      </c>
      <c r="AG1" s="257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4" t="s">
        <v>109</v>
      </c>
      <c r="AA2" s="258"/>
      <c r="AB2" s="254" t="s">
        <v>110</v>
      </c>
      <c r="AC2" s="258"/>
      <c r="AD2" s="254" t="s">
        <v>111</v>
      </c>
      <c r="AE2" s="258"/>
      <c r="AF2" s="254" t="s">
        <v>112</v>
      </c>
      <c r="AG2" s="258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2">
        <f t="shared" ref="M6:M31" si="6">J6</f>
        <v>4.6933374844333742E-3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2">
        <f t="shared" si="6"/>
        <v>4.9988723536737237E-3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4042.401206537601</v>
      </c>
      <c r="S7" s="220">
        <f>IF($B$81=0,0,(SUMIF($N$6:$N$28,$U7,L$6:L$28)+SUMIF($N$91:$N$118,$U7,L$91:L$118))*$I$83*Poor!$B$81/$B$81)</f>
        <v>1266.8966064428832</v>
      </c>
      <c r="T7" s="220">
        <f>IF($B$81=0,0,(SUMIF($N$6:$N$28,$U7,M$6:M$28)+SUMIF($N$91:$N$118,$U7,M$91:M$118))*$I$83*Poor!$B$81/$B$81)</f>
        <v>1305.9185369471618</v>
      </c>
      <c r="U7" s="221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2">
        <f t="shared" si="6"/>
        <v>5.7844513356164376E-2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2481.4068502938544</v>
      </c>
      <c r="S8" s="220">
        <f>IF($B$81=0,0,(SUMIF($N$6:$N$28,$U8,L$6:L$28)+SUMIF($N$91:$N$118,$U8,L$91:L$118))*$I$83*Poor!$B$81/$B$81)</f>
        <v>464.79999999999984</v>
      </c>
      <c r="T8" s="220">
        <f>IF($B$81=0,0,(SUMIF($N$6:$N$28,$U8,M$6:M$28)+SUMIF($N$91:$N$118,$U8,M$91:M$118))*$I$83*Poor!$B$81/$B$81)</f>
        <v>444.24851808903816</v>
      </c>
      <c r="U8" s="221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2">
        <f t="shared" si="6"/>
        <v>5.5235258405977586E-3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852.70031370716697</v>
      </c>
      <c r="S9" s="220">
        <f>IF($B$81=0,0,(SUMIF($N$6:$N$28,$U9,L$6:L$28)+SUMIF($N$91:$N$118,$U9,L$91:L$118))*$I$83*Poor!$B$81/$B$81)</f>
        <v>188.24371013301172</v>
      </c>
      <c r="T9" s="220">
        <f>IF($B$81=0,0,(SUMIF($N$6:$N$28,$U9,M$6:M$28)+SUMIF($N$91:$N$118,$U9,M$91:M$118))*$I$83*Poor!$B$81/$B$81)</f>
        <v>188.24371013301172</v>
      </c>
      <c r="U9" s="221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3.8705234230576252E-3</v>
      </c>
      <c r="K10" s="22">
        <f t="shared" si="4"/>
        <v>9.3068966376089659E-3</v>
      </c>
      <c r="L10" s="22">
        <f t="shared" si="5"/>
        <v>1.8613793275217934E-3</v>
      </c>
      <c r="M10" s="222">
        <f t="shared" si="6"/>
        <v>3.8705234230576252E-3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24">
        <v>1</v>
      </c>
      <c r="Y10" s="183">
        <f t="shared" si="9"/>
        <v>1.5482093692230501E-2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1.5482093692230501E-2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3.8705234230576252E-3</v>
      </c>
      <c r="AJ10" s="120">
        <f t="shared" si="14"/>
        <v>7.7410468461152505E-3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14574.528186966918</v>
      </c>
      <c r="S11" s="220">
        <f>IF($B$81=0,0,(SUMIF($N$6:$N$28,$U11,L$6:L$28)+SUMIF($N$91:$N$118,$U11,L$91:L$118))*$I$83*Poor!$B$81/$B$81)</f>
        <v>5752.5</v>
      </c>
      <c r="T11" s="220">
        <f>IF($B$81=0,0,(SUMIF($N$6:$N$28,$U11,M$6:M$28)+SUMIF($N$91:$N$118,$U11,M$91:M$118))*$I$83*Poor!$B$81/$B$81)</f>
        <v>5075.8608076190048</v>
      </c>
      <c r="U11" s="221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7414.3240828057342</v>
      </c>
      <c r="S13" s="220">
        <f>IF($B$81=0,0,(SUMIF($N$6:$N$28,$U13,L$6:L$28)+SUMIF($N$91:$N$118,$U13,L$91:L$118))*$I$83*Poor!$B$81/$B$81)</f>
        <v>2752.8000000000006</v>
      </c>
      <c r="T13" s="220">
        <f>IF($B$81=0,0,(SUMIF($N$6:$N$28,$U13,M$6:M$28)+SUMIF($N$91:$N$118,$U13,M$91:M$118))*$I$83*Poor!$B$81/$B$81)</f>
        <v>2752.8000000000006</v>
      </c>
      <c r="U13" s="221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127</v>
      </c>
      <c r="R15" s="220">
        <f>IF($B$81=0,0,(SUMIF($N$6:$N$28,$U15,K$6:K$28)+SUMIF($N$91:$N$118,$U15,K$91:K$118))*$B$83*$H$84*Poor!$B$81/$B$81)</f>
        <v>22296.785890953695</v>
      </c>
      <c r="S15" s="220">
        <f>IF($B$81=0,0,(SUMIF($N$6:$N$28,$U15,L$6:L$28)+SUMIF($N$91:$N$118,$U15,L$91:L$118))*$I$83*Poor!$B$81/$B$81)</f>
        <v>17600.879999999997</v>
      </c>
      <c r="T15" s="220">
        <f>IF($B$81=0,0,(SUMIF($N$6:$N$28,$U15,M$6:M$28)+SUMIF($N$91:$N$118,$U15,M$91:M$118))*$I$83*Poor!$B$81/$B$81)</f>
        <v>17600.879999999997</v>
      </c>
      <c r="U15" s="221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0</v>
      </c>
      <c r="S17" s="220">
        <f>IF($B$81=0,0,(SUMIF($N$6:$N$28,$U17,L$6:L$28)+SUMIF($N$91:$N$118,$U17,L$91:L$118))*$I$83*Poor!$B$81/$B$81)</f>
        <v>0</v>
      </c>
      <c r="T17" s="220">
        <f>IF($B$81=0,0,(SUMIF($N$6:$N$28,$U17,M$6:M$28)+SUMIF($N$91:$N$118,$U17,M$91:M$118))*$I$83*Poor!$B$81/$B$81)</f>
        <v>0</v>
      </c>
      <c r="U17" s="221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3">
        <f t="shared" ref="M18:M20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2094.7120172507839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32916.011351488363</v>
      </c>
      <c r="S20" s="220">
        <f>IF($B$81=0,0,(SUMIF($N$6:$N$28,$U20,L$6:L$28)+SUMIF($N$91:$N$118,$U20,L$91:L$118))*$I$83*Poor!$B$81/$B$81)</f>
        <v>25983.599999999999</v>
      </c>
      <c r="T20" s="220">
        <f>IF($B$81=0,0,(SUMIF($N$6:$N$28,$U20,M$6:M$28)+SUMIF($N$91:$N$118,$U20,M$91:M$118))*$I$83*Poor!$B$81/$B$81)</f>
        <v>25983.599999999999</v>
      </c>
      <c r="U20" s="221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3">
        <f t="shared" ref="M21:M25" si="39">J21</f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0</v>
      </c>
      <c r="S21" s="220">
        <f>IF($B$81=0,0,(SUMIF($N$6:$N$28,$U21,L$6:L$28)+SUMIF($N$91:$N$118,$U21,L$91:L$118))*$I$83*Poor!$B$81/$B$81)</f>
        <v>0</v>
      </c>
      <c r="T21" s="220">
        <f>IF($B$81=0,0,(SUMIF($N$6:$N$28,$U21,M$6:M$28)+SUMIF($N$91:$N$118,$U21,M$91:M$118))*$I$83*Poor!$B$81/$B$81)</f>
        <v>0</v>
      </c>
      <c r="U21" s="221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3">
        <f t="shared" si="39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3">
        <f t="shared" si="39"/>
        <v>0</v>
      </c>
      <c r="N23" s="227"/>
      <c r="O23" s="2"/>
      <c r="P23" s="22"/>
      <c r="Q23" s="171" t="s">
        <v>100</v>
      </c>
      <c r="R23" s="179">
        <f>SUM(R7:R22)</f>
        <v>86672.869900004123</v>
      </c>
      <c r="S23" s="179">
        <f>SUM(S7:S22)</f>
        <v>56321.882957124122</v>
      </c>
      <c r="T23" s="179">
        <f>SUM(T7:T22)</f>
        <v>55663.71421333644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3">
        <f t="shared" si="39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3">
        <f t="shared" si="39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6.5772789235314993E-3</v>
      </c>
      <c r="K27" s="22">
        <f t="shared" si="4"/>
        <v>1.2151756849315068E-2</v>
      </c>
      <c r="L27" s="22">
        <f t="shared" si="5"/>
        <v>1.2151756849315068E-2</v>
      </c>
      <c r="M27" s="224">
        <f t="shared" si="6"/>
        <v>6.5772789235314993E-3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2.6309115694125997E-2</v>
      </c>
      <c r="Z27" s="116">
        <v>0.25</v>
      </c>
      <c r="AA27" s="121">
        <f t="shared" si="16"/>
        <v>6.5772789235314993E-3</v>
      </c>
      <c r="AB27" s="116">
        <v>0.25</v>
      </c>
      <c r="AC27" s="121">
        <f t="shared" si="7"/>
        <v>6.5772789235314993E-3</v>
      </c>
      <c r="AD27" s="116">
        <v>0.25</v>
      </c>
      <c r="AE27" s="121">
        <f t="shared" si="8"/>
        <v>6.5772789235314993E-3</v>
      </c>
      <c r="AF27" s="122">
        <f t="shared" si="10"/>
        <v>0.25</v>
      </c>
      <c r="AG27" s="121">
        <f t="shared" si="11"/>
        <v>6.5772789235314993E-3</v>
      </c>
      <c r="AH27" s="123">
        <f t="shared" si="12"/>
        <v>1</v>
      </c>
      <c r="AI27" s="183">
        <f t="shared" si="13"/>
        <v>6.5772789235314993E-3</v>
      </c>
      <c r="AJ27" s="120">
        <f t="shared" si="14"/>
        <v>6.5772789235314993E-3</v>
      </c>
      <c r="AK27" s="119">
        <f t="shared" si="15"/>
        <v>6.5772789235314993E-3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0.20929400724568742</v>
      </c>
      <c r="K29" s="22">
        <f t="shared" si="4"/>
        <v>0.19629046653175591</v>
      </c>
      <c r="L29" s="22">
        <f t="shared" si="5"/>
        <v>0.19629046653175591</v>
      </c>
      <c r="M29" s="222">
        <f t="shared" si="6"/>
        <v>0.20929400724568742</v>
      </c>
      <c r="N29" s="227"/>
      <c r="P29" s="22"/>
      <c r="V29" s="56"/>
      <c r="W29" s="110"/>
      <c r="X29" s="118"/>
      <c r="Y29" s="183">
        <f t="shared" si="9"/>
        <v>0.83717602898274968</v>
      </c>
      <c r="Z29" s="116">
        <v>0.25</v>
      </c>
      <c r="AA29" s="121">
        <f t="shared" si="16"/>
        <v>0.20929400724568742</v>
      </c>
      <c r="AB29" s="116">
        <v>0.25</v>
      </c>
      <c r="AC29" s="121">
        <f t="shared" si="7"/>
        <v>0.20929400724568742</v>
      </c>
      <c r="AD29" s="116">
        <v>0.25</v>
      </c>
      <c r="AE29" s="121">
        <f t="shared" si="8"/>
        <v>0.20929400724568742</v>
      </c>
      <c r="AF29" s="122">
        <f t="shared" si="10"/>
        <v>0.25</v>
      </c>
      <c r="AG29" s="121">
        <f t="shared" si="11"/>
        <v>0.20929400724568742</v>
      </c>
      <c r="AH29" s="123">
        <f t="shared" si="12"/>
        <v>1</v>
      </c>
      <c r="AI29" s="183">
        <f t="shared" si="13"/>
        <v>0.20929400724568742</v>
      </c>
      <c r="AJ29" s="120">
        <f t="shared" si="14"/>
        <v>0.20929400724568742</v>
      </c>
      <c r="AK29" s="119">
        <f t="shared" si="15"/>
        <v>0.20929400724568742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1.5510425652133939</v>
      </c>
      <c r="J30" s="229">
        <f>IF(I$32&lt;=1,I30,1-SUM(J6:J29))</f>
        <v>0.58815032232523512</v>
      </c>
      <c r="K30" s="22">
        <f t="shared" si="4"/>
        <v>0.58958408107098381</v>
      </c>
      <c r="L30" s="22">
        <f>IF(L124=L119,0,IF(K30="",0,(L119-L124)/(B119-B124)*K30))</f>
        <v>0.29468981685480711</v>
      </c>
      <c r="M30" s="175">
        <f t="shared" si="6"/>
        <v>0.58815032232523512</v>
      </c>
      <c r="N30" s="166" t="s">
        <v>86</v>
      </c>
      <c r="O30" s="2"/>
      <c r="P30" s="22"/>
      <c r="Q30" s="232" t="s">
        <v>141</v>
      </c>
      <c r="R30" s="232">
        <f t="shared" ref="R30:T32" si="50">IF(R24&gt;R$23,R24-R$23,0)</f>
        <v>0</v>
      </c>
      <c r="S30" s="232">
        <f t="shared" si="50"/>
        <v>0</v>
      </c>
      <c r="T30" s="232">
        <f t="shared" si="50"/>
        <v>0</v>
      </c>
      <c r="V30" s="56"/>
      <c r="W30" s="110"/>
      <c r="X30" s="118"/>
      <c r="Y30" s="183">
        <f>M30*4</f>
        <v>2.3526012893009405</v>
      </c>
      <c r="Z30" s="122">
        <f>IF($Y30=0,0,AA30/($Y$30))</f>
        <v>0.16702166091697856</v>
      </c>
      <c r="AA30" s="187">
        <f>IF(AA79*4/$I$83+SUM(AA6:AA29)&lt;1,AA79*4/$I$83,1-SUM(AA6:AA29))</f>
        <v>0.39293537481446827</v>
      </c>
      <c r="AB30" s="122">
        <f>IF($Y30=0,0,AC30/($Y$30))</f>
        <v>0.28134373142778624</v>
      </c>
      <c r="AC30" s="187">
        <f>IF(AC79*4/$I$83+SUM(AC6:AC29)&lt;1,AC79*4/$I$83,1-SUM(AC6:AC29))</f>
        <v>0.6618896252937474</v>
      </c>
      <c r="AD30" s="122">
        <f>IF($Y30=0,0,AE30/($Y$30))</f>
        <v>0.28006695919965829</v>
      </c>
      <c r="AE30" s="187">
        <f>IF(AE79*4/$I$83+SUM(AE6:AE29)&lt;1,AE79*4/$I$83,1-SUM(AE6:AE29))</f>
        <v>0.65888588930370995</v>
      </c>
      <c r="AF30" s="122">
        <f>IF($Y30=0,0,AG30/($Y$30))</f>
        <v>0.27156764845557702</v>
      </c>
      <c r="AG30" s="187">
        <f>IF(AG79*4/$I$83+SUM(AG6:AG29)&lt;1,AG79*4/$I$83,1-SUM(AG6:AG29))</f>
        <v>0.63889039988901508</v>
      </c>
      <c r="AH30" s="123">
        <f t="shared" si="12"/>
        <v>1</v>
      </c>
      <c r="AI30" s="183">
        <f t="shared" si="13"/>
        <v>0.58815032232523523</v>
      </c>
      <c r="AJ30" s="120">
        <f t="shared" si="14"/>
        <v>0.52741250005410789</v>
      </c>
      <c r="AK30" s="119">
        <f t="shared" si="15"/>
        <v>0.64888814459636257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0.30289871235411181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50"/>
        <v>0</v>
      </c>
      <c r="S31" s="232">
        <f t="shared" si="50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1.9740283026301582</v>
      </c>
      <c r="J32" s="17"/>
      <c r="L32" s="22">
        <f>SUM(L6:L30)</f>
        <v>0.69710128764588819</v>
      </c>
      <c r="M32" s="23"/>
      <c r="N32" s="56"/>
      <c r="O32" s="2"/>
      <c r="P32" s="22"/>
      <c r="Q32" s="232" t="s">
        <v>143</v>
      </c>
      <c r="R32" s="232">
        <f t="shared" si="50"/>
        <v>417.28373872459633</v>
      </c>
      <c r="S32" s="232">
        <f t="shared" si="50"/>
        <v>30768.270681604597</v>
      </c>
      <c r="T32" s="232">
        <f t="shared" si="50"/>
        <v>31426.43942539228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0.45873843551253851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1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27">
        <f>N91</f>
        <v>5</v>
      </c>
      <c r="O37" s="2"/>
      <c r="Q37" s="59" t="s">
        <v>71</v>
      </c>
      <c r="R37" s="220">
        <f>IF($B$81=0,0,(SUMIF($N$6:$N$28,$U7,K$6:K$28)*$B$83+SUMIF($N$37:$N$64,$U7,B$37:B$64))*Poor!$B$81/$B$81)</f>
        <v>2704.266735645449</v>
      </c>
      <c r="S37" s="220">
        <f>IF($B$81=0,0,(SUMIF($N$6:$N$28,$U37,L$6:L$28)+SUMIF($N$91:$N$118,$U37,L$91:L$118))*$I$83*Poor!$B$81/$B$81)</f>
        <v>0</v>
      </c>
      <c r="T37" s="220">
        <f>IF($B$81=0,0,(SUMIF($N$6:$N$28,$U7,M$6:M$28)+SUMIF($N$91:$N$118,$U7,M$91:M$118))*$I$83*Poor!$B$81/$B$81)</f>
        <v>1305.9185369471618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0.24650278605480966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981.69734546327948</v>
      </c>
      <c r="AD37" s="122">
        <f>IF($J37=0,0,AE37/($J37))</f>
        <v>0.20225713523767447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805.4890410840386</v>
      </c>
      <c r="AF37" s="122">
        <f t="shared" ref="AF37:AF64" si="57">1-SUM(Z37,AB37,AD37)</f>
        <v>0.5512400787075159</v>
      </c>
      <c r="AG37" s="147">
        <f>$J37*AF37</f>
        <v>2195.3136134526821</v>
      </c>
      <c r="AH37" s="123">
        <f>SUM(Z37,AB37,AD37,AF37)</f>
        <v>1</v>
      </c>
      <c r="AI37" s="112">
        <f>SUM(AA37,AC37,AE37,AG37)</f>
        <v>3982.5</v>
      </c>
      <c r="AJ37" s="148">
        <f>(AA37+AC37)</f>
        <v>981.69734546327948</v>
      </c>
      <c r="AK37" s="147">
        <f>(AE37+AG37)</f>
        <v>3000.8026545367206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1093.3608076190058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2.051102704421652E-2</v>
      </c>
      <c r="N38" s="266">
        <f t="shared" ref="N38:N52" si="60">N92</f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1660</v>
      </c>
      <c r="S38" s="220">
        <f>IF($B$81=0,0,(SUMIF($N$6:$N$28,$U38,L$6:L$28)+SUMIF($N$91:$N$118,$U38,L$91:L$118))*$I$83*Poor!$B$81/$B$81)</f>
        <v>0</v>
      </c>
      <c r="T38" s="220">
        <f>IF($B$81=0,0,(SUMIF($N$6:$N$28,$U8,M$6:M$28)+SUMIF($N$91:$N$118,$U8,M$91:M$118))*$I$83*Poor!$B$81/$B$81)</f>
        <v>444.24851808903816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0.24650278605480966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269.51648524122169</v>
      </c>
      <c r="AD38" s="122">
        <f>IF($J38=0,0,AE38/($J38))</f>
        <v>0.2022571352376745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221.14002473017024</v>
      </c>
      <c r="AF38" s="122">
        <f t="shared" si="57"/>
        <v>0.55124007870751579</v>
      </c>
      <c r="AG38" s="147">
        <f t="shared" ref="AG38:AG64" si="61">$J38*AF38</f>
        <v>602.70429764761377</v>
      </c>
      <c r="AH38" s="123">
        <f t="shared" ref="AH38:AI58" si="62">SUM(Z38,AB38,AD38,AF38)</f>
        <v>1</v>
      </c>
      <c r="AI38" s="112">
        <f t="shared" si="62"/>
        <v>1093.3608076190058</v>
      </c>
      <c r="AJ38" s="148">
        <f t="shared" ref="AJ38:AJ64" si="63">(AA38+AC38)</f>
        <v>269.51648524122169</v>
      </c>
      <c r="AK38" s="147">
        <f t="shared" ref="AK38:AK64" si="64">(AE38+AG38)</f>
        <v>823.84432237778401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66">
        <f t="shared" si="60"/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570.43548525155074</v>
      </c>
      <c r="S39" s="220">
        <f>IF($B$81=0,0,(SUMIF($N$6:$N$28,$U39,L$6:L$28)+SUMIF($N$91:$N$118,$U39,L$91:L$118))*$I$83*Poor!$B$81/$B$81)</f>
        <v>0</v>
      </c>
      <c r="T39" s="220">
        <f>IF($B$81=0,0,(SUMIF($N$6:$N$28,$U9,M$6:M$28)+SUMIF($N$91:$N$118,$U9,M$91:M$118))*$I$83*Poor!$B$81/$B$81)</f>
        <v>188.24371013301172</v>
      </c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0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66">
        <f t="shared" si="60"/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IF($B$81=0,0,(SUMIF($N$6:$N$28,$U40,L$6:L$28)+SUMIF($N$91:$N$118,$U40,L$91:L$118))*$I$83*Poor!$B$81/$B$81)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0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66">
        <f t="shared" si="60"/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9750</v>
      </c>
      <c r="S41" s="220">
        <f>IF($B$81=0,0,(SUMIF($N$6:$N$28,$U41,L$6:L$28)+SUMIF($N$91:$N$118,$U41,L$91:L$118))*$I$83*Poor!$B$81/$B$81)</f>
        <v>0</v>
      </c>
      <c r="T41" s="220">
        <f>IF($B$81=0,0,(SUMIF($N$6:$N$28,$U11,M$6:M$28)+SUMIF($N$91:$N$118,$U11,M$91:M$118))*$I$83*Poor!$B$81/$B$81)</f>
        <v>5075.8608076190048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66">
        <f t="shared" si="60"/>
        <v>2</v>
      </c>
      <c r="O42" s="2"/>
      <c r="P42" s="56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IF($B$81=0,0,(SUMIF($N$6:$N$28,$U42,L$6:L$28)+SUMIF($N$91:$N$118,$U42,L$91:L$118))*$I$83*Poor!$B$81/$B$81)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16">
        <v>0.25</v>
      </c>
      <c r="AA42" s="147">
        <f t="shared" si="65"/>
        <v>104.99999999999997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209.99999999999994</v>
      </c>
      <c r="AF42" s="122">
        <f t="shared" si="57"/>
        <v>0.25</v>
      </c>
      <c r="AG42" s="147">
        <f t="shared" si="61"/>
        <v>104.99999999999997</v>
      </c>
      <c r="AH42" s="123">
        <f t="shared" si="62"/>
        <v>1</v>
      </c>
      <c r="AI42" s="112">
        <f t="shared" si="62"/>
        <v>419.99999999999989</v>
      </c>
      <c r="AJ42" s="148">
        <f t="shared" si="63"/>
        <v>104.99999999999997</v>
      </c>
      <c r="AK42" s="147">
        <f t="shared" si="64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24.248518089038271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4.5489284675342869E-4</v>
      </c>
      <c r="N43" s="266">
        <f t="shared" si="60"/>
        <v>2</v>
      </c>
      <c r="O43" s="2"/>
      <c r="P43" s="59"/>
      <c r="Q43" s="59" t="s">
        <v>76</v>
      </c>
      <c r="R43" s="220">
        <f>IF($B$81=0,0,(SUMIF($N$6:$N$28,$U13,K$6:K$28)*$B$83+SUMIF($N$37:$N$64,$U13,B$37:B$64))*Poor!$B$81/$B$81)</f>
        <v>4960</v>
      </c>
      <c r="S43" s="220">
        <f>IF($B$81=0,0,(SUMIF($N$6:$N$28,$U43,L$6:L$28)+SUMIF($N$91:$N$118,$U43,L$91:L$118))*$I$83*Poor!$B$81/$B$81)</f>
        <v>0</v>
      </c>
      <c r="T43" s="220">
        <f>IF($B$81=0,0,(SUMIF($N$6:$N$28,$U13,M$6:M$28)+SUMIF($N$91:$N$118,$U13,M$91:M$118))*$I$83*Poor!$B$81/$B$81)</f>
        <v>2752.8000000000006</v>
      </c>
      <c r="U43" s="56"/>
      <c r="V43" s="56"/>
      <c r="W43" s="115"/>
      <c r="X43" s="118"/>
      <c r="Y43" s="110"/>
      <c r="Z43" s="116">
        <v>0.25</v>
      </c>
      <c r="AA43" s="147">
        <f t="shared" si="65"/>
        <v>6.0621295222595677</v>
      </c>
      <c r="AB43" s="116">
        <v>0.25</v>
      </c>
      <c r="AC43" s="147">
        <f t="shared" si="66"/>
        <v>6.0621295222595677</v>
      </c>
      <c r="AD43" s="116">
        <v>0.25</v>
      </c>
      <c r="AE43" s="147">
        <f t="shared" si="67"/>
        <v>6.0621295222595677</v>
      </c>
      <c r="AF43" s="122">
        <f t="shared" si="57"/>
        <v>0.25</v>
      </c>
      <c r="AG43" s="147">
        <f t="shared" si="61"/>
        <v>6.0621295222595677</v>
      </c>
      <c r="AH43" s="123">
        <f t="shared" si="62"/>
        <v>1</v>
      </c>
      <c r="AI43" s="112">
        <f t="shared" si="62"/>
        <v>24.248518089038271</v>
      </c>
      <c r="AJ43" s="148">
        <f t="shared" si="63"/>
        <v>12.124259044519135</v>
      </c>
      <c r="AK43" s="147">
        <f t="shared" si="64"/>
        <v>12.124259044519135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66">
        <f t="shared" si="60"/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IF($B$81=0,0,(SUMIF($N$6:$N$28,$U44,L$6:L$28)+SUMIF($N$91:$N$118,$U44,L$91:L$118))*$I$83*Poor!$B$81/$B$81)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16">
        <v>0.25</v>
      </c>
      <c r="AA44" s="147">
        <f t="shared" si="65"/>
        <v>382.95000000000005</v>
      </c>
      <c r="AB44" s="116">
        <v>0.25</v>
      </c>
      <c r="AC44" s="147">
        <f t="shared" si="66"/>
        <v>382.95000000000005</v>
      </c>
      <c r="AD44" s="116">
        <v>0.25</v>
      </c>
      <c r="AE44" s="147">
        <f t="shared" si="67"/>
        <v>382.95000000000005</v>
      </c>
      <c r="AF44" s="122">
        <f t="shared" si="57"/>
        <v>0.25</v>
      </c>
      <c r="AG44" s="147">
        <f t="shared" si="61"/>
        <v>382.95000000000005</v>
      </c>
      <c r="AH44" s="123">
        <f t="shared" si="62"/>
        <v>1</v>
      </c>
      <c r="AI44" s="112">
        <f t="shared" si="62"/>
        <v>1531.8000000000002</v>
      </c>
      <c r="AJ44" s="148">
        <f t="shared" si="63"/>
        <v>765.90000000000009</v>
      </c>
      <c r="AK44" s="147">
        <f t="shared" si="64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66">
        <f t="shared" si="60"/>
        <v>7</v>
      </c>
      <c r="O45" s="2"/>
      <c r="P45" s="56"/>
      <c r="Q45" s="59" t="s">
        <v>127</v>
      </c>
      <c r="R45" s="220">
        <f>IF($B$81=0,0,(SUMIF($N$6:$N$28,$U15,K$6:K$28)*$B$83+SUMIF($N$37:$N$64,$U15,B$37:B$64))*Poor!$B$81/$B$81)</f>
        <v>14916</v>
      </c>
      <c r="S45" s="220">
        <f>IF($B$81=0,0,(SUMIF($N$6:$N$28,$U45,L$6:L$28)+SUMIF($N$91:$N$118,$U45,L$91:L$118))*$I$83*Poor!$B$81/$B$81)</f>
        <v>0</v>
      </c>
      <c r="T45" s="220">
        <f>IF($B$81=0,0,(SUMIF($N$6:$N$28,$U15,M$6:M$28)+SUMIF($N$91:$N$118,$U15,M$91:M$118))*$I$83*Poor!$B$81/$B$81)</f>
        <v>17600.879999999997</v>
      </c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66">
        <f t="shared" si="60"/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IF($B$81=0,0,(SUMIF($N$6:$N$28,$U46,L$6:L$28)+SUMIF($N$91:$N$118,$U46,L$91:L$118))*$I$83*Poor!$B$81/$B$81)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16">
        <v>0.25</v>
      </c>
      <c r="AA46" s="147">
        <f t="shared" si="65"/>
        <v>305.25</v>
      </c>
      <c r="AB46" s="116">
        <v>0.25</v>
      </c>
      <c r="AC46" s="147">
        <f t="shared" si="66"/>
        <v>305.25</v>
      </c>
      <c r="AD46" s="116">
        <v>0.25</v>
      </c>
      <c r="AE46" s="147">
        <f t="shared" si="67"/>
        <v>305.25</v>
      </c>
      <c r="AF46" s="122">
        <f t="shared" si="57"/>
        <v>0.25</v>
      </c>
      <c r="AG46" s="147">
        <f t="shared" si="61"/>
        <v>305.25</v>
      </c>
      <c r="AH46" s="123">
        <f t="shared" si="62"/>
        <v>1</v>
      </c>
      <c r="AI46" s="112">
        <f t="shared" si="62"/>
        <v>1221</v>
      </c>
      <c r="AJ46" s="148">
        <f t="shared" si="63"/>
        <v>610.5</v>
      </c>
      <c r="AK46" s="147">
        <f t="shared" si="64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66">
        <f t="shared" si="60"/>
        <v>8</v>
      </c>
      <c r="O47" s="2"/>
      <c r="P47" s="59"/>
      <c r="Q47" s="126" t="s">
        <v>125</v>
      </c>
      <c r="R47" s="220">
        <f>IF($B$81=0,0,(SUMIF($N$6:$N$28,$U17,K$6:K$28)*$B$83+SUMIF($N$37:$N$64,$U17,B$37:B$64))*Poor!$B$81/$B$81)</f>
        <v>0</v>
      </c>
      <c r="S47" s="220">
        <f>IF($B$81=0,0,(SUMIF($N$6:$N$28,$U47,L$6:L$28)+SUMIF($N$91:$N$118,$U47,L$91:L$118))*$I$83*Poor!$B$81/$B$81)</f>
        <v>0</v>
      </c>
      <c r="T47" s="220">
        <f>IF($B$81=0,0,(SUMIF($N$6:$N$28,$U17,M$6:M$28)+SUMIF($N$91:$N$118,$U17,M$91:M$118))*$I$83*Poor!$B$81/$B$81)</f>
        <v>0</v>
      </c>
      <c r="U47" s="56"/>
      <c r="V47" s="56"/>
      <c r="W47" s="110"/>
      <c r="X47" s="118"/>
      <c r="Y47" s="110"/>
      <c r="Z47" s="116">
        <v>0.25</v>
      </c>
      <c r="AA47" s="147">
        <f t="shared" si="65"/>
        <v>0</v>
      </c>
      <c r="AB47" s="116">
        <v>0.25</v>
      </c>
      <c r="AC47" s="147">
        <f t="shared" si="66"/>
        <v>0</v>
      </c>
      <c r="AD47" s="116">
        <v>0.25</v>
      </c>
      <c r="AE47" s="147">
        <f t="shared" si="67"/>
        <v>0</v>
      </c>
      <c r="AF47" s="122">
        <f t="shared" si="57"/>
        <v>0.25</v>
      </c>
      <c r="AG47" s="147">
        <f t="shared" si="61"/>
        <v>0</v>
      </c>
      <c r="AH47" s="123">
        <f t="shared" si="62"/>
        <v>1</v>
      </c>
      <c r="AI47" s="112">
        <f t="shared" si="62"/>
        <v>0</v>
      </c>
      <c r="AJ47" s="148">
        <f t="shared" si="63"/>
        <v>0</v>
      </c>
      <c r="AK47" s="147">
        <f t="shared" si="64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66">
        <f t="shared" si="60"/>
        <v>11</v>
      </c>
      <c r="O48" s="2"/>
      <c r="P48" s="59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IF($B$81=0,0,(SUMIF($N$6:$N$28,$U48,L$6:L$28)+SUMIF($N$91:$N$118,$U48,L$91:L$118))*$I$83*Poor!$B$81/$B$81)</f>
        <v>0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8">SUM(B49,C49)</f>
        <v>22020</v>
      </c>
      <c r="E49" s="26">
        <v>1</v>
      </c>
      <c r="F49" s="26">
        <v>1.18</v>
      </c>
      <c r="G49" s="22">
        <f t="shared" si="59"/>
        <v>1.65</v>
      </c>
      <c r="H49" s="24">
        <f t="shared" si="51"/>
        <v>1.18</v>
      </c>
      <c r="I49" s="39">
        <f t="shared" si="52"/>
        <v>25983.599999999999</v>
      </c>
      <c r="J49" s="38">
        <f t="shared" si="53"/>
        <v>25983.599999999999</v>
      </c>
      <c r="K49" s="40">
        <f t="shared" si="54"/>
        <v>0.41308670693730537</v>
      </c>
      <c r="L49" s="22">
        <f t="shared" si="55"/>
        <v>0.4874423141860203</v>
      </c>
      <c r="M49" s="24">
        <f t="shared" si="56"/>
        <v>0.4874423141860203</v>
      </c>
      <c r="N49" s="266">
        <f t="shared" si="60"/>
        <v>14</v>
      </c>
      <c r="O49" s="2"/>
      <c r="P49" s="56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IF($B$81=0,0,(SUMIF($N$6:$N$28,$U49,L$6:L$28)+SUMIF($N$91:$N$118,$U49,L$91:L$118))*$I$83*Poor!$B$81/$B$81)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16">
        <v>0.25</v>
      </c>
      <c r="AA49" s="147">
        <f t="shared" si="65"/>
        <v>6495.9</v>
      </c>
      <c r="AB49" s="116">
        <v>0.25</v>
      </c>
      <c r="AC49" s="147">
        <f t="shared" si="66"/>
        <v>6495.9</v>
      </c>
      <c r="AD49" s="116">
        <v>0.25</v>
      </c>
      <c r="AE49" s="147">
        <f t="shared" si="67"/>
        <v>6495.9</v>
      </c>
      <c r="AF49" s="122">
        <f t="shared" si="57"/>
        <v>0.25</v>
      </c>
      <c r="AG49" s="147">
        <f t="shared" si="61"/>
        <v>6495.9</v>
      </c>
      <c r="AH49" s="123">
        <f t="shared" si="62"/>
        <v>1</v>
      </c>
      <c r="AI49" s="112">
        <f t="shared" si="62"/>
        <v>25983.599999999999</v>
      </c>
      <c r="AJ49" s="148">
        <f t="shared" si="63"/>
        <v>12991.8</v>
      </c>
      <c r="AK49" s="147">
        <f t="shared" si="64"/>
        <v>12991.8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8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9">(E50*F50)</f>
        <v>1.18</v>
      </c>
      <c r="I50" s="39">
        <f t="shared" ref="I50:I64" si="70">D50*H50</f>
        <v>17600.879999999997</v>
      </c>
      <c r="J50" s="38">
        <f t="shared" ref="J50:J64" si="71">J104*I$83</f>
        <v>17600.879999999997</v>
      </c>
      <c r="K50" s="40">
        <f t="shared" ref="K50:K64" si="72">(B50/B$65)</f>
        <v>0.27981840693355342</v>
      </c>
      <c r="L50" s="22">
        <f t="shared" ref="L50:L64" si="73">(K50*H50)</f>
        <v>0.33018572018159303</v>
      </c>
      <c r="M50" s="24">
        <f t="shared" ref="M50:M64" si="74">J50/B$65</f>
        <v>0.33018572018159303</v>
      </c>
      <c r="N50" s="266">
        <f t="shared" si="60"/>
        <v>9</v>
      </c>
      <c r="P50" s="64"/>
      <c r="Q50" s="59" t="s">
        <v>81</v>
      </c>
      <c r="R50" s="220">
        <f>IF($B$81=0,0,(SUMIF($N$6:$N$28,$U20,K$6:K$28)*$B$83+SUMIF($N$37:$N$64,$U20,B$37:B$64))*Poor!$B$81/$B$81)</f>
        <v>22020</v>
      </c>
      <c r="S50" s="220">
        <f>IF($B$81=0,0,(SUMIF($N$6:$N$28,$U50,L$6:L$28)+SUMIF($N$91:$N$118,$U50,L$91:L$118))*$I$83*Poor!$B$81/$B$81)</f>
        <v>0</v>
      </c>
      <c r="T50" s="220">
        <f>IF($B$81=0,0,(SUMIF($N$6:$N$28,$U20,M$6:M$28)+SUMIF($N$91:$N$118,$U20,M$91:M$118))*$I$83*Poor!$B$81/$B$81)</f>
        <v>25983.599999999999</v>
      </c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1.65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66">
        <f t="shared" si="60"/>
        <v>15</v>
      </c>
      <c r="O51" s="2"/>
      <c r="P51" s="59"/>
      <c r="Q51" s="59" t="s">
        <v>82</v>
      </c>
      <c r="R51" s="220">
        <f>IF($B$81=0,0,(SUMIF($N$6:$N$28,$U21,K$6:K$28)*$B$83+SUMIF($N$37:$N$64,$U21,B$37:B$64))*Poor!$B$81/$B$81)</f>
        <v>0</v>
      </c>
      <c r="S51" s="220">
        <f>IF($B$81=0,0,(SUMIF($N$6:$N$28,$U51,L$6:L$28)+SUMIF($N$91:$N$118,$U51,L$91:L$118))*$I$83*Poor!$B$81/$B$81)</f>
        <v>0</v>
      </c>
      <c r="T51" s="220">
        <f>IF($B$81=0,0,(SUMIF($N$6:$N$28,$U21,M$6:M$28)+SUMIF($N$91:$N$118,$U21,M$91:M$118))*$I$83*Poor!$B$81/$B$81)</f>
        <v>0</v>
      </c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8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9"/>
        <v>1.1100000000000001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66">
        <f t="shared" si="60"/>
        <v>15</v>
      </c>
      <c r="O52" s="2"/>
      <c r="P52" s="59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IF($B$81=0,0,(SUMIF($N$6:$N$28,$U52,L$6:L$28)+SUMIF($N$91:$N$118,$U52,L$91:L$118))*$I$83*Poor!$B$81/$B$81)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1.65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69"/>
      <c r="O53" s="2"/>
      <c r="P53" s="2"/>
      <c r="Q53" s="171" t="s">
        <v>100</v>
      </c>
      <c r="R53" s="179">
        <f>SUM(R37:R52)</f>
        <v>57982.012912138351</v>
      </c>
      <c r="S53" s="179">
        <f>SUM(S37:S52)</f>
        <v>0</v>
      </c>
      <c r="T53" s="179">
        <f>SUM(T37:T52)</f>
        <v>55663.71421333644</v>
      </c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1.65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69"/>
      <c r="O54" s="2"/>
      <c r="P54" s="2"/>
      <c r="Q54" s="59" t="s">
        <v>137</v>
      </c>
      <c r="R54" s="41">
        <f>IF($B$81=0,0,(SUM(($B$70))+((1-$D$29)*$B$83))*Poor!$B$81/$B$81)</f>
        <v>24062.646384067204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8"/>
        <v>0</v>
      </c>
      <c r="E55" s="26">
        <v>1</v>
      </c>
      <c r="F55" s="26">
        <v>1</v>
      </c>
      <c r="G55" s="22">
        <f t="shared" si="59"/>
        <v>1.65</v>
      </c>
      <c r="H55" s="24">
        <f t="shared" si="69"/>
        <v>1</v>
      </c>
      <c r="I55" s="39">
        <f t="shared" si="70"/>
        <v>0</v>
      </c>
      <c r="J55" s="38">
        <f t="shared" si="71"/>
        <v>0</v>
      </c>
      <c r="K55" s="40">
        <f t="shared" si="72"/>
        <v>0</v>
      </c>
      <c r="L55" s="22">
        <f t="shared" si="73"/>
        <v>0</v>
      </c>
      <c r="M55" s="24">
        <f t="shared" si="74"/>
        <v>0</v>
      </c>
      <c r="N55" s="69"/>
      <c r="O55" s="2"/>
      <c r="P55" s="2"/>
      <c r="Q55" s="142" t="s">
        <v>138</v>
      </c>
      <c r="R55" s="41">
        <f>IF($B$81=0,0,(SUM(($B$70),($B$71*$H$71))+((1-$D$29)*$B$83))*Poor!$B$81/$B$81)</f>
        <v>42445.473050733875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16">
        <v>0.25</v>
      </c>
      <c r="AA55" s="147">
        <f t="shared" si="65"/>
        <v>0</v>
      </c>
      <c r="AB55" s="116">
        <v>0.25</v>
      </c>
      <c r="AC55" s="147">
        <f t="shared" si="66"/>
        <v>0</v>
      </c>
      <c r="AD55" s="116">
        <v>0.25</v>
      </c>
      <c r="AE55" s="147">
        <f t="shared" si="67"/>
        <v>0</v>
      </c>
      <c r="AF55" s="122">
        <f t="shared" si="57"/>
        <v>0.25</v>
      </c>
      <c r="AG55" s="147">
        <f t="shared" si="61"/>
        <v>0</v>
      </c>
      <c r="AH55" s="123">
        <f t="shared" si="62"/>
        <v>1</v>
      </c>
      <c r="AI55" s="112">
        <f t="shared" si="62"/>
        <v>0</v>
      </c>
      <c r="AJ55" s="148">
        <f t="shared" si="63"/>
        <v>0</v>
      </c>
      <c r="AK55" s="147">
        <f t="shared" si="64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1.65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69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1.65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69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1.65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69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1.65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69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1.65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69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1.65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69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1.65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69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1.65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69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1.65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69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51034.78</v>
      </c>
      <c r="J65" s="39">
        <f>SUM(J37:J64)</f>
        <v>51857.389325708042</v>
      </c>
      <c r="K65" s="40">
        <f>SUM(K37:K64)</f>
        <v>1</v>
      </c>
      <c r="L65" s="22">
        <f>SUM(L37:L64)</f>
        <v>0.9859036506209431</v>
      </c>
      <c r="M65" s="24">
        <f>SUM(M37:M64)</f>
        <v>0.97282462247604462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7295.1621295222594</v>
      </c>
      <c r="AB65" s="137"/>
      <c r="AC65" s="153">
        <f>SUM(AC37:AC64)</f>
        <v>8441.3759602267601</v>
      </c>
      <c r="AD65" s="137"/>
      <c r="AE65" s="153">
        <f>SUM(AE37:AE64)</f>
        <v>8426.7911953364674</v>
      </c>
      <c r="AF65" s="137"/>
      <c r="AG65" s="153">
        <f>SUM(AG37:AG64)</f>
        <v>10093.180040622556</v>
      </c>
      <c r="AH65" s="137"/>
      <c r="AI65" s="153">
        <f>SUM(AI37:AI64)</f>
        <v>34256.509325708044</v>
      </c>
      <c r="AJ65" s="153">
        <f>SUM(AJ37:AJ64)</f>
        <v>15736.538089749019</v>
      </c>
      <c r="AK65" s="153">
        <f>SUM(AK37:AK64)</f>
        <v>18519.971235959023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6">J124*I$83</f>
        <v>20910.17354523344</v>
      </c>
      <c r="K70" s="40">
        <f>B70/B$76</f>
        <v>0.2801905647881161</v>
      </c>
      <c r="L70" s="22">
        <f t="shared" ref="L70:L75" si="77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8">(E71*F71)</f>
        <v>1.18</v>
      </c>
      <c r="I71" s="39">
        <f>I125*I$83</f>
        <v>18382.826666666671</v>
      </c>
      <c r="J71" s="51">
        <f t="shared" si="76"/>
        <v>18382.826666666671</v>
      </c>
      <c r="K71" s="40">
        <f t="shared" ref="K71:K72" si="79">B71/B$76</f>
        <v>0.29224977801123075</v>
      </c>
      <c r="L71" s="22">
        <f t="shared" si="77"/>
        <v>0.34485473805325234</v>
      </c>
      <c r="M71" s="24">
        <f t="shared" ref="M71:M72" si="80">J71/B$76</f>
        <v>0.3448547380532524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8"/>
        <v>1.18</v>
      </c>
      <c r="I72" s="39">
        <f>I126*I$83</f>
        <v>0</v>
      </c>
      <c r="J72" s="51">
        <f t="shared" si="76"/>
        <v>1141.2358144307589</v>
      </c>
      <c r="K72" s="40">
        <f t="shared" si="79"/>
        <v>0.52046673920384201</v>
      </c>
      <c r="L72" s="22">
        <f t="shared" si="77"/>
        <v>0.14141119561426002</v>
      </c>
      <c r="M72" s="24">
        <f t="shared" si="80"/>
        <v>2.1409143706726426E-2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6"/>
        <v>0</v>
      </c>
      <c r="K73" s="40">
        <f>B73/B$76</f>
        <v>8.7344764191648216E-2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30124.606454766563</v>
      </c>
      <c r="J74" s="51">
        <f t="shared" si="76"/>
        <v>11423.153299377171</v>
      </c>
      <c r="K74" s="40">
        <f>B74/B$76</f>
        <v>0.1301917232581698</v>
      </c>
      <c r="L74" s="22">
        <f t="shared" si="77"/>
        <v>0.10737092625006842</v>
      </c>
      <c r="M74" s="24">
        <f>J74/B$76</f>
        <v>0.21429395001270346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1907.9140369712388</v>
      </c>
      <c r="AB74" s="156"/>
      <c r="AC74" s="147">
        <f>AC30*$I$83/4</f>
        <v>3213.8325739184011</v>
      </c>
      <c r="AD74" s="156"/>
      <c r="AE74" s="147">
        <f>AE30*$I$83/4</f>
        <v>3199.2478090281079</v>
      </c>
      <c r="AF74" s="156"/>
      <c r="AG74" s="147">
        <f>AG30*$I$83/4</f>
        <v>3102.1588794594245</v>
      </c>
      <c r="AH74" s="155"/>
      <c r="AI74" s="147">
        <f>SUM(AA74,AC74,AE74,AG74)</f>
        <v>11423.153299377173</v>
      </c>
      <c r="AJ74" s="148">
        <f>(AA74+AC74)</f>
        <v>5121.7466108896397</v>
      </c>
      <c r="AK74" s="147">
        <f>(AE74+AG74)</f>
        <v>6301.4066884875319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1923.1824810974319</v>
      </c>
      <c r="AB75" s="158"/>
      <c r="AC75" s="149">
        <f>AA75+AC65-SUM(AC70,AC74)</f>
        <v>1923.1824810974322</v>
      </c>
      <c r="AD75" s="158"/>
      <c r="AE75" s="149">
        <f>AC75+AE65-SUM(AE70,AE74)</f>
        <v>1923.1824810974322</v>
      </c>
      <c r="AF75" s="158"/>
      <c r="AG75" s="149">
        <f>IF(SUM(AG6:AG29)+((AG65-AG70-$J$75)*4/I$83)&lt;1,0,AG65-AG70-$J$75-(1-SUM(AG6:AG29))*I$83/4)</f>
        <v>1763.4777748547713</v>
      </c>
      <c r="AH75" s="134"/>
      <c r="AI75" s="149">
        <f>AI76-SUM(AI70,AI74)</f>
        <v>1923.1824810974322</v>
      </c>
      <c r="AJ75" s="151">
        <f>AJ76-SUM(AJ70,AJ74)</f>
        <v>159.70470624265909</v>
      </c>
      <c r="AK75" s="149">
        <f>AJ75+AK76-SUM(AK70,AK74)</f>
        <v>1923.1824810974322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51034.78</v>
      </c>
      <c r="J76" s="51">
        <f t="shared" si="76"/>
        <v>51857.389325708042</v>
      </c>
      <c r="K76" s="40">
        <f>SUM(K70:K75)</f>
        <v>1.310443569453007</v>
      </c>
      <c r="L76" s="22">
        <f>SUM(L70:L75)</f>
        <v>0.98590365062094332</v>
      </c>
      <c r="M76" s="24">
        <f>SUM(M70:M75)</f>
        <v>0.97282462247604473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7295.1621295222594</v>
      </c>
      <c r="AB76" s="137"/>
      <c r="AC76" s="153">
        <f>AC65</f>
        <v>8441.3759602267601</v>
      </c>
      <c r="AD76" s="137"/>
      <c r="AE76" s="153">
        <f>AE65</f>
        <v>8426.7911953364674</v>
      </c>
      <c r="AF76" s="137"/>
      <c r="AG76" s="153">
        <f>AG65</f>
        <v>10093.180040622556</v>
      </c>
      <c r="AH76" s="137"/>
      <c r="AI76" s="153">
        <f>SUM(AA76,AC76,AE76,AG76)</f>
        <v>34256.509325708044</v>
      </c>
      <c r="AJ76" s="154">
        <f>SUM(AA76,AC76)</f>
        <v>15736.538089749019</v>
      </c>
      <c r="AK76" s="154">
        <f>SUM(AE76,AG76)</f>
        <v>18519.971235959023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18382.826666666668</v>
      </c>
      <c r="J77" s="100">
        <f t="shared" si="76"/>
        <v>0</v>
      </c>
      <c r="K77" s="40"/>
      <c r="L77" s="22">
        <f>-(L131*G$37*F$9/F$7)/B$130</f>
        <v>-0.20344354243899232</v>
      </c>
      <c r="M77" s="24">
        <f>-J77/B$76</f>
        <v>0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1763.4777748547713</v>
      </c>
      <c r="AB78" s="112"/>
      <c r="AC78" s="112">
        <f>IF(AA75&lt;0,0,AA75)</f>
        <v>1923.1824810974319</v>
      </c>
      <c r="AD78" s="112"/>
      <c r="AE78" s="112">
        <f>AC75</f>
        <v>1923.1824810974322</v>
      </c>
      <c r="AF78" s="112"/>
      <c r="AG78" s="112">
        <f>AE75</f>
        <v>1923.1824810974322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8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3831.0965180686708</v>
      </c>
      <c r="AB79" s="112"/>
      <c r="AC79" s="112">
        <f>AA79-AA74+AC65-AC70</f>
        <v>5137.0150550158323</v>
      </c>
      <c r="AD79" s="112"/>
      <c r="AE79" s="112">
        <f>AC79-AC74+AE65-AE70</f>
        <v>5122.4302901255396</v>
      </c>
      <c r="AF79" s="112"/>
      <c r="AG79" s="112">
        <f>AE79-AE74+AG65-AG70</f>
        <v>6788.8191354116279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8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24062.646384067204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0.57344273014829117</v>
      </c>
      <c r="C91" s="60">
        <f t="shared" si="82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3">(D91*H91)</f>
        <v>0.20504921865908596</v>
      </c>
      <c r="J91" s="24">
        <f>IF(I$32&lt;=1+I$131,I91,L91+J$33*(I91-L91))</f>
        <v>0.20504921865908596</v>
      </c>
      <c r="K91" s="22">
        <f t="shared" ref="K91" si="84">IF(B91="",0,B91)</f>
        <v>0.57344273014829117</v>
      </c>
      <c r="L91" s="22">
        <f t="shared" ref="L91" si="85">(K91*H91)</f>
        <v>0.20504921865908596</v>
      </c>
      <c r="M91" s="225">
        <f t="shared" si="81"/>
        <v>0.20504921865908596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0.25486343562146274</v>
      </c>
      <c r="C92" s="60">
        <f t="shared" si="82"/>
        <v>-0.21238619635121897</v>
      </c>
      <c r="D92" s="24">
        <f t="shared" ref="D92:D118" si="87">SUM(B92,C92)</f>
        <v>4.2477239270243772E-2</v>
      </c>
      <c r="H92" s="24">
        <f t="shared" ref="H92:H118" si="88">(E38*F38/G38*F$7/F$9)</f>
        <v>0.3575757575757576</v>
      </c>
      <c r="I92" s="22">
        <f t="shared" ref="I92:I118" si="89">(D92*H92)</f>
        <v>1.5188831011784138E-2</v>
      </c>
      <c r="J92" s="24">
        <f t="shared" ref="J92:J118" si="90">IF(I$32&lt;=1+I$131,I92,L92+J$33*(I92-L92))</f>
        <v>5.6294483192653941E-2</v>
      </c>
      <c r="K92" s="22">
        <f t="shared" ref="K92:K118" si="91">IF(B92="",0,B92)</f>
        <v>0.25486343562146274</v>
      </c>
      <c r="L92" s="22">
        <f t="shared" ref="L92:L118" si="92">(K92*H92)</f>
        <v>9.1132986070704872E-2</v>
      </c>
      <c r="M92" s="225">
        <f t="shared" ref="M92:M118" si="93">(J92)</f>
        <v>5.6294483192653941E-2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Sheep sales - local: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0.3575757575757576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25">
        <f t="shared" si="93"/>
        <v>0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Chicken sales: no. sold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0.7151515151515152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25">
        <f t="shared" si="9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Maize: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0.25454545454545457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25">
        <f t="shared" si="93"/>
        <v>0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Beans: kg produced</v>
      </c>
      <c r="B96" s="60">
        <f t="shared" si="82"/>
        <v>0.12743171781073137</v>
      </c>
      <c r="C96" s="60">
        <f t="shared" si="82"/>
        <v>0</v>
      </c>
      <c r="D96" s="24">
        <f t="shared" si="87"/>
        <v>0.12743171781073137</v>
      </c>
      <c r="H96" s="24">
        <f t="shared" si="88"/>
        <v>0.16969696969696968</v>
      </c>
      <c r="I96" s="22">
        <f t="shared" si="89"/>
        <v>2.1624776355760471E-2</v>
      </c>
      <c r="J96" s="24">
        <f t="shared" si="90"/>
        <v>2.1624776355760471E-2</v>
      </c>
      <c r="K96" s="22">
        <f t="shared" si="91"/>
        <v>0.12743171781073137</v>
      </c>
      <c r="L96" s="22">
        <f t="shared" si="92"/>
        <v>2.1624776355760471E-2</v>
      </c>
      <c r="M96" s="225">
        <f t="shared" si="93"/>
        <v>2.1624776355760471E-2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potatoes: kg produced</v>
      </c>
      <c r="B97" s="60">
        <f t="shared" si="82"/>
        <v>1.3592716566478013E-2</v>
      </c>
      <c r="C97" s="60">
        <f t="shared" si="82"/>
        <v>-1.3592716566478013E-2</v>
      </c>
      <c r="D97" s="24">
        <f t="shared" si="87"/>
        <v>0</v>
      </c>
      <c r="H97" s="24">
        <f t="shared" si="88"/>
        <v>0.16969696969696968</v>
      </c>
      <c r="I97" s="22">
        <f t="shared" si="89"/>
        <v>0</v>
      </c>
      <c r="J97" s="24">
        <f t="shared" si="90"/>
        <v>1.248497096747774E-3</v>
      </c>
      <c r="K97" s="22">
        <f t="shared" si="91"/>
        <v>1.3592716566478013E-2</v>
      </c>
      <c r="L97" s="22">
        <f t="shared" si="92"/>
        <v>2.3066428112811172E-3</v>
      </c>
      <c r="M97" s="225">
        <f t="shared" si="93"/>
        <v>1.248497096747774E-3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Agricultural cash income -- see Data2</v>
      </c>
      <c r="B98" s="60">
        <f t="shared" si="82"/>
        <v>0.23447436077174574</v>
      </c>
      <c r="C98" s="60">
        <f t="shared" si="82"/>
        <v>0</v>
      </c>
      <c r="D98" s="24">
        <f t="shared" si="87"/>
        <v>0.23447436077174574</v>
      </c>
      <c r="H98" s="24">
        <f t="shared" si="88"/>
        <v>0.33636363636363642</v>
      </c>
      <c r="I98" s="22">
        <f t="shared" si="89"/>
        <v>7.8868648623223583E-2</v>
      </c>
      <c r="J98" s="24">
        <f t="shared" si="90"/>
        <v>7.8868648623223583E-2</v>
      </c>
      <c r="K98" s="22">
        <f t="shared" si="91"/>
        <v>0.23447436077174574</v>
      </c>
      <c r="L98" s="22">
        <f t="shared" si="92"/>
        <v>7.8868648623223583E-2</v>
      </c>
      <c r="M98" s="225">
        <f t="shared" si="93"/>
        <v>7.8868648623223583E-2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Construction cash income -- see Data2</v>
      </c>
      <c r="B99" s="60">
        <f t="shared" si="82"/>
        <v>0</v>
      </c>
      <c r="C99" s="60">
        <f t="shared" si="82"/>
        <v>0</v>
      </c>
      <c r="D99" s="24">
        <f t="shared" si="87"/>
        <v>0</v>
      </c>
      <c r="H99" s="24">
        <f t="shared" si="88"/>
        <v>0.33636363636363642</v>
      </c>
      <c r="I99" s="22">
        <f t="shared" si="89"/>
        <v>0</v>
      </c>
      <c r="J99" s="24">
        <f t="shared" si="90"/>
        <v>0</v>
      </c>
      <c r="K99" s="22">
        <f t="shared" si="91"/>
        <v>0</v>
      </c>
      <c r="L99" s="22">
        <f t="shared" si="92"/>
        <v>0</v>
      </c>
      <c r="M99" s="225">
        <f t="shared" si="9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Domestic work cash income -- see Data2</v>
      </c>
      <c r="B100" s="60">
        <f t="shared" si="82"/>
        <v>0.1868998527890727</v>
      </c>
      <c r="C100" s="60">
        <f t="shared" si="82"/>
        <v>0</v>
      </c>
      <c r="D100" s="24">
        <f t="shared" si="87"/>
        <v>0.1868998527890727</v>
      </c>
      <c r="H100" s="24">
        <f t="shared" si="88"/>
        <v>0.33636363636363642</v>
      </c>
      <c r="I100" s="22">
        <f t="shared" si="89"/>
        <v>6.2866314119960826E-2</v>
      </c>
      <c r="J100" s="24">
        <f t="shared" si="90"/>
        <v>6.2866314119960826E-2</v>
      </c>
      <c r="K100" s="22">
        <f t="shared" si="91"/>
        <v>0.1868998527890727</v>
      </c>
      <c r="L100" s="22">
        <f t="shared" si="92"/>
        <v>6.2866314119960826E-2</v>
      </c>
      <c r="M100" s="225">
        <f t="shared" si="93"/>
        <v>6.2866314119960826E-2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Labour migration(formal employment): no. people per HH</v>
      </c>
      <c r="B101" s="60">
        <f t="shared" si="82"/>
        <v>0</v>
      </c>
      <c r="C101" s="60">
        <f t="shared" si="82"/>
        <v>0</v>
      </c>
      <c r="D101" s="24">
        <f t="shared" si="87"/>
        <v>0</v>
      </c>
      <c r="H101" s="24">
        <f t="shared" si="88"/>
        <v>0.28606060606060607</v>
      </c>
      <c r="I101" s="22">
        <f t="shared" si="89"/>
        <v>0</v>
      </c>
      <c r="J101" s="24">
        <f t="shared" si="90"/>
        <v>0</v>
      </c>
      <c r="K101" s="22">
        <f t="shared" si="91"/>
        <v>0</v>
      </c>
      <c r="L101" s="22">
        <f t="shared" si="92"/>
        <v>0</v>
      </c>
      <c r="M101" s="225">
        <f t="shared" si="93"/>
        <v>0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Small business -- see Data2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0.57212121212121214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25">
        <f t="shared" si="93"/>
        <v>0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Social development -- see Data2</v>
      </c>
      <c r="B103" s="60">
        <f t="shared" si="82"/>
        <v>1.8706976174615366</v>
      </c>
      <c r="C103" s="60">
        <f t="shared" si="82"/>
        <v>0</v>
      </c>
      <c r="D103" s="24">
        <f t="shared" si="87"/>
        <v>1.8706976174615366</v>
      </c>
      <c r="H103" s="24">
        <f t="shared" si="88"/>
        <v>0.7151515151515152</v>
      </c>
      <c r="I103" s="22">
        <f t="shared" si="89"/>
        <v>1.3378322355179475</v>
      </c>
      <c r="J103" s="24">
        <f t="shared" si="90"/>
        <v>1.3378322355179475</v>
      </c>
      <c r="K103" s="22">
        <f t="shared" si="91"/>
        <v>1.8706976174615366</v>
      </c>
      <c r="L103" s="22">
        <f t="shared" si="92"/>
        <v>1.3378322355179475</v>
      </c>
      <c r="M103" s="225">
        <f t="shared" si="93"/>
        <v>1.3378322355179475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Public works -- see Data2</v>
      </c>
      <c r="B104" s="60">
        <f t="shared" si="82"/>
        <v>1.2671810019099128</v>
      </c>
      <c r="C104" s="60">
        <f t="shared" si="82"/>
        <v>0</v>
      </c>
      <c r="D104" s="24">
        <f t="shared" si="87"/>
        <v>1.2671810019099128</v>
      </c>
      <c r="H104" s="24">
        <f t="shared" si="88"/>
        <v>0.7151515151515152</v>
      </c>
      <c r="I104" s="22">
        <f t="shared" si="89"/>
        <v>0.90622641348708921</v>
      </c>
      <c r="J104" s="24">
        <f t="shared" si="90"/>
        <v>0.90622641348708921</v>
      </c>
      <c r="K104" s="22">
        <f t="shared" si="91"/>
        <v>1.2671810019099128</v>
      </c>
      <c r="L104" s="22">
        <f t="shared" si="92"/>
        <v>0.90622641348708921</v>
      </c>
      <c r="M104" s="225">
        <f t="shared" si="93"/>
        <v>0.90622641348708921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Gifts/social support: type (Child support, Pension and Foster Care)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0.60606060606060608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25">
        <f t="shared" si="93"/>
        <v>0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Remittances: no. times per year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0.67272727272727284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25">
        <f t="shared" si="93"/>
        <v>0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/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0.60606060606060608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25">
        <f t="shared" si="9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/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0.60606060606060608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25">
        <f t="shared" si="9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/>
      </c>
      <c r="B109" s="60">
        <f t="shared" si="82"/>
        <v>0</v>
      </c>
      <c r="C109" s="60">
        <f t="shared" si="82"/>
        <v>0</v>
      </c>
      <c r="D109" s="24">
        <f t="shared" si="87"/>
        <v>0</v>
      </c>
      <c r="H109" s="24">
        <f t="shared" si="88"/>
        <v>0.60606060606060608</v>
      </c>
      <c r="I109" s="22">
        <f t="shared" si="89"/>
        <v>0</v>
      </c>
      <c r="J109" s="24">
        <f t="shared" si="90"/>
        <v>0</v>
      </c>
      <c r="K109" s="22">
        <f t="shared" si="91"/>
        <v>0</v>
      </c>
      <c r="L109" s="22">
        <f t="shared" si="92"/>
        <v>0</v>
      </c>
      <c r="M109" s="225">
        <f t="shared" si="9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/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0.60606060606060608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25">
        <f t="shared" si="9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/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0.60606060606060608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25">
        <f t="shared" si="9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0.60606060606060608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25">
        <f t="shared" si="9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0.60606060606060608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25">
        <f t="shared" si="9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0.60606060606060608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25">
        <f t="shared" si="9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0.60606060606060608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25">
        <f t="shared" si="9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0.60606060606060608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25">
        <f t="shared" si="9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0.60606060606060608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25">
        <f t="shared" si="9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0.60606060606060608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25">
        <f t="shared" si="9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2.6276564377748519</v>
      </c>
      <c r="J119" s="24">
        <f>SUM(J91:J118)</f>
        <v>2.6700105870524693</v>
      </c>
      <c r="K119" s="22">
        <f>SUM(K91:K118)</f>
        <v>4.5285834330792314</v>
      </c>
      <c r="L119" s="22">
        <f>SUM(L91:L118)</f>
        <v>2.7059072356450535</v>
      </c>
      <c r="M119" s="57">
        <f t="shared" si="81"/>
        <v>2.6700105870524693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8">
        <f t="shared" si="94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238">
        <f t="shared" si="94"/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5.8759450610117447E-2</v>
      </c>
      <c r="K126" s="29">
        <f t="shared" ref="K126:K127" si="95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0.38811660467312992</v>
      </c>
      <c r="M126" s="238">
        <f t="shared" si="94"/>
        <v>5.8759450610117447E-2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8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1.5510425652133939</v>
      </c>
      <c r="J128" s="226">
        <f>(J30)</f>
        <v>0.58815032232523512</v>
      </c>
      <c r="K128" s="29">
        <f>(B128)</f>
        <v>0.58958408107098381</v>
      </c>
      <c r="L128" s="29">
        <f>IF(L124=L119,0,(L119-L124)/(B119-B124)*K128)</f>
        <v>0.29468981685480711</v>
      </c>
      <c r="M128" s="238">
        <f t="shared" si="94"/>
        <v>0.58815032232523512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8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2.6276564377748519</v>
      </c>
      <c r="J130" s="226">
        <f>(J119)</f>
        <v>2.6700105870524693</v>
      </c>
      <c r="K130" s="29">
        <f>(B130)</f>
        <v>4.5285834330792314</v>
      </c>
      <c r="L130" s="29">
        <f>(L119)</f>
        <v>2.7059072356450535</v>
      </c>
      <c r="M130" s="238">
        <f t="shared" si="94"/>
        <v>2.6700105870524693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0.55837033688252857</v>
      </c>
      <c r="M131" s="235">
        <f>IF(I131&lt;SUM(M126:M127),0,I131-(SUM(M126:M127)))</f>
        <v>0.88772749094554104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520" priority="148" operator="equal">
      <formula>16</formula>
    </cfRule>
    <cfRule type="cellIs" dxfId="519" priority="149" operator="equal">
      <formula>15</formula>
    </cfRule>
    <cfRule type="cellIs" dxfId="518" priority="150" operator="equal">
      <formula>14</formula>
    </cfRule>
    <cfRule type="cellIs" dxfId="517" priority="151" operator="equal">
      <formula>13</formula>
    </cfRule>
    <cfRule type="cellIs" dxfId="516" priority="152" operator="equal">
      <formula>12</formula>
    </cfRule>
    <cfRule type="cellIs" dxfId="515" priority="153" operator="equal">
      <formula>11</formula>
    </cfRule>
    <cfRule type="cellIs" dxfId="514" priority="154" operator="equal">
      <formula>10</formula>
    </cfRule>
    <cfRule type="cellIs" dxfId="513" priority="155" operator="equal">
      <formula>9</formula>
    </cfRule>
    <cfRule type="cellIs" dxfId="512" priority="156" operator="equal">
      <formula>8</formula>
    </cfRule>
    <cfRule type="cellIs" dxfId="511" priority="157" operator="equal">
      <formula>7</formula>
    </cfRule>
    <cfRule type="cellIs" dxfId="510" priority="158" operator="equal">
      <formula>6</formula>
    </cfRule>
    <cfRule type="cellIs" dxfId="509" priority="159" operator="equal">
      <formula>5</formula>
    </cfRule>
    <cfRule type="cellIs" dxfId="508" priority="160" operator="equal">
      <formula>4</formula>
    </cfRule>
    <cfRule type="cellIs" dxfId="507" priority="161" operator="equal">
      <formula>3</formula>
    </cfRule>
    <cfRule type="cellIs" dxfId="506" priority="162" operator="equal">
      <formula>2</formula>
    </cfRule>
    <cfRule type="cellIs" dxfId="505" priority="163" operator="equal">
      <formula>1</formula>
    </cfRule>
  </conditionalFormatting>
  <conditionalFormatting sqref="N112:N118">
    <cfRule type="cellIs" dxfId="504" priority="84" operator="equal">
      <formula>16</formula>
    </cfRule>
    <cfRule type="cellIs" dxfId="503" priority="85" operator="equal">
      <formula>15</formula>
    </cfRule>
    <cfRule type="cellIs" dxfId="502" priority="86" operator="equal">
      <formula>14</formula>
    </cfRule>
    <cfRule type="cellIs" dxfId="501" priority="87" operator="equal">
      <formula>13</formula>
    </cfRule>
    <cfRule type="cellIs" dxfId="500" priority="88" operator="equal">
      <formula>12</formula>
    </cfRule>
    <cfRule type="cellIs" dxfId="499" priority="89" operator="equal">
      <formula>11</formula>
    </cfRule>
    <cfRule type="cellIs" dxfId="498" priority="90" operator="equal">
      <formula>10</formula>
    </cfRule>
    <cfRule type="cellIs" dxfId="497" priority="91" operator="equal">
      <formula>9</formula>
    </cfRule>
    <cfRule type="cellIs" dxfId="496" priority="92" operator="equal">
      <formula>8</formula>
    </cfRule>
    <cfRule type="cellIs" dxfId="495" priority="93" operator="equal">
      <formula>7</formula>
    </cfRule>
    <cfRule type="cellIs" dxfId="494" priority="94" operator="equal">
      <formula>6</formula>
    </cfRule>
    <cfRule type="cellIs" dxfId="493" priority="95" operator="equal">
      <formula>5</formula>
    </cfRule>
    <cfRule type="cellIs" dxfId="492" priority="96" operator="equal">
      <formula>4</formula>
    </cfRule>
    <cfRule type="cellIs" dxfId="491" priority="97" operator="equal">
      <formula>3</formula>
    </cfRule>
    <cfRule type="cellIs" dxfId="490" priority="98" operator="equal">
      <formula>2</formula>
    </cfRule>
    <cfRule type="cellIs" dxfId="489" priority="99" operator="equal">
      <formula>1</formula>
    </cfRule>
  </conditionalFormatting>
  <conditionalFormatting sqref="N91:N104">
    <cfRule type="cellIs" dxfId="488" priority="68" operator="equal">
      <formula>16</formula>
    </cfRule>
    <cfRule type="cellIs" dxfId="487" priority="69" operator="equal">
      <formula>15</formula>
    </cfRule>
    <cfRule type="cellIs" dxfId="486" priority="70" operator="equal">
      <formula>14</formula>
    </cfRule>
    <cfRule type="cellIs" dxfId="485" priority="71" operator="equal">
      <formula>13</formula>
    </cfRule>
    <cfRule type="cellIs" dxfId="484" priority="72" operator="equal">
      <formula>12</formula>
    </cfRule>
    <cfRule type="cellIs" dxfId="483" priority="73" operator="equal">
      <formula>11</formula>
    </cfRule>
    <cfRule type="cellIs" dxfId="482" priority="74" operator="equal">
      <formula>10</formula>
    </cfRule>
    <cfRule type="cellIs" dxfId="481" priority="75" operator="equal">
      <formula>9</formula>
    </cfRule>
    <cfRule type="cellIs" dxfId="480" priority="76" operator="equal">
      <formula>8</formula>
    </cfRule>
    <cfRule type="cellIs" dxfId="479" priority="77" operator="equal">
      <formula>7</formula>
    </cfRule>
    <cfRule type="cellIs" dxfId="478" priority="78" operator="equal">
      <formula>6</formula>
    </cfRule>
    <cfRule type="cellIs" dxfId="477" priority="79" operator="equal">
      <formula>5</formula>
    </cfRule>
    <cfRule type="cellIs" dxfId="476" priority="80" operator="equal">
      <formula>4</formula>
    </cfRule>
    <cfRule type="cellIs" dxfId="475" priority="81" operator="equal">
      <formula>3</formula>
    </cfRule>
    <cfRule type="cellIs" dxfId="474" priority="82" operator="equal">
      <formula>2</formula>
    </cfRule>
    <cfRule type="cellIs" dxfId="473" priority="83" operator="equal">
      <formula>1</formula>
    </cfRule>
  </conditionalFormatting>
  <conditionalFormatting sqref="N105:N111">
    <cfRule type="cellIs" dxfId="472" priority="52" operator="equal">
      <formula>16</formula>
    </cfRule>
    <cfRule type="cellIs" dxfId="471" priority="53" operator="equal">
      <formula>15</formula>
    </cfRule>
    <cfRule type="cellIs" dxfId="470" priority="54" operator="equal">
      <formula>14</formula>
    </cfRule>
    <cfRule type="cellIs" dxfId="469" priority="55" operator="equal">
      <formula>13</formula>
    </cfRule>
    <cfRule type="cellIs" dxfId="468" priority="56" operator="equal">
      <formula>12</formula>
    </cfRule>
    <cfRule type="cellIs" dxfId="467" priority="57" operator="equal">
      <formula>11</formula>
    </cfRule>
    <cfRule type="cellIs" dxfId="466" priority="58" operator="equal">
      <formula>10</formula>
    </cfRule>
    <cfRule type="cellIs" dxfId="465" priority="59" operator="equal">
      <formula>9</formula>
    </cfRule>
    <cfRule type="cellIs" dxfId="464" priority="60" operator="equal">
      <formula>8</formula>
    </cfRule>
    <cfRule type="cellIs" dxfId="463" priority="61" operator="equal">
      <formula>7</formula>
    </cfRule>
    <cfRule type="cellIs" dxfId="462" priority="62" operator="equal">
      <formula>6</formula>
    </cfRule>
    <cfRule type="cellIs" dxfId="461" priority="63" operator="equal">
      <formula>5</formula>
    </cfRule>
    <cfRule type="cellIs" dxfId="460" priority="64" operator="equal">
      <formula>4</formula>
    </cfRule>
    <cfRule type="cellIs" dxfId="459" priority="65" operator="equal">
      <formula>3</formula>
    </cfRule>
    <cfRule type="cellIs" dxfId="458" priority="66" operator="equal">
      <formula>2</formula>
    </cfRule>
    <cfRule type="cellIs" dxfId="457" priority="67" operator="equal">
      <formula>1</formula>
    </cfRule>
  </conditionalFormatting>
  <conditionalFormatting sqref="N6:N26">
    <cfRule type="cellIs" dxfId="456" priority="36" operator="equal">
      <formula>16</formula>
    </cfRule>
    <cfRule type="cellIs" dxfId="455" priority="37" operator="equal">
      <formula>15</formula>
    </cfRule>
    <cfRule type="cellIs" dxfId="454" priority="38" operator="equal">
      <formula>14</formula>
    </cfRule>
    <cfRule type="cellIs" dxfId="453" priority="39" operator="equal">
      <formula>13</formula>
    </cfRule>
    <cfRule type="cellIs" dxfId="452" priority="40" operator="equal">
      <formula>12</formula>
    </cfRule>
    <cfRule type="cellIs" dxfId="451" priority="41" operator="equal">
      <formula>11</formula>
    </cfRule>
    <cfRule type="cellIs" dxfId="450" priority="42" operator="equal">
      <formula>10</formula>
    </cfRule>
    <cfRule type="cellIs" dxfId="449" priority="43" operator="equal">
      <formula>9</formula>
    </cfRule>
    <cfRule type="cellIs" dxfId="448" priority="44" operator="equal">
      <formula>8</formula>
    </cfRule>
    <cfRule type="cellIs" dxfId="447" priority="45" operator="equal">
      <formula>7</formula>
    </cfRule>
    <cfRule type="cellIs" dxfId="446" priority="46" operator="equal">
      <formula>6</formula>
    </cfRule>
    <cfRule type="cellIs" dxfId="445" priority="47" operator="equal">
      <formula>5</formula>
    </cfRule>
    <cfRule type="cellIs" dxfId="444" priority="48" operator="equal">
      <formula>4</formula>
    </cfRule>
    <cfRule type="cellIs" dxfId="443" priority="49" operator="equal">
      <formula>3</formula>
    </cfRule>
    <cfRule type="cellIs" dxfId="442" priority="50" operator="equal">
      <formula>2</formula>
    </cfRule>
    <cfRule type="cellIs" dxfId="441" priority="51" operator="equal">
      <formula>1</formula>
    </cfRule>
  </conditionalFormatting>
  <conditionalFormatting sqref="R31:T31">
    <cfRule type="cellIs" dxfId="440" priority="35" operator="greaterThan">
      <formula>0</formula>
    </cfRule>
  </conditionalFormatting>
  <conditionalFormatting sqref="R32:T32">
    <cfRule type="cellIs" dxfId="439" priority="34" operator="greaterThan">
      <formula>0</formula>
    </cfRule>
  </conditionalFormatting>
  <conditionalFormatting sqref="R30:T30">
    <cfRule type="cellIs" dxfId="438" priority="33" operator="greaterThan">
      <formula>0</formula>
    </cfRule>
  </conditionalFormatting>
  <conditionalFormatting sqref="N37">
    <cfRule type="cellIs" dxfId="191" priority="17" operator="equal">
      <formula>16</formula>
    </cfRule>
    <cfRule type="cellIs" dxfId="190" priority="18" operator="equal">
      <formula>15</formula>
    </cfRule>
    <cfRule type="cellIs" dxfId="189" priority="19" operator="equal">
      <formula>14</formula>
    </cfRule>
    <cfRule type="cellIs" dxfId="188" priority="20" operator="equal">
      <formula>13</formula>
    </cfRule>
    <cfRule type="cellIs" dxfId="187" priority="21" operator="equal">
      <formula>12</formula>
    </cfRule>
    <cfRule type="cellIs" dxfId="186" priority="22" operator="equal">
      <formula>11</formula>
    </cfRule>
    <cfRule type="cellIs" dxfId="185" priority="23" operator="equal">
      <formula>10</formula>
    </cfRule>
    <cfRule type="cellIs" dxfId="184" priority="24" operator="equal">
      <formula>9</formula>
    </cfRule>
    <cfRule type="cellIs" dxfId="183" priority="25" operator="equal">
      <formula>8</formula>
    </cfRule>
    <cfRule type="cellIs" dxfId="182" priority="26" operator="equal">
      <formula>7</formula>
    </cfRule>
    <cfRule type="cellIs" dxfId="181" priority="27" operator="equal">
      <formula>6</formula>
    </cfRule>
    <cfRule type="cellIs" dxfId="180" priority="28" operator="equal">
      <formula>5</formula>
    </cfRule>
    <cfRule type="cellIs" dxfId="179" priority="29" operator="equal">
      <formula>4</formula>
    </cfRule>
    <cfRule type="cellIs" dxfId="178" priority="30" operator="equal">
      <formula>3</formula>
    </cfRule>
    <cfRule type="cellIs" dxfId="177" priority="31" operator="equal">
      <formula>2</formula>
    </cfRule>
    <cfRule type="cellIs" dxfId="176" priority="32" operator="equal">
      <formula>1</formula>
    </cfRule>
  </conditionalFormatting>
  <conditionalFormatting sqref="N38:N52">
    <cfRule type="cellIs" dxfId="159" priority="1" operator="equal">
      <formula>16</formula>
    </cfRule>
    <cfRule type="cellIs" dxfId="158" priority="2" operator="equal">
      <formula>15</formula>
    </cfRule>
    <cfRule type="cellIs" dxfId="157" priority="3" operator="equal">
      <formula>14</formula>
    </cfRule>
    <cfRule type="cellIs" dxfId="156" priority="4" operator="equal">
      <formula>13</formula>
    </cfRule>
    <cfRule type="cellIs" dxfId="155" priority="5" operator="equal">
      <formula>12</formula>
    </cfRule>
    <cfRule type="cellIs" dxfId="154" priority="6" operator="equal">
      <formula>11</formula>
    </cfRule>
    <cfRule type="cellIs" dxfId="153" priority="7" operator="equal">
      <formula>10</formula>
    </cfRule>
    <cfRule type="cellIs" dxfId="152" priority="8" operator="equal">
      <formula>9</formula>
    </cfRule>
    <cfRule type="cellIs" dxfId="151" priority="9" operator="equal">
      <formula>8</formula>
    </cfRule>
    <cfRule type="cellIs" dxfId="150" priority="10" operator="equal">
      <formula>7</formula>
    </cfRule>
    <cfRule type="cellIs" dxfId="149" priority="11" operator="equal">
      <formula>6</formula>
    </cfRule>
    <cfRule type="cellIs" dxfId="148" priority="12" operator="equal">
      <formula>5</formula>
    </cfRule>
    <cfRule type="cellIs" dxfId="147" priority="13" operator="equal">
      <formula>4</formula>
    </cfRule>
    <cfRule type="cellIs" dxfId="146" priority="14" operator="equal">
      <formula>3</formula>
    </cfRule>
    <cfRule type="cellIs" dxfId="145" priority="15" operator="equal">
      <formula>2</formula>
    </cfRule>
    <cfRule type="cellIs" dxfId="144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0" activePane="bottomRight" state="frozen"/>
      <selection pane="topRight" activeCell="B1" sqref="B1"/>
      <selection pane="bottomLeft" activeCell="A3" sqref="A3"/>
      <selection pane="bottomRight" activeCell="T53" sqref="T53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2">
        <f t="shared" ref="M6:M31" si="6">J6</f>
        <v>1.6091442803771571E-2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2">
        <f t="shared" si="6"/>
        <v>1.2051667674790961E-2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3726.3812702696764</v>
      </c>
      <c r="S7" s="220">
        <f>IF($B$81=0,0,(SUMIF($N$6:$N$28,$U7,L$6:L$28)+SUMIF($N$91:$N$118,$U7,L$91:L$118))*$I$83*Poor!$B$81/$B$81)</f>
        <v>953.92721411942591</v>
      </c>
      <c r="T7" s="220">
        <f>IF($B$81=0,0,(SUMIF($N$6:$N$28,$U7,M$6:M$28)+SUMIF($N$91:$N$118,$U7,M$91:M$118))*$I$83*Poor!$B$81/$B$81)</f>
        <v>5379.2251456426266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0.19440222322635958</v>
      </c>
      <c r="K8" s="22">
        <f t="shared" si="4"/>
        <v>6.759510763209392E-2</v>
      </c>
      <c r="L8" s="22">
        <f t="shared" si="5"/>
        <v>2.0278532289628174E-2</v>
      </c>
      <c r="M8" s="222">
        <f t="shared" si="6"/>
        <v>0.19440222322635958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37840.38673597858</v>
      </c>
      <c r="S8" s="220">
        <f>IF($B$81=0,0,(SUMIF($N$6:$N$28,$U8,L$6:L$28)+SUMIF($N$91:$N$118,$U8,L$91:L$118))*$I$83*Poor!$B$81/$B$81)</f>
        <v>7471.9999999999982</v>
      </c>
      <c r="T8" s="220">
        <f>IF($B$81=0,0,(SUMIF($N$6:$N$28,$U8,M$6:M$28)+SUMIF($N$91:$N$118,$U8,M$91:M$118))*$I$83*Poor!$B$81/$B$81)</f>
        <v>5795.8952412628869</v>
      </c>
      <c r="U8" s="221">
        <v>2</v>
      </c>
      <c r="V8" s="56"/>
      <c r="W8" s="115"/>
      <c r="X8" s="118">
        <f>Poor!X8</f>
        <v>1</v>
      </c>
      <c r="Y8" s="183">
        <f t="shared" si="9"/>
        <v>0.77760889290543833</v>
      </c>
      <c r="Z8" s="125">
        <f>IF($Y8=0,0,AA8/$Y8)</f>
        <v>0.57386044186109142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0.44623898287782893</v>
      </c>
      <c r="AB8" s="125">
        <f>IF($Y8=0,0,AC8/$Y8)</f>
        <v>0.42613955813890864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0.3313699100276094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0.19440222322635958</v>
      </c>
      <c r="AJ8" s="120">
        <f t="shared" si="14"/>
        <v>0.38880444645271917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2">
        <f t="shared" si="6"/>
        <v>6.3126009606831526E-3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2475.9718923349787</v>
      </c>
      <c r="S9" s="220">
        <f>IF($B$81=0,0,(SUMIF($N$6:$N$28,$U9,L$6:L$28)+SUMIF($N$91:$N$118,$U9,L$91:L$118))*$I$83*Poor!$B$81/$B$81)</f>
        <v>546.60016855377023</v>
      </c>
      <c r="T9" s="220">
        <f>IF($B$81=0,0,(SUMIF($N$6:$N$28,$U9,M$6:M$28)+SUMIF($N$91:$N$118,$U9,M$91:M$118))*$I$83*Poor!$B$81/$B$81)</f>
        <v>546.60016855377023</v>
      </c>
      <c r="U9" s="221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0.57386044186109131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1.4490207906361534E-2</v>
      </c>
      <c r="AB9" s="125">
        <f>IF($Y9=0,0,AC9/$Y9)</f>
        <v>0.42613955813890869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1.0760195936371076E-2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1.2625201921366305E-2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7.6248368055349861E-2</v>
      </c>
      <c r="K10" s="22">
        <f t="shared" si="4"/>
        <v>0.11262127023661268</v>
      </c>
      <c r="L10" s="22">
        <f t="shared" si="5"/>
        <v>2.2524254047322539E-2</v>
      </c>
      <c r="M10" s="222">
        <f t="shared" si="6"/>
        <v>7.6248368055349861E-2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0.30499347222139944</v>
      </c>
      <c r="Z10" s="125">
        <f>IF($Y10=0,0,AA10/$Y10)</f>
        <v>0.57386044186109131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0.17502368873372076</v>
      </c>
      <c r="AB10" s="125">
        <f>IF($Y10=0,0,AC10/$Y10)</f>
        <v>0.42613955813890869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0.12996978348767868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7.6248368055349861E-2</v>
      </c>
      <c r="AJ10" s="120">
        <f t="shared" si="14"/>
        <v>0.15249673611069972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42538.403147894649</v>
      </c>
      <c r="S11" s="220">
        <f>IF($B$81=0,0,(SUMIF($N$6:$N$28,$U11,L$6:L$28)+SUMIF($N$91:$N$118,$U11,L$91:L$118))*$I$83*Poor!$B$81/$B$81)</f>
        <v>17666.285714285714</v>
      </c>
      <c r="T11" s="220">
        <f>IF($B$81=0,0,(SUMIF($N$6:$N$28,$U11,M$6:M$28)+SUMIF($N$91:$N$118,$U11,M$91:M$118))*$I$83*Poor!$B$81/$B$81)</f>
        <v>19982.215006217557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32800.696403195871</v>
      </c>
      <c r="S13" s="220">
        <f>IF($B$81=0,0,(SUMIF($N$6:$N$28,$U13,L$6:L$28)+SUMIF($N$91:$N$118,$U13,L$91:L$118))*$I$83*Poor!$B$81/$B$81)</f>
        <v>10357.028571428571</v>
      </c>
      <c r="T13" s="220">
        <f>IF($B$81=0,0,(SUMIF($N$6:$N$28,$U13,M$6:M$28)+SUMIF($N$91:$N$118,$U13,M$91:M$118))*$I$83*Poor!$B$81/$B$81)</f>
        <v>10357.028571428571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0</v>
      </c>
      <c r="S14" s="220">
        <f>IF($B$81=0,0,(SUMIF($N$6:$N$28,$U14,L$6:L$28)+SUMIF($N$91:$N$118,$U14,L$91:L$118))*$I$83*Poor!$B$81/$B$81)</f>
        <v>0</v>
      </c>
      <c r="T14" s="220">
        <f>IF($B$81=0,0,(SUMIF($N$6:$N$28,$U14,M$6:M$28)+SUMIF($N$91:$N$118,$U14,M$91:M$118))*$I$83*Poor!$B$81/$B$81)</f>
        <v>0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13017.776385018364</v>
      </c>
      <c r="S17" s="220">
        <f>IF($B$81=0,0,(SUMIF($N$6:$N$28,$U17,L$6:L$28)+SUMIF($N$91:$N$118,$U17,L$91:L$118))*$I$83*Poor!$B$81/$B$81)</f>
        <v>10276.114285714286</v>
      </c>
      <c r="T17" s="220">
        <f>IF($B$81=0,0,(SUMIF($N$6:$N$28,$U17,M$6:M$28)+SUMIF($N$91:$N$118,$U17,M$91:M$118))*$I$83*Poor!$B$81/$B$81)</f>
        <v>10276.114285714286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2094.7120172507834</v>
      </c>
      <c r="S18" s="220">
        <f>IF($B$81=0,0,(SUMIF($N$6:$N$28,$U18,L$6:L$28)+SUMIF($N$91:$N$118,$U18,L$91:L$118))*$I$83*Poor!$B$81/$B$81)</f>
        <v>2312.1626405482261</v>
      </c>
      <c r="T18" s="220">
        <f>IF($B$81=0,0,(SUMIF($N$6:$N$28,$U18,M$6:M$28)+SUMIF($N$91:$N$118,$U18,M$91:M$118))*$I$83*Poor!$B$81/$B$81)</f>
        <v>2312.1626405482261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0</v>
      </c>
      <c r="S20" s="220">
        <f>IF($B$81=0,0,(SUMIF($N$6:$N$28,$U20,L$6:L$28)+SUMIF($N$91:$N$118,$U20,L$91:L$118))*$I$83*Poor!$B$81/$B$81)</f>
        <v>0</v>
      </c>
      <c r="T20" s="220">
        <f>IF($B$81=0,0,(SUMIF($N$6:$N$28,$U20,M$6:M$28)+SUMIF($N$91:$N$118,$U20,M$91:M$118))*$I$83*Poor!$B$81/$B$81)</f>
        <v>0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20500.435251997424</v>
      </c>
      <c r="S21" s="220">
        <f>IF($B$81=0,0,(SUMIF($N$6:$N$28,$U21,L$6:L$28)+SUMIF($N$91:$N$118,$U21,L$91:L$118))*$I$83*Poor!$B$81/$B$81)</f>
        <v>15222.857142857143</v>
      </c>
      <c r="T21" s="220">
        <f>IF($B$81=0,0,(SUMIF($N$6:$N$28,$U21,M$6:M$28)+SUMIF($N$91:$N$118,$U21,M$91:M$118))*$I$83*Poor!$B$81/$B$81)</f>
        <v>15222.857142857143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154994.76310394032</v>
      </c>
      <c r="S23" s="179">
        <f>SUM(S7:S22)</f>
        <v>64806.975737507135</v>
      </c>
      <c r="T23" s="179">
        <f>SUM(T7:T22)</f>
        <v>69872.098202225068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2">
        <f t="shared" si="6"/>
        <v>0.11904761904761904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2.1413318422672349E-3</v>
      </c>
      <c r="K27" s="22">
        <f t="shared" si="4"/>
        <v>1.5150242305639565E-2</v>
      </c>
      <c r="L27" s="22">
        <f t="shared" si="5"/>
        <v>1.5150242305639565E-2</v>
      </c>
      <c r="M27" s="224">
        <f t="shared" si="6"/>
        <v>2.1413318422672349E-3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8.5653273690689397E-3</v>
      </c>
      <c r="Z27" s="156">
        <f>Poor!Z27</f>
        <v>0.25</v>
      </c>
      <c r="AA27" s="121">
        <f t="shared" si="16"/>
        <v>2.1413318422672349E-3</v>
      </c>
      <c r="AB27" s="156">
        <f>Poor!AB27</f>
        <v>0.25</v>
      </c>
      <c r="AC27" s="121">
        <f t="shared" si="7"/>
        <v>2.1413318422672349E-3</v>
      </c>
      <c r="AD27" s="156">
        <f>Poor!AD27</f>
        <v>0.25</v>
      </c>
      <c r="AE27" s="121">
        <f t="shared" si="8"/>
        <v>2.1413318422672349E-3</v>
      </c>
      <c r="AF27" s="122">
        <f t="shared" si="10"/>
        <v>0.25</v>
      </c>
      <c r="AG27" s="121">
        <f t="shared" si="11"/>
        <v>2.1413318422672349E-3</v>
      </c>
      <c r="AH27" s="123">
        <f t="shared" si="12"/>
        <v>1</v>
      </c>
      <c r="AI27" s="183">
        <f t="shared" si="13"/>
        <v>2.1413318422672349E-3</v>
      </c>
      <c r="AJ27" s="120">
        <f t="shared" si="14"/>
        <v>2.1413318422672349E-3</v>
      </c>
      <c r="AK27" s="119">
        <f t="shared" si="15"/>
        <v>2.1413318422672349E-3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0.23211598848563789</v>
      </c>
      <c r="K29" s="22">
        <f t="shared" si="4"/>
        <v>0.27755333285892192</v>
      </c>
      <c r="L29" s="22">
        <f t="shared" si="5"/>
        <v>0.27755333285892192</v>
      </c>
      <c r="M29" s="222">
        <f t="shared" si="6"/>
        <v>0.23211598848563789</v>
      </c>
      <c r="N29" s="227"/>
      <c r="P29" s="22"/>
      <c r="V29" s="56"/>
      <c r="W29" s="110"/>
      <c r="X29" s="118"/>
      <c r="Y29" s="183">
        <f t="shared" si="9"/>
        <v>0.92846395394255155</v>
      </c>
      <c r="Z29" s="156">
        <f>Poor!Z29</f>
        <v>0.25</v>
      </c>
      <c r="AA29" s="121">
        <f t="shared" si="16"/>
        <v>0.23211598848563789</v>
      </c>
      <c r="AB29" s="156">
        <f>Poor!AB29</f>
        <v>0.25</v>
      </c>
      <c r="AC29" s="121">
        <f t="shared" si="7"/>
        <v>0.23211598848563789</v>
      </c>
      <c r="AD29" s="156">
        <f>Poor!AD29</f>
        <v>0.25</v>
      </c>
      <c r="AE29" s="121">
        <f t="shared" si="8"/>
        <v>0.23211598848563789</v>
      </c>
      <c r="AF29" s="122">
        <f t="shared" si="10"/>
        <v>0.25</v>
      </c>
      <c r="AG29" s="121">
        <f t="shared" si="11"/>
        <v>0.23211598848563789</v>
      </c>
      <c r="AH29" s="123">
        <f t="shared" si="12"/>
        <v>1</v>
      </c>
      <c r="AI29" s="183">
        <f t="shared" si="13"/>
        <v>0.23211598848563789</v>
      </c>
      <c r="AJ29" s="120">
        <f t="shared" si="14"/>
        <v>0.23211598848563789</v>
      </c>
      <c r="AK29" s="119">
        <f t="shared" si="15"/>
        <v>0.23211598848563789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2.1021988302709023</v>
      </c>
      <c r="J30" s="229">
        <f>IF(I$32&lt;=1,I30,1-SUM(J6:J29))</f>
        <v>0.34158875790352072</v>
      </c>
      <c r="K30" s="22">
        <f t="shared" si="4"/>
        <v>0.54316672549368428</v>
      </c>
      <c r="L30" s="22">
        <f>IF(L124=L119,0,IF(K30="",0,(L119-L124)/(B119-B124)*K30))</f>
        <v>0.15859567713401013</v>
      </c>
      <c r="M30" s="175">
        <f t="shared" si="6"/>
        <v>0.34158875790352072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1.3663550316140829</v>
      </c>
      <c r="Z30" s="122">
        <f>IF($Y30=0,0,AA30/($Y$30))</f>
        <v>-1.6250871829609963E-16</v>
      </c>
      <c r="AA30" s="187">
        <f>IF(AA79*4/$I$84+SUM(AA6:AA29)&lt;1,AA79*4/$I$84,1-SUM(AA6:AA29))</f>
        <v>-2.2204460492503131E-16</v>
      </c>
      <c r="AB30" s="122">
        <f>IF($Y30=0,0,AC30/($Y$30))</f>
        <v>0.11977340169994311</v>
      </c>
      <c r="AC30" s="187">
        <f>IF(AC79*4/$I$84+SUM(AC6:AC29)&lt;1,AC79*4/$I$84,1-SUM(AC6:AC29))</f>
        <v>0.163652990066252</v>
      </c>
      <c r="AD30" s="122">
        <f>IF($Y30=0,0,AE30/($Y$30))</f>
        <v>0.45775390850256875</v>
      </c>
      <c r="AE30" s="187">
        <f>IF(AE79*4/$I$84+SUM(AE6:AE29)&lt;1,AE79*4/$I$84,1-SUM(AE6:AE29))</f>
        <v>0.62545435612349731</v>
      </c>
      <c r="AF30" s="122">
        <f>IF($Y30=0,0,AG30/($Y$30))</f>
        <v>0.42247268979748814</v>
      </c>
      <c r="AG30" s="187">
        <f>IF(AG79*4/$I$84+SUM(AG6:AG29)&lt;1,AG79*4/$I$84,1-SUM(AG6:AG29))</f>
        <v>0.57724768542433358</v>
      </c>
      <c r="AH30" s="123">
        <f t="shared" si="12"/>
        <v>0.99999999999999978</v>
      </c>
      <c r="AI30" s="183">
        <f t="shared" si="13"/>
        <v>0.34158875790352067</v>
      </c>
      <c r="AJ30" s="120">
        <f t="shared" si="14"/>
        <v>8.182649503312589E-2</v>
      </c>
      <c r="AK30" s="119">
        <f t="shared" si="15"/>
        <v>0.60135102077391545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0.35239463087761291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2.7884944162866705</v>
      </c>
      <c r="J32" s="17"/>
      <c r="L32" s="22">
        <f>SUM(L6:L30)</f>
        <v>0.64760536912238709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22283.177901221599</v>
      </c>
      <c r="T32" s="232">
        <f t="shared" si="24"/>
        <v>17218.055436503666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0.99999999999999989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0.85866022476286463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6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2492.8571902326798</v>
      </c>
      <c r="S37" s="220">
        <f>IF($B$81=0,0,(SUMIF($N$6:$N$28,$U37,L$6:L$28)+SUMIF($N$91:$N$118,$U37,L$91:L$118))*$I$83*Poor!$B$81/$B$81)</f>
        <v>0</v>
      </c>
      <c r="T37" s="220">
        <f>IF($B$81=0,0,(SUMIF($N$6:$N$28,$U7,M$6:M$28)+SUMIF($N$91:$N$118,$U7,M$91:M$118))*$I$83*Poor!$B$81/$B$81)</f>
        <v>5379.2251456426266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9440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5566.4381304403605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6.4824014562016544E-2</v>
      </c>
      <c r="N38" s="26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25314.285714285714</v>
      </c>
      <c r="S38" s="220">
        <f>IF($B$81=0,0,(SUMIF($N$6:$N$28,$U38,L$6:L$28)+SUMIF($N$91:$N$118,$U38,L$91:L$118))*$I$83*Poor!$B$81/$B$81)</f>
        <v>0</v>
      </c>
      <c r="T38" s="220">
        <f>IF($B$81=0,0,(SUMIF($N$6:$N$28,$U8,M$6:M$28)+SUMIF($N$91:$N$118,$U8,M$91:M$118))*$I$83*Poor!$B$81/$B$81)</f>
        <v>5795.8952412628869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5566.4381304403605</v>
      </c>
      <c r="AH38" s="123">
        <f t="shared" ref="AH38:AI58" si="37">SUM(Z38,AB38,AD38,AF38)</f>
        <v>1</v>
      </c>
      <c r="AI38" s="112">
        <f t="shared" si="37"/>
        <v>5566.4381304403605</v>
      </c>
      <c r="AJ38" s="148">
        <f t="shared" ref="AJ38:AJ64" si="38">(AA38+AC38)</f>
        <v>0</v>
      </c>
      <c r="AK38" s="147">
        <f t="shared" ref="AK38:AK64" si="39">(AE38+AG38)</f>
        <v>5566.4381304403605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6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1656.3641471326373</v>
      </c>
      <c r="S39" s="220">
        <f>IF($B$81=0,0,(SUMIF($N$6:$N$28,$U39,L$6:L$28)+SUMIF($N$91:$N$118,$U39,L$91:L$118))*$I$83*Poor!$B$81/$B$81)</f>
        <v>0</v>
      </c>
      <c r="T39" s="220">
        <f>IF($B$81=0,0,(SUMIF($N$6:$N$28,$U9,M$6:M$28)+SUMIF($N$91:$N$118,$U9,M$91:M$118))*$I$83*Poor!$B$81/$B$81)</f>
        <v>546.60016855377023</v>
      </c>
      <c r="U39" s="56"/>
      <c r="V39" s="56"/>
      <c r="W39" s="115"/>
      <c r="X39" s="194">
        <f>X8</f>
        <v>1</v>
      </c>
      <c r="Y39" s="110"/>
      <c r="Z39" s="122">
        <f>Z8</f>
        <v>0.57386044186109142</v>
      </c>
      <c r="AA39" s="147">
        <f t="shared" ref="AA39:AA64" si="40">$J39*Z39</f>
        <v>541.72425711687038</v>
      </c>
      <c r="AB39" s="122">
        <f>AB8</f>
        <v>0.42613955813890864</v>
      </c>
      <c r="AC39" s="147">
        <f t="shared" ref="AC39:AC64" si="41">$J39*AB39</f>
        <v>402.27574288312979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944.00000000000023</v>
      </c>
      <c r="AJ39" s="148">
        <f t="shared" si="38"/>
        <v>944.00000000000023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6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IF($B$81=0,0,(SUMIF($N$6:$N$28,$U40,L$6:L$28)+SUMIF($N$91:$N$118,$U40,L$91:L$118))*$I$83*Poor!$B$81/$B$81)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94">
        <f>X9</f>
        <v>1</v>
      </c>
      <c r="Y40" s="110"/>
      <c r="Z40" s="122">
        <f>Z9</f>
        <v>0.57386044186109131</v>
      </c>
      <c r="AA40" s="147">
        <f t="shared" si="40"/>
        <v>880.30191781491419</v>
      </c>
      <c r="AB40" s="122">
        <f>AB9</f>
        <v>0.42613955813890869</v>
      </c>
      <c r="AC40" s="147">
        <f t="shared" si="41"/>
        <v>653.69808218508604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1534.0000000000002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142.47049343903242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1.6591416494588613E-3</v>
      </c>
      <c r="N41" s="268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28457.142857142859</v>
      </c>
      <c r="S41" s="220">
        <f>IF($B$81=0,0,(SUMIF($N$6:$N$28,$U41,L$6:L$28)+SUMIF($N$91:$N$118,$U41,L$91:L$118))*$I$83*Poor!$B$81/$B$81)</f>
        <v>0</v>
      </c>
      <c r="T41" s="220">
        <f>IF($B$81=0,0,(SUMIF($N$6:$N$28,$U11,M$6:M$28)+SUMIF($N$91:$N$118,$U11,M$91:M$118))*$I$83*Poor!$B$81/$B$81)</f>
        <v>19982.215006217557</v>
      </c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142.47049343903242</v>
      </c>
      <c r="AH41" s="123">
        <f t="shared" si="37"/>
        <v>1</v>
      </c>
      <c r="AI41" s="112">
        <f t="shared" si="37"/>
        <v>142.47049343903242</v>
      </c>
      <c r="AJ41" s="148">
        <f t="shared" si="38"/>
        <v>0</v>
      </c>
      <c r="AK41" s="147">
        <f t="shared" si="39"/>
        <v>142.47049343903242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68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IF($B$81=0,0,(SUMIF($N$6:$N$28,$U42,L$6:L$28)+SUMIF($N$91:$N$118,$U42,L$91:L$118))*$I$83*Poor!$B$81/$B$81)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98.937842665994779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1.1521817010130986E-3</v>
      </c>
      <c r="N43" s="268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21942.857142857141</v>
      </c>
      <c r="S43" s="220">
        <f>IF($B$81=0,0,(SUMIF($N$6:$N$28,$U43,L$6:L$28)+SUMIF($N$91:$N$118,$U43,L$91:L$118))*$I$83*Poor!$B$81/$B$81)</f>
        <v>0</v>
      </c>
      <c r="T43" s="220">
        <f>IF($B$81=0,0,(SUMIF($N$6:$N$28,$U13,M$6:M$28)+SUMIF($N$91:$N$118,$U13,M$91:M$118))*$I$83*Poor!$B$81/$B$81)</f>
        <v>10357.028571428571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24.734460666498695</v>
      </c>
      <c r="AB43" s="156">
        <f>Poor!AB43</f>
        <v>0.25</v>
      </c>
      <c r="AC43" s="147">
        <f t="shared" si="41"/>
        <v>24.734460666498695</v>
      </c>
      <c r="AD43" s="156">
        <f>Poor!AD43</f>
        <v>0.25</v>
      </c>
      <c r="AE43" s="147">
        <f t="shared" si="42"/>
        <v>24.734460666498695</v>
      </c>
      <c r="AF43" s="122">
        <f t="shared" si="29"/>
        <v>0.25</v>
      </c>
      <c r="AG43" s="147">
        <f t="shared" si="36"/>
        <v>24.734460666498695</v>
      </c>
      <c r="AH43" s="123">
        <f t="shared" si="37"/>
        <v>1</v>
      </c>
      <c r="AI43" s="112">
        <f t="shared" si="37"/>
        <v>98.937842665994779</v>
      </c>
      <c r="AJ43" s="148">
        <f t="shared" si="38"/>
        <v>49.46892133299739</v>
      </c>
      <c r="AK43" s="147">
        <f t="shared" si="39"/>
        <v>49.46892133299739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69">
        <v>6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0</v>
      </c>
      <c r="S44" s="220">
        <f>IF($B$81=0,0,(SUMIF($N$6:$N$28,$U44,L$6:L$28)+SUMIF($N$91:$N$118,$U44,L$91:L$118))*$I$83*Poor!$B$81/$B$81)</f>
        <v>0</v>
      </c>
      <c r="T44" s="220">
        <f>IF($B$81=0,0,(SUMIF($N$6:$N$28,$U14,M$6:M$28)+SUMIF($N$91:$N$118,$U14,M$91:M$118))*$I$83*Poor!$B$81/$B$81)</f>
        <v>0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70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IF($B$81=0,0,(SUMIF($N$6:$N$28,$U45,L$6:L$28)+SUMIF($N$91:$N$118,$U45,L$91:L$118))*$I$83*Poor!$B$81/$B$81)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70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IF($B$81=0,0,(SUMIF($N$6:$N$28,$U46,L$6:L$28)+SUMIF($N$91:$N$118,$U46,L$91:L$118))*$I$83*Poor!$B$81/$B$81)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70">
        <v>7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8708.5714285714294</v>
      </c>
      <c r="S47" s="220">
        <f>IF($B$81=0,0,(SUMIF($N$6:$N$28,$U47,L$6:L$28)+SUMIF($N$91:$N$118,$U47,L$91:L$118))*$I$83*Poor!$B$81/$B$81)</f>
        <v>0</v>
      </c>
      <c r="T47" s="220">
        <f>IF($B$81=0,0,(SUMIF($N$6:$N$28,$U17,M$6:M$28)+SUMIF($N$91:$N$118,$U17,M$91:M$118))*$I$83*Poor!$B$81/$B$81)</f>
        <v>10276.114285714286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71">
        <v>8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1401.3106912413493</v>
      </c>
      <c r="S48" s="220">
        <f>IF($B$81=0,0,(SUMIF($N$6:$N$28,$U48,L$6:L$28)+SUMIF($N$91:$N$118,$U48,L$91:L$118))*$I$83*Poor!$B$81/$B$81)</f>
        <v>0</v>
      </c>
      <c r="T48" s="220">
        <f>IF($B$81=0,0,(SUMIF($N$6:$N$28,$U18,M$6:M$28)+SUMIF($N$91:$N$118,$U18,M$91:M$118))*$I$83*Poor!$B$81/$B$81)</f>
        <v>2312.1626405482261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1</v>
      </c>
      <c r="F49" s="75">
        <f>Poor!F49</f>
        <v>1.18</v>
      </c>
      <c r="G49" s="75">
        <f>Poor!G49</f>
        <v>1.65</v>
      </c>
      <c r="H49" s="24">
        <f t="shared" si="30"/>
        <v>1.18</v>
      </c>
      <c r="I49" s="39">
        <f t="shared" si="31"/>
        <v>8991.6</v>
      </c>
      <c r="J49" s="38">
        <f t="shared" si="32"/>
        <v>8991.6</v>
      </c>
      <c r="K49" s="40">
        <f t="shared" si="33"/>
        <v>8.8738791195993941E-2</v>
      </c>
      <c r="L49" s="22">
        <f t="shared" si="34"/>
        <v>0.10471177361127285</v>
      </c>
      <c r="M49" s="24">
        <f t="shared" si="35"/>
        <v>0.10471177361127286</v>
      </c>
      <c r="N49" s="272">
        <v>11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IF($B$81=0,0,(SUMIF($N$6:$N$28,$U49,L$6:L$28)+SUMIF($N$91:$N$118,$U49,L$91:L$118))*$I$83*Poor!$B$81/$B$81)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2247.9</v>
      </c>
      <c r="AB49" s="156">
        <f>Poor!AB49</f>
        <v>0.25</v>
      </c>
      <c r="AC49" s="147">
        <f t="shared" si="41"/>
        <v>2247.9</v>
      </c>
      <c r="AD49" s="156">
        <f>Poor!AD49</f>
        <v>0.25</v>
      </c>
      <c r="AE49" s="147">
        <f t="shared" si="42"/>
        <v>2247.9</v>
      </c>
      <c r="AF49" s="122">
        <f t="shared" si="29"/>
        <v>0.25</v>
      </c>
      <c r="AG49" s="147">
        <f t="shared" si="36"/>
        <v>2247.9</v>
      </c>
      <c r="AH49" s="123">
        <f t="shared" si="37"/>
        <v>1</v>
      </c>
      <c r="AI49" s="112">
        <f t="shared" si="37"/>
        <v>8991.6</v>
      </c>
      <c r="AJ49" s="148">
        <f t="shared" si="38"/>
        <v>4495.8</v>
      </c>
      <c r="AK49" s="147">
        <f t="shared" si="39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73">
        <v>14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0</v>
      </c>
      <c r="S50" s="220">
        <f>IF($B$81=0,0,(SUMIF($N$6:$N$28,$U50,L$6:L$28)+SUMIF($N$91:$N$118,$U50,L$91:L$118))*$I$83*Poor!$B$81/$B$81)</f>
        <v>0</v>
      </c>
      <c r="T50" s="220">
        <f>IF($B$81=0,0,(SUMIF($N$6:$N$28,$U20,M$6:M$28)+SUMIF($N$91:$N$118,$U20,M$91:M$118))*$I$83*Poor!$B$81/$B$81)</f>
        <v>0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74">
        <v>9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13714.285714285714</v>
      </c>
      <c r="S51" s="220">
        <f>IF($B$81=0,0,(SUMIF($N$6:$N$28,$U51,L$6:L$28)+SUMIF($N$91:$N$118,$U51,L$91:L$118))*$I$83*Poor!$B$81/$B$81)</f>
        <v>0</v>
      </c>
      <c r="T51" s="220">
        <f>IF($B$81=0,0,(SUMIF($N$6:$N$28,$U21,M$6:M$28)+SUMIF($N$91:$N$118,$U21,M$91:M$118))*$I$83*Poor!$B$81/$B$81)</f>
        <v>15222.857142857143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75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IF($B$81=0,0,(SUMIF($N$6:$N$28,$U52,L$6:L$28)+SUMIF($N$91:$N$118,$U52,L$91:L$118))*$I$83*Poor!$B$81/$B$81)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75">
        <v>15</v>
      </c>
      <c r="O53" s="2"/>
      <c r="P53" s="2"/>
      <c r="Q53" s="171" t="s">
        <v>100</v>
      </c>
      <c r="R53" s="179">
        <f>SUM(R37:R52)</f>
        <v>103687.67488574953</v>
      </c>
      <c r="S53" s="179">
        <f>SUM(S37:S52)</f>
        <v>0</v>
      </c>
      <c r="T53" s="179">
        <f>SUM(T37:T52)</f>
        <v>69872.098202225068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</v>
      </c>
      <c r="S54" s="41">
        <f>IF($B$81=0,0,(SUM(($B$70*$H$70))+((1-$D$29)*$I$83))*Poor!$B$81/$B$81)</f>
        <v>35969.406972062054</v>
      </c>
      <c r="T54" s="41">
        <f>IF($B$81=0,0,(SUM(($B$70*$H$70))+((1-$D$29)*$I$83))*Poor!$B$81/$B$81)</f>
        <v>35969.406972062054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42445.473050733868</v>
      </c>
      <c r="S55" s="41">
        <f>IF($B$81=0,0,(SUM(($B$70*$H$70),($B$71*$H$71))+((1-$D$29)*$I$83))*Poor!$B$81/$B$81)</f>
        <v>54352.233638728721</v>
      </c>
      <c r="T55" s="41">
        <f>IF($B$81=0,0,(SUM(($B$70*$H$70),($B$71*$H$71))+((1-$D$29)*$I$83))*Poor!$B$81/$B$81)</f>
        <v>54352.233638728721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75183.393050733866</v>
      </c>
      <c r="S56" s="41">
        <f>IF($B$81=0,0,(SUM(($B$70*$H$70),($B$71*$H$71),($B$72*$H$72))+((1-$D$29)*$I$83))*Poor!$B$81/$B$81)</f>
        <v>87090.153638728734</v>
      </c>
      <c r="T56" s="41">
        <f>IF($B$81=0,0,(SUM(($B$70*$H$70),($B$71*$H$71),($B$72*$H$72))+((1-$D$29)*$I$83))*Poor!$B$81/$B$81)</f>
        <v>87090.153638728734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54022</v>
      </c>
      <c r="J65" s="39">
        <f>SUM(J37:J64)</f>
        <v>53929.846466545387</v>
      </c>
      <c r="K65" s="40">
        <f>SUM(K37:K64)</f>
        <v>1</v>
      </c>
      <c r="L65" s="22">
        <f>SUM(L37:L64)</f>
        <v>0.62152090369162682</v>
      </c>
      <c r="M65" s="24">
        <f>SUM(M37:M64)</f>
        <v>0.62804060168330489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10497.760635598283</v>
      </c>
      <c r="AB65" s="137"/>
      <c r="AC65" s="153">
        <f>SUM(AC37:AC64)</f>
        <v>8924.2082857347141</v>
      </c>
      <c r="AD65" s="137"/>
      <c r="AE65" s="153">
        <f>SUM(AE37:AE64)</f>
        <v>10283.234460666497</v>
      </c>
      <c r="AF65" s="137"/>
      <c r="AG65" s="153">
        <f>SUM(AG37:AG64)</f>
        <v>24224.643084545893</v>
      </c>
      <c r="AH65" s="137"/>
      <c r="AI65" s="153">
        <f>SUM(AI37:AI64)</f>
        <v>53929.846466545387</v>
      </c>
      <c r="AJ65" s="153">
        <f>SUM(AJ37:AJ64)</f>
        <v>19421.968921332998</v>
      </c>
      <c r="AK65" s="153">
        <f>SUM(AK37:AK64)</f>
        <v>34507.877545212395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13743.37686238272</v>
      </c>
      <c r="K72" s="40">
        <f t="shared" si="47"/>
        <v>0.28270641667637125</v>
      </c>
      <c r="L72" s="22">
        <f t="shared" si="45"/>
        <v>0.18974481387408712</v>
      </c>
      <c r="M72" s="24">
        <f t="shared" si="48"/>
        <v>0.16004864169538513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35725.598147920733</v>
      </c>
      <c r="J74" s="51">
        <f t="shared" si="44"/>
        <v>5805.0944187500809</v>
      </c>
      <c r="K74" s="40">
        <f>B74/B$76</f>
        <v>6.514985729326056E-2</v>
      </c>
      <c r="L74" s="22">
        <f t="shared" si="45"/>
        <v>3.1387418740183359E-2</v>
      </c>
      <c r="M74" s="24">
        <f>J74/B$76</f>
        <v>6.7603288910563414E-2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-1.7471152913591966E-12</v>
      </c>
      <c r="AB74" s="156"/>
      <c r="AC74" s="147">
        <f>AC30*$I$84/4</f>
        <v>1287.6720941629665</v>
      </c>
      <c r="AD74" s="156"/>
      <c r="AE74" s="147">
        <f>AE30*$I$84/4</f>
        <v>4921.2673732808043</v>
      </c>
      <c r="AF74" s="156"/>
      <c r="AG74" s="147">
        <f>AG30*$I$84/4</f>
        <v>4541.9624514050292</v>
      </c>
      <c r="AH74" s="155"/>
      <c r="AI74" s="147">
        <f>SUM(AA74,AC74,AE74,AG74)</f>
        <v>10750.901918848798</v>
      </c>
      <c r="AJ74" s="148">
        <f>(AA74+AC74)</f>
        <v>1287.6720941629646</v>
      </c>
      <c r="AK74" s="147">
        <f>(AE74+AG74)</f>
        <v>9463.2298246858336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9.1992429895463829E-2</v>
      </c>
      <c r="L75" s="22">
        <f t="shared" si="45"/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23121.708940486813</v>
      </c>
      <c r="AB75" s="158"/>
      <c r="AC75" s="149">
        <f>AA75+AC65-SUM(AC70,AC74)</f>
        <v>26184.144669038746</v>
      </c>
      <c r="AD75" s="158"/>
      <c r="AE75" s="149">
        <f>AC75+AE65-SUM(AE70,AE74)</f>
        <v>26972.011293404626</v>
      </c>
      <c r="AF75" s="158"/>
      <c r="AG75" s="149">
        <f>IF(SUM(AG6:AG29)+((AG65-AG70-$J$75)*4/I$83)&lt;1,0,AG65-AG70-$J$75-(1-SUM(AG6:AG29))*I$83/4)</f>
        <v>17198.048767908345</v>
      </c>
      <c r="AH75" s="134"/>
      <c r="AI75" s="149">
        <f>AI76-SUM(AI70,AI74)</f>
        <v>24882.542695617336</v>
      </c>
      <c r="AJ75" s="151">
        <f>AJ76-SUM(AJ70,AJ74)</f>
        <v>8986.0959011304039</v>
      </c>
      <c r="AK75" s="149">
        <f>AJ75+AK76-SUM(AK70,AK74)</f>
        <v>24882.542695617325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54022</v>
      </c>
      <c r="J76" s="51">
        <f t="shared" si="44"/>
        <v>53929.846466545387</v>
      </c>
      <c r="K76" s="40">
        <f>SUM(K70:K75)</f>
        <v>0.99999999999999989</v>
      </c>
      <c r="L76" s="22">
        <f>SUM(L70:L75)</f>
        <v>0.62152090369162694</v>
      </c>
      <c r="M76" s="24">
        <f>SUM(M70:M75)</f>
        <v>0.628040601683305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10497.760635598283</v>
      </c>
      <c r="AB76" s="137"/>
      <c r="AC76" s="153">
        <f>AC65</f>
        <v>8924.2082857347141</v>
      </c>
      <c r="AD76" s="137"/>
      <c r="AE76" s="153">
        <f>AE65</f>
        <v>10283.234460666497</v>
      </c>
      <c r="AF76" s="137"/>
      <c r="AG76" s="153">
        <f>AG65</f>
        <v>24224.643084545893</v>
      </c>
      <c r="AH76" s="137"/>
      <c r="AI76" s="153">
        <f>SUM(AA76,AC76,AE76,AG76)</f>
        <v>53929.846466545394</v>
      </c>
      <c r="AJ76" s="154">
        <f>SUM(AA76,AC76)</f>
        <v>19421.968921332998</v>
      </c>
      <c r="AK76" s="154">
        <f>SUM(AE76,AG76)</f>
        <v>34507.877545212388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16084.973333333328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17198.048767908345</v>
      </c>
      <c r="AB78" s="112"/>
      <c r="AC78" s="112">
        <f>IF(AA75&lt;0,0,AA75)</f>
        <v>23121.708940486813</v>
      </c>
      <c r="AD78" s="112"/>
      <c r="AE78" s="112">
        <f>AC75</f>
        <v>26184.144669038746</v>
      </c>
      <c r="AF78" s="112"/>
      <c r="AG78" s="112">
        <f>AE75</f>
        <v>26972.011293404626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8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23121.708940486813</v>
      </c>
      <c r="AB79" s="112"/>
      <c r="AC79" s="112">
        <f>AA79-AA74+AC65-AC70</f>
        <v>27471.816763201714</v>
      </c>
      <c r="AD79" s="112"/>
      <c r="AE79" s="112">
        <f>AC79-AC74+AE65-AE70</f>
        <v>31893.27866668543</v>
      </c>
      <c r="AF79" s="112"/>
      <c r="AG79" s="112">
        <f>AE79-AE74+AG65-AG70</f>
        <v>46622.553914930701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21054.815586058801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5">
        <f t="shared" si="49"/>
        <v>0.55547724843096302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0.3275455229087082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5">
        <f t="shared" ref="M92:M118" si="62">(J92)</f>
        <v>0.3275455229087082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5">
        <f t="shared" si="62"/>
        <v>5.5547724843096308E-2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5">
        <f t="shared" si="62"/>
        <v>9.0265052870031504E-2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8.383381109969841E-3</v>
      </c>
      <c r="K95" s="22">
        <f t="shared" si="60"/>
        <v>0.23301799828248024</v>
      </c>
      <c r="L95" s="22">
        <f t="shared" si="61"/>
        <v>5.9313672290085884E-2</v>
      </c>
      <c r="M95" s="225">
        <f t="shared" si="62"/>
        <v>8.383381109969841E-3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5">
        <f t="shared" si="62"/>
        <v>0.28421134638999479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5.8217924374790592E-3</v>
      </c>
      <c r="K97" s="22">
        <f t="shared" si="60"/>
        <v>0.24272708154425024</v>
      </c>
      <c r="L97" s="22">
        <f t="shared" si="61"/>
        <v>4.1190050201448523E-2</v>
      </c>
      <c r="M97" s="225">
        <f t="shared" si="62"/>
        <v>5.8217924374790592E-3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5">
        <f t="shared" si="62"/>
        <v>0</v>
      </c>
      <c r="N98" s="227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5">
        <f t="shared" si="62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5">
        <f t="shared" si="62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5">
        <f t="shared" si="62"/>
        <v>0.53325815849372449</v>
      </c>
      <c r="N101" s="227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5">
        <f t="shared" si="62"/>
        <v>0</v>
      </c>
      <c r="N102" s="227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0.7151515151515152</v>
      </c>
      <c r="I103" s="22">
        <f t="shared" si="58"/>
        <v>0.52909207913049228</v>
      </c>
      <c r="J103" s="24">
        <f t="shared" si="59"/>
        <v>0.52909207913049228</v>
      </c>
      <c r="K103" s="22">
        <f t="shared" si="60"/>
        <v>0.73983214454687474</v>
      </c>
      <c r="L103" s="22">
        <f t="shared" si="61"/>
        <v>0.52909207913049228</v>
      </c>
      <c r="M103" s="225">
        <f t="shared" si="62"/>
        <v>0.52909207913049228</v>
      </c>
      <c r="N103" s="227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5">
        <f t="shared" si="62"/>
        <v>0</v>
      </c>
      <c r="N104" s="227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5">
        <f t="shared" si="62"/>
        <v>0</v>
      </c>
      <c r="N105" s="227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5">
        <f t="shared" si="62"/>
        <v>0.7837878124047063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5">
        <f t="shared" si="62"/>
        <v>0</v>
      </c>
      <c r="N107" s="227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5">
        <f t="shared" si="62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5">
        <f t="shared" si="62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5">
        <f t="shared" si="62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5">
        <f t="shared" si="62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5">
        <f t="shared" si="62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5">
        <f t="shared" si="62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5">
        <f t="shared" si="62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5">
        <f t="shared" si="62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5">
        <f t="shared" si="62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5">
        <f t="shared" si="62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5">
        <f t="shared" si="62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3.1788127028323605</v>
      </c>
      <c r="J119" s="24">
        <f>SUM(J91:J118)</f>
        <v>3.173390119019166</v>
      </c>
      <c r="K119" s="22">
        <f>SUM(K91:K118)</f>
        <v>8.3371897968819066</v>
      </c>
      <c r="L119" s="22">
        <f>SUM(L91:L118)</f>
        <v>3.1404471132161542</v>
      </c>
      <c r="M119" s="57">
        <f t="shared" si="49"/>
        <v>3.173390119019166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5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5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0.80870054699852911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0.95875062196502769</v>
      </c>
      <c r="M126" s="57">
        <f t="shared" si="65"/>
        <v>0.80870054699852911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2.1021988302709023</v>
      </c>
      <c r="J128" s="226">
        <f>(J30)</f>
        <v>0.34158875790352072</v>
      </c>
      <c r="K128" s="22">
        <f>(B128)</f>
        <v>0.54316672549368428</v>
      </c>
      <c r="L128" s="22">
        <f>IF(L124=L119,0,(L119-L124)/(B119-B124)*K128)</f>
        <v>0.15859567713401013</v>
      </c>
      <c r="M128" s="57">
        <f t="shared" si="63"/>
        <v>0.34158875790352072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0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3.1788127028323605</v>
      </c>
      <c r="J130" s="226">
        <f>(J119)</f>
        <v>3.173390119019166</v>
      </c>
      <c r="K130" s="22">
        <f>(B130)</f>
        <v>8.3371897968819066</v>
      </c>
      <c r="L130" s="22">
        <f>(L119)</f>
        <v>3.1404471132161542</v>
      </c>
      <c r="M130" s="57">
        <f t="shared" si="63"/>
        <v>3.173390119019166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0.94648694155565805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0.13778639455712893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437" priority="164" operator="equal">
      <formula>16</formula>
    </cfRule>
    <cfRule type="cellIs" dxfId="436" priority="165" operator="equal">
      <formula>15</formula>
    </cfRule>
    <cfRule type="cellIs" dxfId="435" priority="166" operator="equal">
      <formula>14</formula>
    </cfRule>
    <cfRule type="cellIs" dxfId="434" priority="167" operator="equal">
      <formula>13</formula>
    </cfRule>
    <cfRule type="cellIs" dxfId="433" priority="168" operator="equal">
      <formula>12</formula>
    </cfRule>
    <cfRule type="cellIs" dxfId="432" priority="169" operator="equal">
      <formula>11</formula>
    </cfRule>
    <cfRule type="cellIs" dxfId="431" priority="170" operator="equal">
      <formula>10</formula>
    </cfRule>
    <cfRule type="cellIs" dxfId="430" priority="171" operator="equal">
      <formula>9</formula>
    </cfRule>
    <cfRule type="cellIs" dxfId="429" priority="172" operator="equal">
      <formula>8</formula>
    </cfRule>
    <cfRule type="cellIs" dxfId="428" priority="173" operator="equal">
      <formula>7</formula>
    </cfRule>
    <cfRule type="cellIs" dxfId="427" priority="174" operator="equal">
      <formula>6</formula>
    </cfRule>
    <cfRule type="cellIs" dxfId="426" priority="175" operator="equal">
      <formula>5</formula>
    </cfRule>
    <cfRule type="cellIs" dxfId="425" priority="176" operator="equal">
      <formula>4</formula>
    </cfRule>
    <cfRule type="cellIs" dxfId="424" priority="177" operator="equal">
      <formula>3</formula>
    </cfRule>
    <cfRule type="cellIs" dxfId="423" priority="178" operator="equal">
      <formula>2</formula>
    </cfRule>
    <cfRule type="cellIs" dxfId="422" priority="179" operator="equal">
      <formula>1</formula>
    </cfRule>
  </conditionalFormatting>
  <conditionalFormatting sqref="N29">
    <cfRule type="cellIs" dxfId="421" priority="148" operator="equal">
      <formula>16</formula>
    </cfRule>
    <cfRule type="cellIs" dxfId="420" priority="149" operator="equal">
      <formula>15</formula>
    </cfRule>
    <cfRule type="cellIs" dxfId="419" priority="150" operator="equal">
      <formula>14</formula>
    </cfRule>
    <cfRule type="cellIs" dxfId="418" priority="151" operator="equal">
      <formula>13</formula>
    </cfRule>
    <cfRule type="cellIs" dxfId="417" priority="152" operator="equal">
      <formula>12</formula>
    </cfRule>
    <cfRule type="cellIs" dxfId="416" priority="153" operator="equal">
      <formula>11</formula>
    </cfRule>
    <cfRule type="cellIs" dxfId="415" priority="154" operator="equal">
      <formula>10</formula>
    </cfRule>
    <cfRule type="cellIs" dxfId="414" priority="155" operator="equal">
      <formula>9</formula>
    </cfRule>
    <cfRule type="cellIs" dxfId="413" priority="156" operator="equal">
      <formula>8</formula>
    </cfRule>
    <cfRule type="cellIs" dxfId="412" priority="157" operator="equal">
      <formula>7</formula>
    </cfRule>
    <cfRule type="cellIs" dxfId="411" priority="158" operator="equal">
      <formula>6</formula>
    </cfRule>
    <cfRule type="cellIs" dxfId="410" priority="159" operator="equal">
      <formula>5</formula>
    </cfRule>
    <cfRule type="cellIs" dxfId="409" priority="160" operator="equal">
      <formula>4</formula>
    </cfRule>
    <cfRule type="cellIs" dxfId="408" priority="161" operator="equal">
      <formula>3</formula>
    </cfRule>
    <cfRule type="cellIs" dxfId="407" priority="162" operator="equal">
      <formula>2</formula>
    </cfRule>
    <cfRule type="cellIs" dxfId="406" priority="163" operator="equal">
      <formula>1</formula>
    </cfRule>
  </conditionalFormatting>
  <conditionalFormatting sqref="N113:N118">
    <cfRule type="cellIs" dxfId="405" priority="100" operator="equal">
      <formula>16</formula>
    </cfRule>
    <cfRule type="cellIs" dxfId="404" priority="101" operator="equal">
      <formula>15</formula>
    </cfRule>
    <cfRule type="cellIs" dxfId="403" priority="102" operator="equal">
      <formula>14</formula>
    </cfRule>
    <cfRule type="cellIs" dxfId="402" priority="103" operator="equal">
      <formula>13</formula>
    </cfRule>
    <cfRule type="cellIs" dxfId="401" priority="104" operator="equal">
      <formula>12</formula>
    </cfRule>
    <cfRule type="cellIs" dxfId="400" priority="105" operator="equal">
      <formula>11</formula>
    </cfRule>
    <cfRule type="cellIs" dxfId="399" priority="106" operator="equal">
      <formula>10</formula>
    </cfRule>
    <cfRule type="cellIs" dxfId="398" priority="107" operator="equal">
      <formula>9</formula>
    </cfRule>
    <cfRule type="cellIs" dxfId="397" priority="108" operator="equal">
      <formula>8</formula>
    </cfRule>
    <cfRule type="cellIs" dxfId="396" priority="109" operator="equal">
      <formula>7</formula>
    </cfRule>
    <cfRule type="cellIs" dxfId="395" priority="110" operator="equal">
      <formula>6</formula>
    </cfRule>
    <cfRule type="cellIs" dxfId="394" priority="111" operator="equal">
      <formula>5</formula>
    </cfRule>
    <cfRule type="cellIs" dxfId="393" priority="112" operator="equal">
      <formula>4</formula>
    </cfRule>
    <cfRule type="cellIs" dxfId="392" priority="113" operator="equal">
      <formula>3</formula>
    </cfRule>
    <cfRule type="cellIs" dxfId="391" priority="114" operator="equal">
      <formula>2</formula>
    </cfRule>
    <cfRule type="cellIs" dxfId="390" priority="115" operator="equal">
      <formula>1</formula>
    </cfRule>
  </conditionalFormatting>
  <conditionalFormatting sqref="N27:N28">
    <cfRule type="cellIs" dxfId="389" priority="84" operator="equal">
      <formula>16</formula>
    </cfRule>
    <cfRule type="cellIs" dxfId="388" priority="85" operator="equal">
      <formula>15</formula>
    </cfRule>
    <cfRule type="cellIs" dxfId="387" priority="86" operator="equal">
      <formula>14</formula>
    </cfRule>
    <cfRule type="cellIs" dxfId="386" priority="87" operator="equal">
      <formula>13</formula>
    </cfRule>
    <cfRule type="cellIs" dxfId="385" priority="88" operator="equal">
      <formula>12</formula>
    </cfRule>
    <cfRule type="cellIs" dxfId="384" priority="89" operator="equal">
      <formula>11</formula>
    </cfRule>
    <cfRule type="cellIs" dxfId="383" priority="90" operator="equal">
      <formula>10</formula>
    </cfRule>
    <cfRule type="cellIs" dxfId="382" priority="91" operator="equal">
      <formula>9</formula>
    </cfRule>
    <cfRule type="cellIs" dxfId="381" priority="92" operator="equal">
      <formula>8</formula>
    </cfRule>
    <cfRule type="cellIs" dxfId="380" priority="93" operator="equal">
      <formula>7</formula>
    </cfRule>
    <cfRule type="cellIs" dxfId="379" priority="94" operator="equal">
      <formula>6</formula>
    </cfRule>
    <cfRule type="cellIs" dxfId="378" priority="95" operator="equal">
      <formula>5</formula>
    </cfRule>
    <cfRule type="cellIs" dxfId="377" priority="96" operator="equal">
      <formula>4</formula>
    </cfRule>
    <cfRule type="cellIs" dxfId="376" priority="97" operator="equal">
      <formula>3</formula>
    </cfRule>
    <cfRule type="cellIs" dxfId="375" priority="98" operator="equal">
      <formula>2</formula>
    </cfRule>
    <cfRule type="cellIs" dxfId="374" priority="99" operator="equal">
      <formula>1</formula>
    </cfRule>
  </conditionalFormatting>
  <conditionalFormatting sqref="N112">
    <cfRule type="cellIs" dxfId="373" priority="52" operator="equal">
      <formula>16</formula>
    </cfRule>
    <cfRule type="cellIs" dxfId="372" priority="53" operator="equal">
      <formula>15</formula>
    </cfRule>
    <cfRule type="cellIs" dxfId="371" priority="54" operator="equal">
      <formula>14</formula>
    </cfRule>
    <cfRule type="cellIs" dxfId="370" priority="55" operator="equal">
      <formula>13</formula>
    </cfRule>
    <cfRule type="cellIs" dxfId="369" priority="56" operator="equal">
      <formula>12</formula>
    </cfRule>
    <cfRule type="cellIs" dxfId="368" priority="57" operator="equal">
      <formula>11</formula>
    </cfRule>
    <cfRule type="cellIs" dxfId="367" priority="58" operator="equal">
      <formula>10</formula>
    </cfRule>
    <cfRule type="cellIs" dxfId="366" priority="59" operator="equal">
      <formula>9</formula>
    </cfRule>
    <cfRule type="cellIs" dxfId="365" priority="60" operator="equal">
      <formula>8</formula>
    </cfRule>
    <cfRule type="cellIs" dxfId="364" priority="61" operator="equal">
      <formula>7</formula>
    </cfRule>
    <cfRule type="cellIs" dxfId="363" priority="62" operator="equal">
      <formula>6</formula>
    </cfRule>
    <cfRule type="cellIs" dxfId="362" priority="63" operator="equal">
      <formula>5</formula>
    </cfRule>
    <cfRule type="cellIs" dxfId="361" priority="64" operator="equal">
      <formula>4</formula>
    </cfRule>
    <cfRule type="cellIs" dxfId="360" priority="65" operator="equal">
      <formula>3</formula>
    </cfRule>
    <cfRule type="cellIs" dxfId="359" priority="66" operator="equal">
      <formula>2</formula>
    </cfRule>
    <cfRule type="cellIs" dxfId="358" priority="67" operator="equal">
      <formula>1</formula>
    </cfRule>
  </conditionalFormatting>
  <conditionalFormatting sqref="N91:N104">
    <cfRule type="cellIs" dxfId="357" priority="36" operator="equal">
      <formula>16</formula>
    </cfRule>
    <cfRule type="cellIs" dxfId="356" priority="37" operator="equal">
      <formula>15</formula>
    </cfRule>
    <cfRule type="cellIs" dxfId="355" priority="38" operator="equal">
      <formula>14</formula>
    </cfRule>
    <cfRule type="cellIs" dxfId="354" priority="39" operator="equal">
      <formula>13</formula>
    </cfRule>
    <cfRule type="cellIs" dxfId="353" priority="40" operator="equal">
      <formula>12</formula>
    </cfRule>
    <cfRule type="cellIs" dxfId="352" priority="41" operator="equal">
      <formula>11</formula>
    </cfRule>
    <cfRule type="cellIs" dxfId="351" priority="42" operator="equal">
      <formula>10</formula>
    </cfRule>
    <cfRule type="cellIs" dxfId="350" priority="43" operator="equal">
      <formula>9</formula>
    </cfRule>
    <cfRule type="cellIs" dxfId="349" priority="44" operator="equal">
      <formula>8</formula>
    </cfRule>
    <cfRule type="cellIs" dxfId="348" priority="45" operator="equal">
      <formula>7</formula>
    </cfRule>
    <cfRule type="cellIs" dxfId="347" priority="46" operator="equal">
      <formula>6</formula>
    </cfRule>
    <cfRule type="cellIs" dxfId="346" priority="47" operator="equal">
      <formula>5</formula>
    </cfRule>
    <cfRule type="cellIs" dxfId="345" priority="48" operator="equal">
      <formula>4</formula>
    </cfRule>
    <cfRule type="cellIs" dxfId="344" priority="49" operator="equal">
      <formula>3</formula>
    </cfRule>
    <cfRule type="cellIs" dxfId="343" priority="50" operator="equal">
      <formula>2</formula>
    </cfRule>
    <cfRule type="cellIs" dxfId="342" priority="51" operator="equal">
      <formula>1</formula>
    </cfRule>
  </conditionalFormatting>
  <conditionalFormatting sqref="N105:N111">
    <cfRule type="cellIs" dxfId="341" priority="20" operator="equal">
      <formula>16</formula>
    </cfRule>
    <cfRule type="cellIs" dxfId="340" priority="21" operator="equal">
      <formula>15</formula>
    </cfRule>
    <cfRule type="cellIs" dxfId="339" priority="22" operator="equal">
      <formula>14</formula>
    </cfRule>
    <cfRule type="cellIs" dxfId="338" priority="23" operator="equal">
      <formula>13</formula>
    </cfRule>
    <cfRule type="cellIs" dxfId="337" priority="24" operator="equal">
      <formula>12</formula>
    </cfRule>
    <cfRule type="cellIs" dxfId="336" priority="25" operator="equal">
      <formula>11</formula>
    </cfRule>
    <cfRule type="cellIs" dxfId="335" priority="26" operator="equal">
      <formula>10</formula>
    </cfRule>
    <cfRule type="cellIs" dxfId="334" priority="27" operator="equal">
      <formula>9</formula>
    </cfRule>
    <cfRule type="cellIs" dxfId="333" priority="28" operator="equal">
      <formula>8</formula>
    </cfRule>
    <cfRule type="cellIs" dxfId="332" priority="29" operator="equal">
      <formula>7</formula>
    </cfRule>
    <cfRule type="cellIs" dxfId="331" priority="30" operator="equal">
      <formula>6</formula>
    </cfRule>
    <cfRule type="cellIs" dxfId="330" priority="31" operator="equal">
      <formula>5</formula>
    </cfRule>
    <cfRule type="cellIs" dxfId="329" priority="32" operator="equal">
      <formula>4</formula>
    </cfRule>
    <cfRule type="cellIs" dxfId="328" priority="33" operator="equal">
      <formula>3</formula>
    </cfRule>
    <cfRule type="cellIs" dxfId="327" priority="34" operator="equal">
      <formula>2</formula>
    </cfRule>
    <cfRule type="cellIs" dxfId="326" priority="35" operator="equal">
      <formula>1</formula>
    </cfRule>
  </conditionalFormatting>
  <conditionalFormatting sqref="N6:N26">
    <cfRule type="cellIs" dxfId="325" priority="4" operator="equal">
      <formula>16</formula>
    </cfRule>
    <cfRule type="cellIs" dxfId="324" priority="5" operator="equal">
      <formula>15</formula>
    </cfRule>
    <cfRule type="cellIs" dxfId="323" priority="6" operator="equal">
      <formula>14</formula>
    </cfRule>
    <cfRule type="cellIs" dxfId="322" priority="7" operator="equal">
      <formula>13</formula>
    </cfRule>
    <cfRule type="cellIs" dxfId="321" priority="8" operator="equal">
      <formula>12</formula>
    </cfRule>
    <cfRule type="cellIs" dxfId="320" priority="9" operator="equal">
      <formula>11</formula>
    </cfRule>
    <cfRule type="cellIs" dxfId="319" priority="10" operator="equal">
      <formula>10</formula>
    </cfRule>
    <cfRule type="cellIs" dxfId="318" priority="11" operator="equal">
      <formula>9</formula>
    </cfRule>
    <cfRule type="cellIs" dxfId="317" priority="12" operator="equal">
      <formula>8</formula>
    </cfRule>
    <cfRule type="cellIs" dxfId="316" priority="13" operator="equal">
      <formula>7</formula>
    </cfRule>
    <cfRule type="cellIs" dxfId="315" priority="14" operator="equal">
      <formula>6</formula>
    </cfRule>
    <cfRule type="cellIs" dxfId="314" priority="15" operator="equal">
      <formula>5</formula>
    </cfRule>
    <cfRule type="cellIs" dxfId="313" priority="16" operator="equal">
      <formula>4</formula>
    </cfRule>
    <cfRule type="cellIs" dxfId="312" priority="17" operator="equal">
      <formula>3</formula>
    </cfRule>
    <cfRule type="cellIs" dxfId="311" priority="18" operator="equal">
      <formula>2</formula>
    </cfRule>
    <cfRule type="cellIs" dxfId="310" priority="19" operator="equal">
      <formula>1</formula>
    </cfRule>
  </conditionalFormatting>
  <conditionalFormatting sqref="R31:T31">
    <cfRule type="cellIs" dxfId="309" priority="3" operator="greaterThan">
      <formula>0</formula>
    </cfRule>
  </conditionalFormatting>
  <conditionalFormatting sqref="R32:T32">
    <cfRule type="cellIs" dxfId="308" priority="2" operator="greaterThan">
      <formula>0</formula>
    </cfRule>
  </conditionalFormatting>
  <conditionalFormatting sqref="R30:T30">
    <cfRule type="cellIs" dxfId="30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3" activePane="bottomRight" state="frozen"/>
      <selection pane="topRight" activeCell="B1" sqref="B1"/>
      <selection pane="bottomLeft" activeCell="A3" sqref="A3"/>
      <selection pane="bottomRight" activeCell="T37" sqref="T3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4" t="str">
        <f>Poor!Z2</f>
        <v>Q1</v>
      </c>
      <c r="AA2" s="255"/>
      <c r="AB2" s="254" t="str">
        <f>Poor!AB2</f>
        <v>Q2</v>
      </c>
      <c r="AC2" s="255"/>
      <c r="AD2" s="254" t="str">
        <f>Poor!AD2</f>
        <v>Q3</v>
      </c>
      <c r="AE2" s="255"/>
      <c r="AF2" s="254" t="str">
        <f>Poor!AF2</f>
        <v>Q4</v>
      </c>
      <c r="AG2" s="255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7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7">
        <v>3</v>
      </c>
      <c r="O7" s="2"/>
      <c r="P7" s="22"/>
      <c r="Q7" s="59" t="s">
        <v>71</v>
      </c>
      <c r="R7" s="220">
        <f>IF($B$81=0,0,(SUMIF($N$6:$N$28,$U7,K$6:K$28)+SUMIF($N$91:$N$118,$U7,K$91:K$118))*$B$83*$H$84*Poor!$B$81/$B$81)</f>
        <v>2609.8430257697223</v>
      </c>
      <c r="S7" s="220">
        <f>IF($B$81=0,0,(SUMIF($N$6:$N$28,$U7,L$6:L$28)+SUMIF($N$91:$N$118,$U7,L$91:L$118))*$I$83*Poor!$B$81/$B$81)</f>
        <v>691.02760809439474</v>
      </c>
      <c r="T7" s="220">
        <f>IF($B$81=0,0,(SUMIF($N$6:$N$28,$U7,M$6:M$28)+SUMIF($N$91:$N$118,$U7,M$91:M$118))*$I$83*Poor!$B$81/$B$81)</f>
        <v>896.03977909982518</v>
      </c>
      <c r="U7" s="221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2.7850261453263012E-2</v>
      </c>
      <c r="K8" s="22">
        <f t="shared" si="4"/>
        <v>5.9145719178082187E-2</v>
      </c>
      <c r="L8" s="22">
        <f t="shared" si="5"/>
        <v>1.7743715753424656E-2</v>
      </c>
      <c r="M8" s="222">
        <f t="shared" si="6"/>
        <v>2.7850261453263012E-2</v>
      </c>
      <c r="N8" s="227">
        <v>1</v>
      </c>
      <c r="O8" s="2"/>
      <c r="P8" s="22"/>
      <c r="Q8" s="59" t="s">
        <v>72</v>
      </c>
      <c r="R8" s="220">
        <f>IF($B$81=0,0,(SUMIF($N$6:$N$28,$U8,K$6:K$28)+SUMIF($N$91:$N$118,$U8,K$91:K$118))*$B$83*$H$84*Poor!$B$81/$B$81)</f>
        <v>14996.068386836114</v>
      </c>
      <c r="S8" s="220">
        <f>IF($B$81=0,0,(SUMIF($N$6:$N$28,$U8,L$6:L$28)+SUMIF($N$91:$N$118,$U8,L$91:L$118))*$I$83*Poor!$B$81/$B$81)</f>
        <v>3312.9599999999991</v>
      </c>
      <c r="T8" s="220">
        <f>IF($B$81=0,0,(SUMIF($N$6:$N$28,$U8,M$6:M$28)+SUMIF($N$91:$N$118,$U8,M$91:M$118))*$I$83*Poor!$B$81/$B$81)</f>
        <v>3250.9527515545969</v>
      </c>
      <c r="U8" s="221">
        <v>2</v>
      </c>
      <c r="V8" s="56"/>
      <c r="W8" s="115"/>
      <c r="X8" s="118">
        <f>Poor!X8</f>
        <v>1</v>
      </c>
      <c r="Y8" s="183">
        <f t="shared" si="9"/>
        <v>0.11140104581305205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0.11140104581305205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2.7850261453263012E-2</v>
      </c>
      <c r="AJ8" s="120">
        <f t="shared" si="14"/>
        <v>5.5700522906526023E-2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2">
        <f t="shared" si="6"/>
        <v>1.1047051681195517E-2</v>
      </c>
      <c r="N9" s="227">
        <v>1</v>
      </c>
      <c r="O9" s="2"/>
      <c r="P9" s="22"/>
      <c r="Q9" s="59" t="s">
        <v>73</v>
      </c>
      <c r="R9" s="220">
        <f>IF($B$81=0,0,(SUMIF($N$6:$N$28,$U9,K$6:K$28)+SUMIF($N$91:$N$118,$U9,K$91:K$118))*$B$83*$H$84*Poor!$B$81/$B$81)</f>
        <v>3037.7832928629437</v>
      </c>
      <c r="S9" s="220">
        <f>IF($B$81=0,0,(SUMIF($N$6:$N$28,$U9,L$6:L$28)+SUMIF($N$91:$N$118,$U9,L$91:L$118))*$I$83*Poor!$B$81/$B$81)</f>
        <v>670.6267001855233</v>
      </c>
      <c r="T9" s="220">
        <f>IF($B$81=0,0,(SUMIF($N$6:$N$28,$U9,M$6:M$28)+SUMIF($N$91:$N$118,$U9,M$91:M$118))*$I$83*Poor!$B$81/$B$81)</f>
        <v>670.6267001855233</v>
      </c>
      <c r="U9" s="221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7.2375912200622851E-3</v>
      </c>
      <c r="K10" s="22">
        <f t="shared" si="4"/>
        <v>3.3942799501867994E-2</v>
      </c>
      <c r="L10" s="22">
        <f t="shared" si="5"/>
        <v>6.788559900373599E-3</v>
      </c>
      <c r="M10" s="222">
        <f t="shared" si="6"/>
        <v>7.2375912200622851E-3</v>
      </c>
      <c r="N10" s="227">
        <v>1</v>
      </c>
      <c r="O10" s="2"/>
      <c r="P10" s="22"/>
      <c r="Q10" s="59" t="s">
        <v>74</v>
      </c>
      <c r="R10" s="220">
        <f>IF($B$81=0,0,(SUMIF($N$6:$N$28,$U10,K$6:K$28)+SUMIF($N$91:$N$118,$U10,K$91:K$118))*$B$83*$H$84*Poor!$B$81/$B$81)</f>
        <v>0</v>
      </c>
      <c r="S10" s="220">
        <f>IF($B$81=0,0,(SUMIF($N$6:$N$28,$U10,L$6:L$28)+SUMIF($N$91:$N$118,$U10,L$91:L$118))*$I$83*Poor!$B$81/$B$81)</f>
        <v>0</v>
      </c>
      <c r="T10" s="220">
        <f>IF($B$81=0,0,(SUMIF($N$6:$N$28,$U10,M$6:M$28)+SUMIF($N$91:$N$118,$U10,M$91:M$118))*$I$83*Poor!$B$81/$B$81)</f>
        <v>0</v>
      </c>
      <c r="U10" s="221">
        <v>4</v>
      </c>
      <c r="V10" s="56"/>
      <c r="W10" s="115"/>
      <c r="X10" s="118">
        <f>Poor!X10</f>
        <v>1</v>
      </c>
      <c r="Y10" s="183">
        <f t="shared" si="9"/>
        <v>2.895036488024914E-2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2.895036488024914E-2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7.2375912200622851E-3</v>
      </c>
      <c r="AJ10" s="120">
        <f t="shared" si="14"/>
        <v>1.447518244012457E-2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2">
        <f t="shared" si="6"/>
        <v>0</v>
      </c>
      <c r="N11" s="227"/>
      <c r="O11" s="2"/>
      <c r="P11" s="22"/>
      <c r="Q11" s="59" t="s">
        <v>75</v>
      </c>
      <c r="R11" s="220">
        <f>IF($B$81=0,0,(SUMIF($N$6:$N$28,$U11,K$6:K$28)+SUMIF($N$91:$N$118,$U11,K$91:K$118))*$B$83*$H$84*Poor!$B$81/$B$81)</f>
        <v>48955.466474170928</v>
      </c>
      <c r="S11" s="220">
        <f>IF($B$81=0,0,(SUMIF($N$6:$N$28,$U11,L$6:L$28)+SUMIF($N$91:$N$118,$U11,L$91:L$118))*$I$83*Poor!$B$81/$B$81)</f>
        <v>19322.499999999996</v>
      </c>
      <c r="T11" s="220">
        <f>IF($B$81=0,0,(SUMIF($N$6:$N$28,$U11,M$6:M$28)+SUMIF($N$91:$N$118,$U11,M$91:M$118))*$I$83*Poor!$B$81/$B$81)</f>
        <v>19378.509143798357</v>
      </c>
      <c r="U11" s="221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2">
        <f t="shared" si="6"/>
        <v>0</v>
      </c>
      <c r="N12" s="227"/>
      <c r="O12" s="2"/>
      <c r="P12" s="22"/>
      <c r="Q12" s="126" t="s">
        <v>124</v>
      </c>
      <c r="R12" s="220">
        <f>IF($B$81=0,0,(SUMIF($N$6:$N$28,$U12,K$6:K$28)+SUMIF($N$91:$N$118,$U12,K$91:K$118))*$B$83*$H$84*Poor!$B$81/$B$81)</f>
        <v>0</v>
      </c>
      <c r="S12" s="220">
        <f>IF($B$81=0,0,(SUMIF($N$6:$N$28,$U12,L$6:L$28)+SUMIF($N$91:$N$118,$U12,L$91:L$118))*$I$83*Poor!$B$81/$B$81)</f>
        <v>0</v>
      </c>
      <c r="T12" s="220">
        <f>IF($B$81=0,0,(SUMIF($N$6:$N$28,$U12,M$6:M$28)+SUMIF($N$91:$N$118,$U12,M$91:M$118))*$I$83*Poor!$B$81/$B$81)</f>
        <v>0</v>
      </c>
      <c r="U12" s="221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3">
        <f t="shared" si="6"/>
        <v>0</v>
      </c>
      <c r="N13" s="227"/>
      <c r="O13" s="2"/>
      <c r="P13" s="22"/>
      <c r="Q13" s="59" t="s">
        <v>76</v>
      </c>
      <c r="R13" s="220">
        <f>IF($B$81=0,0,(SUMIF($N$6:$N$28,$U13,K$6:K$28)+SUMIF($N$91:$N$118,$U13,K$91:K$118))*$B$83*$H$84*Poor!$B$81/$B$81)</f>
        <v>0</v>
      </c>
      <c r="S13" s="220">
        <f>IF($B$81=0,0,(SUMIF($N$6:$N$28,$U13,L$6:L$28)+SUMIF($N$91:$N$118,$U13,L$91:L$118))*$I$83*Poor!$B$81/$B$81)</f>
        <v>0</v>
      </c>
      <c r="T13" s="220">
        <f>IF($B$81=0,0,(SUMIF($N$6:$N$28,$U13,M$6:M$28)+SUMIF($N$91:$N$118,$U13,M$91:M$118))*$I$83*Poor!$B$81/$B$81)</f>
        <v>0</v>
      </c>
      <c r="U13" s="221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3">
        <f t="shared" si="6"/>
        <v>0</v>
      </c>
      <c r="N14" s="227"/>
      <c r="O14" s="2"/>
      <c r="P14" s="22"/>
      <c r="Q14" s="126" t="s">
        <v>77</v>
      </c>
      <c r="R14" s="220">
        <f>IF($B$81=0,0,(SUMIF($N$6:$N$28,$U14,K$6:K$28)+SUMIF($N$91:$N$118,$U14,K$91:K$118))*$B$83*$H$84*Poor!$B$81/$B$81)</f>
        <v>113008.64932663579</v>
      </c>
      <c r="S14" s="220">
        <f>IF($B$81=0,0,(SUMIF($N$6:$N$28,$U14,L$6:L$28)+SUMIF($N$91:$N$118,$U14,L$91:L$118))*$I$83*Poor!$B$81/$B$81)</f>
        <v>35683.199999999997</v>
      </c>
      <c r="T14" s="220">
        <f>IF($B$81=0,0,(SUMIF($N$6:$N$28,$U14,M$6:M$28)+SUMIF($N$91:$N$118,$U14,M$91:M$118))*$I$83*Poor!$B$81/$B$81)</f>
        <v>35683.199999999997</v>
      </c>
      <c r="U14" s="221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4">
        <f t="shared" si="6"/>
        <v>0</v>
      </c>
      <c r="N15" s="227"/>
      <c r="O15" s="2"/>
      <c r="P15" s="22"/>
      <c r="Q15" s="59" t="s">
        <v>126</v>
      </c>
      <c r="R15" s="220">
        <f>IF($B$81=0,0,(SUMIF($N$6:$N$28,$U15,K$6:K$28)+SUMIF($N$91:$N$118,$U15,K$91:K$118))*$B$83*$H$84*Poor!$B$81/$B$81)</f>
        <v>0</v>
      </c>
      <c r="S15" s="220">
        <f>IF($B$81=0,0,(SUMIF($N$6:$N$28,$U15,L$6:L$28)+SUMIF($N$91:$N$118,$U15,L$91:L$118))*$I$83*Poor!$B$81/$B$81)</f>
        <v>0</v>
      </c>
      <c r="T15" s="220">
        <f>IF($B$81=0,0,(SUMIF($N$6:$N$28,$U15,M$6:M$28)+SUMIF($N$91:$N$118,$U15,M$91:M$118))*$I$83*Poor!$B$81/$B$81)</f>
        <v>0</v>
      </c>
      <c r="U15" s="221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2">
        <f t="shared" si="6"/>
        <v>0</v>
      </c>
      <c r="N16" s="227"/>
      <c r="O16" s="2"/>
      <c r="P16" s="22"/>
      <c r="Q16" s="126" t="s">
        <v>78</v>
      </c>
      <c r="R16" s="220">
        <f>IF($B$81=0,0,(SUMIF($N$6:$N$28,$U16,K$6:K$28)+SUMIF($N$91:$N$118,$U16,K$91:K$118))*$B$83*$H$84*Poor!$B$81/$B$81)</f>
        <v>0</v>
      </c>
      <c r="S16" s="220">
        <f>IF($B$81=0,0,(SUMIF($N$6:$N$28,$U16,L$6:L$28)+SUMIF($N$91:$N$118,$U16,L$91:L$118))*$I$83*Poor!$B$81/$B$81)</f>
        <v>0</v>
      </c>
      <c r="T16" s="220">
        <f>IF($B$81=0,0,(SUMIF($N$6:$N$28,$U16,M$6:M$28)+SUMIF($N$91:$N$118,$U16,M$91:M$118))*$I$83*Poor!$B$81/$B$81)</f>
        <v>0</v>
      </c>
      <c r="U16" s="221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3">
        <f t="shared" si="6"/>
        <v>0</v>
      </c>
      <c r="N17" s="227"/>
      <c r="O17" s="2"/>
      <c r="P17" s="22"/>
      <c r="Q17" s="126" t="s">
        <v>125</v>
      </c>
      <c r="R17" s="220">
        <f>IF($B$81=0,0,(SUMIF($N$6:$N$28,$U17,K$6:K$28)+SUMIF($N$91:$N$118,$U17,K$91:K$118))*$B$83*$H$84*Poor!$B$81/$B$81)</f>
        <v>93725.427417725718</v>
      </c>
      <c r="S17" s="220">
        <f>IF($B$81=0,0,(SUMIF($N$6:$N$28,$U17,L$6:L$28)+SUMIF($N$91:$N$118,$U17,L$91:L$118))*$I$83*Poor!$B$81/$B$81)</f>
        <v>59188.800000000003</v>
      </c>
      <c r="T17" s="220">
        <f>IF($B$81=0,0,(SUMIF($N$6:$N$28,$U17,M$6:M$28)+SUMIF($N$91:$N$118,$U17,M$91:M$118))*$I$83*Poor!$B$81/$B$81)</f>
        <v>59188.800000000003</v>
      </c>
      <c r="U17" s="221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3">
        <f t="shared" ref="M18:M25" si="23">J18</f>
        <v>0</v>
      </c>
      <c r="N18" s="227"/>
      <c r="O18" s="2"/>
      <c r="P18" s="22"/>
      <c r="Q18" s="59" t="s">
        <v>79</v>
      </c>
      <c r="R18" s="220">
        <f>IF($B$81=0,0,(SUMIF($N$6:$N$28,$U18,K$6:K$28)+SUMIF($N$91:$N$118,$U18,K$91:K$118))*$B$83*$H$84*Poor!$B$81/$B$81)</f>
        <v>0</v>
      </c>
      <c r="S18" s="220">
        <f>IF($B$81=0,0,(SUMIF($N$6:$N$28,$U18,L$6:L$28)+SUMIF($N$91:$N$118,$U18,L$91:L$118))*$I$83*Poor!$B$81/$B$81)</f>
        <v>0</v>
      </c>
      <c r="T18" s="220">
        <f>IF($B$81=0,0,(SUMIF($N$6:$N$28,$U18,M$6:M$28)+SUMIF($N$91:$N$118,$U18,M$91:M$118))*$I$83*Poor!$B$81/$B$81)</f>
        <v>0</v>
      </c>
      <c r="U18" s="221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3">
        <f t="shared" si="23"/>
        <v>0</v>
      </c>
      <c r="N19" s="227"/>
      <c r="O19" s="2"/>
      <c r="P19" s="22"/>
      <c r="Q19" s="59" t="s">
        <v>80</v>
      </c>
      <c r="R19" s="220">
        <f>IF($B$81=0,0,(SUMIF($N$6:$N$28,$U19,K$6:K$28)+SUMIF($N$91:$N$118,$U19,K$91:K$118))*$B$83*$H$84*Poor!$B$81/$B$81)</f>
        <v>0</v>
      </c>
      <c r="S19" s="220">
        <f>IF($B$81=0,0,(SUMIF($N$6:$N$28,$U19,L$6:L$28)+SUMIF($N$91:$N$118,$U19,L$91:L$118))*$I$83*Poor!$B$81/$B$81)</f>
        <v>0</v>
      </c>
      <c r="T19" s="220">
        <f>IF($B$81=0,0,(SUMIF($N$6:$N$28,$U19,M$6:M$28)+SUMIF($N$91:$N$118,$U19,M$91:M$118))*$I$83*Poor!$B$81/$B$81)</f>
        <v>0</v>
      </c>
      <c r="U19" s="221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3">
        <f t="shared" si="23"/>
        <v>0</v>
      </c>
      <c r="N20" s="227"/>
      <c r="O20" s="2"/>
      <c r="P20" s="22"/>
      <c r="Q20" s="59" t="s">
        <v>81</v>
      </c>
      <c r="R20" s="220">
        <f>IF($B$81=0,0,(SUMIF($N$6:$N$28,$U20,K$6:K$28)+SUMIF($N$91:$N$118,$U20,K$91:K$118))*$B$83*$H$84*Poor!$B$81/$B$81)</f>
        <v>11390.554336891068</v>
      </c>
      <c r="S20" s="220">
        <f>IF($B$81=0,0,(SUMIF($N$6:$N$28,$U20,L$6:L$28)+SUMIF($N$91:$N$118,$U20,L$91:L$118))*$I$83*Poor!$B$81/$B$81)</f>
        <v>8991.6</v>
      </c>
      <c r="T20" s="220">
        <f>IF($B$81=0,0,(SUMIF($N$6:$N$28,$U20,M$6:M$28)+SUMIF($N$91:$N$118,$U20,M$91:M$118))*$I$83*Poor!$B$81/$B$81)</f>
        <v>8991.6</v>
      </c>
      <c r="U20" s="221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3">
        <f t="shared" si="23"/>
        <v>0</v>
      </c>
      <c r="N21" s="227"/>
      <c r="O21" s="2"/>
      <c r="P21" s="22"/>
      <c r="Q21" s="59" t="s">
        <v>82</v>
      </c>
      <c r="R21" s="220">
        <f>IF($B$81=0,0,(SUMIF($N$6:$N$28,$U21,K$6:K$28)+SUMIF($N$91:$N$118,$U21,K$91:K$118))*$B$83*$H$84*Poor!$B$81/$B$81)</f>
        <v>38925.201434730108</v>
      </c>
      <c r="S21" s="220">
        <f>IF($B$81=0,0,(SUMIF($N$6:$N$28,$U21,L$6:L$28)+SUMIF($N$91:$N$118,$U21,L$91:L$118))*$I$83*Poor!$B$81/$B$81)</f>
        <v>27030.000000000004</v>
      </c>
      <c r="T21" s="220">
        <f>IF($B$81=0,0,(SUMIF($N$6:$N$28,$U21,M$6:M$28)+SUMIF($N$91:$N$118,$U21,M$91:M$118))*$I$83*Poor!$B$81/$B$81)</f>
        <v>27030.000000000004</v>
      </c>
      <c r="U21" s="221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3">
        <f t="shared" si="23"/>
        <v>0</v>
      </c>
      <c r="N22" s="227"/>
      <c r="O22" s="2"/>
      <c r="P22" s="22"/>
      <c r="Q22" s="59" t="s">
        <v>83</v>
      </c>
      <c r="R22" s="220">
        <f>IF($B$81=0,0,(SUMIF($N$6:$N$28,$U22,K$6:K$28)+SUMIF($N$91:$N$118,$U22,K$91:K$118))*$B$83*$H$84*Poor!$B$81/$B$81)</f>
        <v>0</v>
      </c>
      <c r="S22" s="220">
        <f>IF($B$81=0,0,(SUMIF($N$6:$N$28,$U22,L$6:L$28)+SUMIF($N$91:$N$118,$U22,L$91:L$118))*$I$83*Poor!$B$81/$B$81)</f>
        <v>0</v>
      </c>
      <c r="T22" s="220">
        <f>IF($B$81=0,0,(SUMIF($N$6:$N$28,$U22,M$6:M$28)+SUMIF($N$91:$N$118,$U22,M$91:M$118))*$I$83*Poor!$B$81/$B$81)</f>
        <v>0</v>
      </c>
      <c r="U22" s="221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3">
        <f t="shared" si="23"/>
        <v>0</v>
      </c>
      <c r="N23" s="227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154890.71430827992</v>
      </c>
      <c r="T23" s="179">
        <f>SUM(T7:T22)</f>
        <v>155089.7283746383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3">
        <f t="shared" si="23"/>
        <v>0</v>
      </c>
      <c r="N24" s="227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3">
        <f t="shared" si="23"/>
        <v>0</v>
      </c>
      <c r="N25" s="227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2">
        <f t="shared" si="6"/>
        <v>0</v>
      </c>
      <c r="N26" s="227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3.1882709132752679E-2</v>
      </c>
      <c r="K27" s="22">
        <f t="shared" si="4"/>
        <v>3.314115504358655E-2</v>
      </c>
      <c r="L27" s="22">
        <f t="shared" si="5"/>
        <v>3.314115504358655E-2</v>
      </c>
      <c r="M27" s="224">
        <f t="shared" si="6"/>
        <v>3.1882709132752679E-2</v>
      </c>
      <c r="N27" s="227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0.12753083653101072</v>
      </c>
      <c r="Z27" s="156">
        <f>Poor!Z27</f>
        <v>0.25</v>
      </c>
      <c r="AA27" s="121">
        <f t="shared" si="16"/>
        <v>3.1882709132752679E-2</v>
      </c>
      <c r="AB27" s="156">
        <f>Poor!AB27</f>
        <v>0.25</v>
      </c>
      <c r="AC27" s="121">
        <f t="shared" si="7"/>
        <v>3.1882709132752679E-2</v>
      </c>
      <c r="AD27" s="156">
        <f>Poor!AD27</f>
        <v>0.25</v>
      </c>
      <c r="AE27" s="121">
        <f t="shared" si="8"/>
        <v>3.1882709132752679E-2</v>
      </c>
      <c r="AF27" s="122">
        <f t="shared" si="10"/>
        <v>0.25</v>
      </c>
      <c r="AG27" s="121">
        <f t="shared" si="11"/>
        <v>3.1882709132752679E-2</v>
      </c>
      <c r="AH27" s="123">
        <f t="shared" si="12"/>
        <v>1</v>
      </c>
      <c r="AI27" s="183">
        <f t="shared" si="13"/>
        <v>3.1882709132752679E-2</v>
      </c>
      <c r="AJ27" s="120">
        <f t="shared" si="14"/>
        <v>3.1882709132752679E-2</v>
      </c>
      <c r="AK27" s="119">
        <f t="shared" si="15"/>
        <v>3.1882709132752679E-2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2">
        <f t="shared" si="6"/>
        <v>0</v>
      </c>
      <c r="N28" s="227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0.45828935233018714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0.45828935233018714</v>
      </c>
      <c r="N29" s="227"/>
      <c r="P29" s="22"/>
      <c r="V29" s="56"/>
      <c r="W29" s="110"/>
      <c r="X29" s="118"/>
      <c r="Y29" s="183">
        <f t="shared" si="9"/>
        <v>1.8331574093207486</v>
      </c>
      <c r="Z29" s="156">
        <f>Poor!Z29</f>
        <v>0.25</v>
      </c>
      <c r="AA29" s="121">
        <f t="shared" si="16"/>
        <v>0.45828935233018714</v>
      </c>
      <c r="AB29" s="156">
        <f>Poor!AB29</f>
        <v>0.25</v>
      </c>
      <c r="AC29" s="121">
        <f t="shared" si="7"/>
        <v>0.45828935233018714</v>
      </c>
      <c r="AD29" s="156">
        <f>Poor!AD29</f>
        <v>0.25</v>
      </c>
      <c r="AE29" s="121">
        <f t="shared" si="8"/>
        <v>0.45828935233018714</v>
      </c>
      <c r="AF29" s="122">
        <f t="shared" si="10"/>
        <v>0.25</v>
      </c>
      <c r="AG29" s="121">
        <f t="shared" si="11"/>
        <v>0.45828935233018714</v>
      </c>
      <c r="AH29" s="123">
        <f t="shared" si="12"/>
        <v>1</v>
      </c>
      <c r="AI29" s="183">
        <f t="shared" si="13"/>
        <v>0.45828935233018714</v>
      </c>
      <c r="AJ29" s="120">
        <f t="shared" si="14"/>
        <v>0.45828935233018714</v>
      </c>
      <c r="AK29" s="119">
        <f t="shared" si="15"/>
        <v>0.45828935233018714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6.8200902630027702</v>
      </c>
      <c r="J30" s="229">
        <f>IF(I$32&lt;=1,I30,1-SUM(J6:J29))</f>
        <v>0.42916409987369752</v>
      </c>
      <c r="K30" s="22">
        <f t="shared" si="4"/>
        <v>0.5065454465753424</v>
      </c>
      <c r="L30" s="22">
        <f>IF(L124=L119,0,IF(K30="",0,(L119-L124)/(B119-B124)*K30))</f>
        <v>0.20376564867893104</v>
      </c>
      <c r="M30" s="175">
        <f t="shared" si="6"/>
        <v>0.42916409987369752</v>
      </c>
      <c r="N30" s="166" t="s">
        <v>86</v>
      </c>
      <c r="O30" s="2"/>
      <c r="P30" s="22"/>
      <c r="Q30" s="232" t="s">
        <v>141</v>
      </c>
      <c r="R30" s="232">
        <f t="shared" ref="R30:T32" si="24">IF(R24&gt;R$23,R24-R$23,0)</f>
        <v>0</v>
      </c>
      <c r="S30" s="232">
        <f t="shared" si="24"/>
        <v>0</v>
      </c>
      <c r="T30" s="232">
        <f t="shared" si="24"/>
        <v>0</v>
      </c>
      <c r="V30" s="56"/>
      <c r="W30" s="110"/>
      <c r="X30" s="118"/>
      <c r="Y30" s="183">
        <f>M30*4</f>
        <v>1.7166563994947901</v>
      </c>
      <c r="Z30" s="122">
        <f>IF($Y30=0,0,AA30/($Y$30))</f>
        <v>0.18279664529805426</v>
      </c>
      <c r="AA30" s="187">
        <f>IF(AA79*4/$I$83+SUM(AA6:AA29)&lt;1,AA79*4/$I$83,1-SUM(AA6:AA29))</f>
        <v>0.31379903095708406</v>
      </c>
      <c r="AB30" s="122">
        <f>IF($Y30=0,0,AC30/($Y$30))</f>
        <v>0.29029609450197941</v>
      </c>
      <c r="AC30" s="187">
        <f>IF(AC79*4/$I$83+SUM(AC6:AC29)&lt;1,AC79*4/$I$83,1-SUM(AC6:AC29))</f>
        <v>0.49833864837516728</v>
      </c>
      <c r="AD30" s="122">
        <f>IF($Y30=0,0,AE30/($Y$30))</f>
        <v>0.28399695999415536</v>
      </c>
      <c r="AE30" s="187">
        <f>IF(AE79*4/$I$83+SUM(AE6:AE29)&lt;1,AE79*4/$I$83,1-SUM(AE6:AE29))</f>
        <v>0.48752519881103273</v>
      </c>
      <c r="AF30" s="122">
        <f>IF($Y30=0,0,AG30/($Y$30))</f>
        <v>0.24291030020581098</v>
      </c>
      <c r="AG30" s="187">
        <f>IF(AG79*4/$I$83+SUM(AG6:AG29)&lt;1,AG79*4/$I$83,1-SUM(AG6:AG29))</f>
        <v>0.41699352135150602</v>
      </c>
      <c r="AH30" s="123">
        <f t="shared" si="12"/>
        <v>0.99999999999999989</v>
      </c>
      <c r="AI30" s="183">
        <f t="shared" si="13"/>
        <v>0.42916409987369752</v>
      </c>
      <c r="AJ30" s="120">
        <f t="shared" si="14"/>
        <v>0.40606883966612567</v>
      </c>
      <c r="AK30" s="119">
        <f t="shared" si="15"/>
        <v>0.45225936008126938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0">
        <f>(1-SUM(J6:J30))</f>
        <v>0</v>
      </c>
      <c r="K31" s="22" t="str">
        <f t="shared" si="4"/>
        <v/>
      </c>
      <c r="L31" s="22">
        <f>(1-SUM(L6:L30))</f>
        <v>0.22547305574199061</v>
      </c>
      <c r="M31" s="178">
        <f t="shared" si="6"/>
        <v>0</v>
      </c>
      <c r="N31" s="167">
        <f>M31*I83</f>
        <v>0</v>
      </c>
      <c r="P31" s="22"/>
      <c r="Q31" s="236" t="s">
        <v>142</v>
      </c>
      <c r="R31" s="232">
        <f t="shared" si="24"/>
        <v>0</v>
      </c>
      <c r="S31" s="232">
        <f t="shared" si="24"/>
        <v>0</v>
      </c>
      <c r="T31" s="232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7.3928162682648173</v>
      </c>
      <c r="J32" s="17"/>
      <c r="L32" s="22">
        <f>SUM(L6:L30)</f>
        <v>0.77452694425800939</v>
      </c>
      <c r="M32" s="23"/>
      <c r="N32" s="56"/>
      <c r="O32" s="2"/>
      <c r="P32" s="22"/>
      <c r="Q32" s="232" t="s">
        <v>143</v>
      </c>
      <c r="R32" s="232">
        <f t="shared" si="24"/>
        <v>0</v>
      </c>
      <c r="S32" s="232">
        <f t="shared" si="24"/>
        <v>0</v>
      </c>
      <c r="T32" s="232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3.7972300880243476E-2</v>
      </c>
      <c r="K33" s="14"/>
      <c r="L33" s="11"/>
      <c r="M33" s="30"/>
      <c r="N33" s="168" t="s">
        <v>87</v>
      </c>
      <c r="O33" s="2"/>
      <c r="P33" s="2"/>
      <c r="Q33" s="236"/>
      <c r="R33" s="232"/>
      <c r="S33" s="232"/>
      <c r="T33" s="23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0"/>
      <c r="S36" s="240"/>
      <c r="T36" s="249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27">
        <v>5</v>
      </c>
      <c r="O37" s="2"/>
      <c r="P37" s="2"/>
      <c r="Q37" s="59" t="s">
        <v>71</v>
      </c>
      <c r="R37" s="220">
        <f>IF($B$81=0,0,(SUMIF($N$6:$N$28,$U7,K$6:K$28)*$B$83+SUMIF($N$37:$N$64,$U7,B$37:B$64))*Poor!$B$81/$B$81)</f>
        <v>1745.9206346047977</v>
      </c>
      <c r="S37" s="220">
        <f>IF($B$81=0,0,(SUMIF($N$6:$N$28,$U37,L$6:L$28)+SUMIF($N$91:$N$118,$U37,L$91:L$118))*$I$83*Poor!$B$81/$B$81)</f>
        <v>0</v>
      </c>
      <c r="T37" s="220">
        <f>IF($B$81=0,0,(SUMIF($N$6:$N$28,$U7,M$6:M$28)+SUMIF($N$91:$N$118,$U7,M$91:M$118))*$I$83*Poor!$B$81/$B$81)</f>
        <v>896.03977909982518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4776.0091437983592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2.2240684839474157E-2</v>
      </c>
      <c r="N38" s="227">
        <v>5</v>
      </c>
      <c r="O38" s="2"/>
      <c r="P38" s="2"/>
      <c r="Q38" s="59" t="s">
        <v>72</v>
      </c>
      <c r="R38" s="220">
        <f>IF($B$81=0,0,(SUMIF($N$6:$N$28,$U8,K$6:K$28)*$B$83+SUMIF($N$37:$N$64,$U8,B$37:B$64))*Poor!$B$81/$B$81)</f>
        <v>10032</v>
      </c>
      <c r="S38" s="220">
        <f>IF($B$81=0,0,(SUMIF($N$6:$N$28,$U38,L$6:L$28)+SUMIF($N$91:$N$118,$U38,L$91:L$118))*$I$83*Poor!$B$81/$B$81)</f>
        <v>0</v>
      </c>
      <c r="T38" s="220">
        <f>IF($B$81=0,0,(SUMIF($N$6:$N$28,$U8,M$6:M$28)+SUMIF($N$91:$N$118,$U8,M$91:M$118))*$I$83*Poor!$B$81/$B$81)</f>
        <v>3250.9527515545969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4776.0091437983592</v>
      </c>
      <c r="AH38" s="123">
        <f t="shared" ref="AH38:AI58" si="35">SUM(Z38,AB38,AD38,AF38)</f>
        <v>1</v>
      </c>
      <c r="AI38" s="112">
        <f t="shared" si="35"/>
        <v>4776.0091437983592</v>
      </c>
      <c r="AJ38" s="148">
        <f t="shared" ref="AJ38:AJ64" si="36">(AA38+AC38)</f>
        <v>0</v>
      </c>
      <c r="AK38" s="147">
        <f t="shared" ref="AK38:AK64" si="37">(AE38+AG38)</f>
        <v>4776.0091437983592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27">
        <v>5</v>
      </c>
      <c r="O39" s="2"/>
      <c r="P39" s="2"/>
      <c r="Q39" s="59" t="s">
        <v>73</v>
      </c>
      <c r="R39" s="220">
        <f>IF($B$81=0,0,(SUMIF($N$6:$N$28,$U9,K$6:K$28)*$B$83+SUMIF($N$37:$N$64,$U9,B$37:B$64))*Poor!$B$81/$B$81)</f>
        <v>2032.2021217743129</v>
      </c>
      <c r="S39" s="220">
        <f>IF($B$81=0,0,(SUMIF($N$6:$N$28,$U39,L$6:L$28)+SUMIF($N$91:$N$118,$U39,L$91:L$118))*$I$83*Poor!$B$81/$B$81)</f>
        <v>0</v>
      </c>
      <c r="T39" s="220">
        <f>IF($B$81=0,0,(SUMIF($N$6:$N$28,$U9,M$6:M$28)+SUMIF($N$91:$N$118,$U9,M$91:M$118))*$I$83*Poor!$B$81/$B$81)</f>
        <v>670.6267001855233</v>
      </c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27">
        <v>5</v>
      </c>
      <c r="O40" s="2"/>
      <c r="P40" s="2"/>
      <c r="Q40" s="59" t="s">
        <v>74</v>
      </c>
      <c r="R40" s="220">
        <f>IF($B$81=0,0,(SUMIF($N$6:$N$28,$U10,K$6:K$28)*$B$83+SUMIF($N$37:$N$64,$U10,B$37:B$64))*Poor!$B$81/$B$81)</f>
        <v>0</v>
      </c>
      <c r="S40" s="220">
        <f>IF($B$81=0,0,(SUMIF($N$6:$N$28,$U40,L$6:L$28)+SUMIF($N$91:$N$118,$U40,L$91:L$118))*$I$83*Poor!$B$81/$B$81)</f>
        <v>0</v>
      </c>
      <c r="T40" s="220">
        <f>IF($B$81=0,0,(SUMIF($N$6:$N$28,$U10,M$6:M$28)+SUMIF($N$91:$N$118,$U10,M$91:M$118))*$I$83*Poor!$B$81/$B$81)</f>
        <v>0</v>
      </c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1454.5858810690718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6.7736440988212451E-3</v>
      </c>
      <c r="N41" s="227">
        <v>2</v>
      </c>
      <c r="O41" s="2"/>
      <c r="P41" s="2"/>
      <c r="Q41" s="59" t="s">
        <v>75</v>
      </c>
      <c r="R41" s="220">
        <f>IF($B$81=0,0,(SUMIF($N$6:$N$28,$U11,K$6:K$28)*$B$83+SUMIF($N$37:$N$64,$U11,B$37:B$64))*Poor!$B$81/$B$81)</f>
        <v>32750</v>
      </c>
      <c r="S41" s="220">
        <f>IF($B$81=0,0,(SUMIF($N$6:$N$28,$U41,L$6:L$28)+SUMIF($N$91:$N$118,$U41,L$91:L$118))*$I$83*Poor!$B$81/$B$81)</f>
        <v>0</v>
      </c>
      <c r="T41" s="220">
        <f>IF($B$81=0,0,(SUMIF($N$6:$N$28,$U11,M$6:M$28)+SUMIF($N$91:$N$118,$U11,M$91:M$118))*$I$83*Poor!$B$81/$B$81)</f>
        <v>19378.509143798357</v>
      </c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1454.5858810690718</v>
      </c>
      <c r="AH41" s="123">
        <f t="shared" si="35"/>
        <v>1</v>
      </c>
      <c r="AI41" s="112">
        <f t="shared" si="35"/>
        <v>1454.5858810690718</v>
      </c>
      <c r="AJ41" s="148">
        <f t="shared" si="36"/>
        <v>0</v>
      </c>
      <c r="AK41" s="147">
        <f t="shared" si="37"/>
        <v>1454.5858810690718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27">
        <v>2</v>
      </c>
      <c r="O42" s="2"/>
      <c r="P42" s="2"/>
      <c r="Q42" s="126" t="s">
        <v>124</v>
      </c>
      <c r="R42" s="220">
        <f>IF($B$81=0,0,(SUMIF($N$6:$N$28,$U12,K$6:K$28)*$B$83+SUMIF($N$37:$N$64,$U12,B$37:B$64))*Poor!$B$81/$B$81)</f>
        <v>0</v>
      </c>
      <c r="S42" s="220">
        <f>IF($B$81=0,0,(SUMIF($N$6:$N$28,$U42,L$6:L$28)+SUMIF($N$91:$N$118,$U42,L$91:L$118))*$I$83*Poor!$B$81/$B$81)</f>
        <v>0</v>
      </c>
      <c r="T42" s="220">
        <f>IF($B$81=0,0,(SUMIF($N$6:$N$28,$U12,M$6:M$28)+SUMIF($N$91:$N$118,$U12,M$91:M$118))*$I$83*Poor!$B$81/$B$81)</f>
        <v>0</v>
      </c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116.36687048552572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5.4189152790569948E-4</v>
      </c>
      <c r="N43" s="227">
        <v>2</v>
      </c>
      <c r="O43" s="2"/>
      <c r="P43" s="2"/>
      <c r="Q43" s="59" t="s">
        <v>76</v>
      </c>
      <c r="R43" s="220">
        <f>IF($B$81=0,0,(SUMIF($N$6:$N$28,$U13,K$6:K$28)*$B$83+SUMIF($N$37:$N$64,$U13,B$37:B$64))*Poor!$B$81/$B$81)</f>
        <v>0</v>
      </c>
      <c r="S43" s="220">
        <f>IF($B$81=0,0,(SUMIF($N$6:$N$28,$U43,L$6:L$28)+SUMIF($N$91:$N$118,$U43,L$91:L$118))*$I$83*Poor!$B$81/$B$81)</f>
        <v>0</v>
      </c>
      <c r="T43" s="220">
        <f>IF($B$81=0,0,(SUMIF($N$6:$N$28,$U13,M$6:M$28)+SUMIF($N$91:$N$118,$U13,M$91:M$118))*$I$83*Poor!$B$81/$B$81)</f>
        <v>0</v>
      </c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29.091717621381431</v>
      </c>
      <c r="AB43" s="156">
        <f>Poor!AB43</f>
        <v>0.25</v>
      </c>
      <c r="AC43" s="147">
        <f t="shared" si="39"/>
        <v>29.091717621381431</v>
      </c>
      <c r="AD43" s="156">
        <f>Poor!AD43</f>
        <v>0.25</v>
      </c>
      <c r="AE43" s="147">
        <f t="shared" si="40"/>
        <v>29.091717621381431</v>
      </c>
      <c r="AF43" s="122">
        <f t="shared" si="31"/>
        <v>0.25</v>
      </c>
      <c r="AG43" s="147">
        <f t="shared" si="34"/>
        <v>29.091717621381431</v>
      </c>
      <c r="AH43" s="123">
        <f t="shared" si="35"/>
        <v>1</v>
      </c>
      <c r="AI43" s="112">
        <f t="shared" si="35"/>
        <v>116.36687048552572</v>
      </c>
      <c r="AJ43" s="148">
        <f t="shared" si="36"/>
        <v>58.183435242762862</v>
      </c>
      <c r="AK43" s="147">
        <f t="shared" si="37"/>
        <v>58.183435242762862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27">
        <v>7</v>
      </c>
      <c r="O44" s="2"/>
      <c r="P44" s="2"/>
      <c r="Q44" s="126" t="s">
        <v>77</v>
      </c>
      <c r="R44" s="220">
        <f>IF($B$81=0,0,(SUMIF($N$6:$N$28,$U14,K$6:K$28)*$B$83+SUMIF($N$37:$N$64,$U14,B$37:B$64))*Poor!$B$81/$B$81)</f>
        <v>75600</v>
      </c>
      <c r="S44" s="220">
        <f>IF($B$81=0,0,(SUMIF($N$6:$N$28,$U44,L$6:L$28)+SUMIF($N$91:$N$118,$U44,L$91:L$118))*$I$83*Poor!$B$81/$B$81)</f>
        <v>0</v>
      </c>
      <c r="T44" s="220">
        <f>IF($B$81=0,0,(SUMIF($N$6:$N$28,$U14,M$6:M$28)+SUMIF($N$91:$N$118,$U14,M$91:M$118))*$I$83*Poor!$B$81/$B$81)</f>
        <v>35683.199999999997</v>
      </c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27">
        <v>7</v>
      </c>
      <c r="O45" s="2"/>
      <c r="P45" s="2"/>
      <c r="Q45" s="59" t="s">
        <v>127</v>
      </c>
      <c r="R45" s="220">
        <f>IF($B$81=0,0,(SUMIF($N$6:$N$28,$U15,K$6:K$28)*$B$83+SUMIF($N$37:$N$64,$U15,B$37:B$64))*Poor!$B$81/$B$81)</f>
        <v>0</v>
      </c>
      <c r="S45" s="220">
        <f>IF($B$81=0,0,(SUMIF($N$6:$N$28,$U45,L$6:L$28)+SUMIF($N$91:$N$118,$U45,L$91:L$118))*$I$83*Poor!$B$81/$B$81)</f>
        <v>0</v>
      </c>
      <c r="T45" s="220">
        <f>IF($B$81=0,0,(SUMIF($N$6:$N$28,$U15,M$6:M$28)+SUMIF($N$91:$N$118,$U15,M$91:M$118))*$I$83*Poor!$B$81/$B$81)</f>
        <v>0</v>
      </c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27">
        <v>7</v>
      </c>
      <c r="O46" s="2"/>
      <c r="P46" s="2"/>
      <c r="Q46" s="126" t="s">
        <v>78</v>
      </c>
      <c r="R46" s="220">
        <f>IF($B$81=0,0,(SUMIF($N$6:$N$28,$U16,K$6:K$28)*$B$83+SUMIF($N$37:$N$64,$U16,B$37:B$64))*Poor!$B$81/$B$81)</f>
        <v>0</v>
      </c>
      <c r="S46" s="220">
        <f>IF($B$81=0,0,(SUMIF($N$6:$N$28,$U46,L$6:L$28)+SUMIF($N$91:$N$118,$U46,L$91:L$118))*$I$83*Poor!$B$81/$B$81)</f>
        <v>0</v>
      </c>
      <c r="T46" s="220">
        <f>IF($B$81=0,0,(SUMIF($N$6:$N$28,$U16,M$6:M$28)+SUMIF($N$91:$N$118,$U16,M$91:M$118))*$I$83*Poor!$B$81/$B$81)</f>
        <v>0</v>
      </c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27">
        <v>8</v>
      </c>
      <c r="O47" s="2"/>
      <c r="P47" s="2"/>
      <c r="Q47" s="126" t="s">
        <v>125</v>
      </c>
      <c r="R47" s="220">
        <f>IF($B$81=0,0,(SUMIF($N$6:$N$28,$U17,K$6:K$28)*$B$83+SUMIF($N$37:$N$64,$U17,B$37:B$64))*Poor!$B$81/$B$81)</f>
        <v>62700</v>
      </c>
      <c r="S47" s="220">
        <f>IF($B$81=0,0,(SUMIF($N$6:$N$28,$U47,L$6:L$28)+SUMIF($N$91:$N$118,$U47,L$91:L$118))*$I$83*Poor!$B$81/$B$81)</f>
        <v>0</v>
      </c>
      <c r="T47" s="220">
        <f>IF($B$81=0,0,(SUMIF($N$6:$N$28,$U17,M$6:M$28)+SUMIF($N$91:$N$118,$U17,M$91:M$118))*$I$83*Poor!$B$81/$B$81)</f>
        <v>59188.800000000003</v>
      </c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27">
        <v>11</v>
      </c>
      <c r="O48" s="2"/>
      <c r="P48" s="2"/>
      <c r="Q48" s="59" t="s">
        <v>79</v>
      </c>
      <c r="R48" s="220">
        <f>IF($B$81=0,0,(SUMIF($N$6:$N$28,$U18,K$6:K$28)*$B$83+SUMIF($N$37:$N$64,$U18,B$37:B$64))*Poor!$B$81/$B$81)</f>
        <v>0</v>
      </c>
      <c r="S48" s="220">
        <f>IF($B$81=0,0,(SUMIF($N$6:$N$28,$U48,L$6:L$28)+SUMIF($N$91:$N$118,$U48,L$91:L$118))*$I$83*Poor!$B$81/$B$81)</f>
        <v>0</v>
      </c>
      <c r="T48" s="220">
        <f>IF($B$81=0,0,(SUMIF($N$6:$N$28,$U18,M$6:M$28)+SUMIF($N$91:$N$118,$U18,M$91:M$118))*$I$83*Poor!$B$81/$B$81)</f>
        <v>0</v>
      </c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1</v>
      </c>
      <c r="F49" s="75">
        <f>Middle!F49</f>
        <v>1.18</v>
      </c>
      <c r="G49" s="22">
        <f t="shared" si="32"/>
        <v>1.65</v>
      </c>
      <c r="H49" s="24">
        <f t="shared" si="26"/>
        <v>1.18</v>
      </c>
      <c r="I49" s="39">
        <f t="shared" si="27"/>
        <v>8991.6</v>
      </c>
      <c r="J49" s="38">
        <f t="shared" si="33"/>
        <v>8991.6</v>
      </c>
      <c r="K49" s="40">
        <f t="shared" si="28"/>
        <v>3.5484441795270605E-2</v>
      </c>
      <c r="L49" s="22">
        <f t="shared" si="29"/>
        <v>4.1871641318419313E-2</v>
      </c>
      <c r="M49" s="24">
        <f t="shared" si="30"/>
        <v>4.1871641318419313E-2</v>
      </c>
      <c r="N49" s="227">
        <v>14</v>
      </c>
      <c r="O49" s="2"/>
      <c r="P49" s="2"/>
      <c r="Q49" s="59" t="s">
        <v>80</v>
      </c>
      <c r="R49" s="220">
        <f>IF($B$81=0,0,(SUMIF($N$6:$N$28,$U19,K$6:K$28)*$B$83+SUMIF($N$37:$N$64,$U19,B$37:B$64))*Poor!$B$81/$B$81)</f>
        <v>0</v>
      </c>
      <c r="S49" s="220">
        <f>IF($B$81=0,0,(SUMIF($N$6:$N$28,$U49,L$6:L$28)+SUMIF($N$91:$N$118,$U49,L$91:L$118))*$I$83*Poor!$B$81/$B$81)</f>
        <v>0</v>
      </c>
      <c r="T49" s="220">
        <f>IF($B$81=0,0,(SUMIF($N$6:$N$28,$U19,M$6:M$28)+SUMIF($N$91:$N$118,$U19,M$91:M$118))*$I$83*Poor!$B$81/$B$81)</f>
        <v>0</v>
      </c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2247.9</v>
      </c>
      <c r="AB49" s="156">
        <f>Poor!AB49</f>
        <v>0.25</v>
      </c>
      <c r="AC49" s="147">
        <f t="shared" si="39"/>
        <v>2247.9</v>
      </c>
      <c r="AD49" s="156">
        <f>Poor!AD49</f>
        <v>0.25</v>
      </c>
      <c r="AE49" s="147">
        <f t="shared" si="40"/>
        <v>2247.9</v>
      </c>
      <c r="AF49" s="122">
        <f t="shared" si="31"/>
        <v>0.25</v>
      </c>
      <c r="AG49" s="147">
        <f t="shared" si="34"/>
        <v>2247.9</v>
      </c>
      <c r="AH49" s="123">
        <f t="shared" si="35"/>
        <v>1</v>
      </c>
      <c r="AI49" s="112">
        <f t="shared" si="35"/>
        <v>8991.6</v>
      </c>
      <c r="AJ49" s="148">
        <f t="shared" si="36"/>
        <v>4495.8</v>
      </c>
      <c r="AK49" s="147">
        <f t="shared" si="37"/>
        <v>4495.8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27">
        <v>9</v>
      </c>
      <c r="O50" s="2"/>
      <c r="P50" s="2"/>
      <c r="Q50" s="59" t="s">
        <v>81</v>
      </c>
      <c r="R50" s="220">
        <f>IF($B$81=0,0,(SUMIF($N$6:$N$28,$U20,K$6:K$28)*$B$83+SUMIF($N$37:$N$64,$U20,B$37:B$64))*Poor!$B$81/$B$81)</f>
        <v>7620</v>
      </c>
      <c r="S50" s="220">
        <f>IF($B$81=0,0,(SUMIF($N$6:$N$28,$U50,L$6:L$28)+SUMIF($N$91:$N$118,$U50,L$91:L$118))*$I$83*Poor!$B$81/$B$81)</f>
        <v>0</v>
      </c>
      <c r="T50" s="220">
        <f>IF($B$81=0,0,(SUMIF($N$6:$N$28,$U20,M$6:M$28)+SUMIF($N$91:$N$118,$U20,M$91:M$118))*$I$83*Poor!$B$81/$B$81)</f>
        <v>8991.6</v>
      </c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27">
        <v>15</v>
      </c>
      <c r="O51" s="2"/>
      <c r="P51" s="2"/>
      <c r="Q51" s="59" t="s">
        <v>82</v>
      </c>
      <c r="R51" s="220">
        <f>IF($B$81=0,0,(SUMIF($N$6:$N$28,$U21,K$6:K$28)*$B$83+SUMIF($N$37:$N$64,$U21,B$37:B$64))*Poor!$B$81/$B$81)</f>
        <v>26040</v>
      </c>
      <c r="S51" s="220">
        <f>IF($B$81=0,0,(SUMIF($N$6:$N$28,$U51,L$6:L$28)+SUMIF($N$91:$N$118,$U51,L$91:L$118))*$I$83*Poor!$B$81/$B$81)</f>
        <v>0</v>
      </c>
      <c r="T51" s="220">
        <f>IF($B$81=0,0,(SUMIF($N$6:$N$28,$U21,M$6:M$28)+SUMIF($N$91:$N$118,$U21,M$91:M$118))*$I$83*Poor!$B$81/$B$81)</f>
        <v>27030.000000000004</v>
      </c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27">
        <v>15</v>
      </c>
      <c r="O52" s="2"/>
      <c r="P52" s="2"/>
      <c r="Q52" s="59" t="s">
        <v>83</v>
      </c>
      <c r="R52" s="220">
        <f>IF($B$81=0,0,(SUMIF($N$6:$N$28,$U22,K$6:K$28)*$B$83+SUMIF($N$37:$N$64,$U22,B$37:B$64))*Poor!$B$81/$B$81)</f>
        <v>0</v>
      </c>
      <c r="S52" s="220">
        <f>IF($B$81=0,0,(SUMIF($N$6:$N$28,$U52,L$6:L$28)+SUMIF($N$91:$N$118,$U52,L$91:L$118))*$I$83*Poor!$B$81/$B$81)</f>
        <v>0</v>
      </c>
      <c r="T52" s="220">
        <f>IF($B$81=0,0,(SUMIF($N$6:$N$28,$U22,M$6:M$28)+SUMIF($N$91:$N$118,$U22,M$91:M$118))*$I$83*Poor!$B$81/$B$81)</f>
        <v>0</v>
      </c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 thickBo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171" t="s">
        <v>100</v>
      </c>
      <c r="R53" s="179">
        <f>SUM(R37:R52)</f>
        <v>218520.1227563791</v>
      </c>
      <c r="S53" s="179">
        <f>SUM(S37:S52)</f>
        <v>0</v>
      </c>
      <c r="T53" s="179">
        <f>SUM(T37:T52)</f>
        <v>155089.7283746383</v>
      </c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 thickTop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9" t="s">
        <v>137</v>
      </c>
      <c r="R54" s="41">
        <f>IF($B$81=0,0,(SUM(($B$70))+((1-$D$29)*$B$83))*Poor!$B$81/$B$81)</f>
        <v>24062.646384067208</v>
      </c>
      <c r="S54" s="41">
        <f>IF($B$81=0,0,(SUM(($B$70*$H$70))+((1-$D$29)*$I$83))*Poor!$B$81/$B$81)</f>
        <v>35969.406972062061</v>
      </c>
      <c r="T54" s="41">
        <f>IF($B$81=0,0,(SUM(($B$70*$H$70))+((1-$D$29)*$I$83))*Poor!$B$81/$B$81)</f>
        <v>35969.406972062061</v>
      </c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142" t="s">
        <v>138</v>
      </c>
      <c r="R55" s="41">
        <f>IF($B$81=0,0,(SUM(($B$70),($B$71*$H$71))+((1-$D$29)*$B$83))*Poor!$B$81/$B$81)</f>
        <v>42445.473050733883</v>
      </c>
      <c r="S55" s="41">
        <f>IF($B$81=0,0,(SUM(($B$70*$H$70),($B$71*$H$71))+((1-$D$29)*$I$83))*Poor!$B$81/$B$81)</f>
        <v>54352.233638728729</v>
      </c>
      <c r="T55" s="41">
        <f>IF($B$81=0,0,(SUM(($B$70*$H$70),($B$71*$H$71))+((1-$D$29)*$I$83))*Poor!$B$81/$B$81)</f>
        <v>54352.233638728729</v>
      </c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9" t="s">
        <v>139</v>
      </c>
      <c r="R56" s="41">
        <f>IF($B$81=0,0,(SUM(($B$70),($B$71*$H$71),($B$72*$H$72))+((1-$D$29)*$B$83))*Poor!$B$81/$B$81)</f>
        <v>75183.393050733881</v>
      </c>
      <c r="S56" s="41">
        <f>IF($B$81=0,0,(SUM(($B$70*$H$70),($B$71*$H$71),($B$72*$H$72))+((1-$D$29)*$I$83))*Poor!$B$81/$B$81)</f>
        <v>87090.15363872872</v>
      </c>
      <c r="T56" s="41">
        <f>IF($B$81=0,0,(SUM(($B$70*$H$70),($B$71*$H$71),($B$72*$H$72))+((1-$D$29)*$I$83))*Poor!$B$81/$B$81)</f>
        <v>87090.15363872872</v>
      </c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153371.1</v>
      </c>
      <c r="J65" s="39">
        <f>SUM(J37:J64)</f>
        <v>153523.06189535296</v>
      </c>
      <c r="K65" s="40">
        <f>SUM(K37:K64)</f>
        <v>1.0000000000000002</v>
      </c>
      <c r="L65" s="22">
        <f>SUM(L37:L64)</f>
        <v>0.71494658706727143</v>
      </c>
      <c r="M65" s="24">
        <f>SUM(M37:M64)</f>
        <v>0.71491865538810739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34588.491717621386</v>
      </c>
      <c r="AB65" s="137"/>
      <c r="AC65" s="153">
        <f>SUM(AC37:AC64)</f>
        <v>32752.491717621382</v>
      </c>
      <c r="AD65" s="137"/>
      <c r="AE65" s="153">
        <f>SUM(AE37:AE64)</f>
        <v>33592.491717621386</v>
      </c>
      <c r="AF65" s="137"/>
      <c r="AG65" s="153">
        <f>SUM(AG37:AG64)</f>
        <v>52589.586742488813</v>
      </c>
      <c r="AH65" s="137"/>
      <c r="AI65" s="153">
        <f>SUM(AI37:AI64)</f>
        <v>153523.06189535296</v>
      </c>
      <c r="AJ65" s="153">
        <f>SUM(AJ37:AJ64)</f>
        <v>67340.983435242772</v>
      </c>
      <c r="AK65" s="153">
        <f>SUM(AK37:AK64)</f>
        <v>86182.078460110191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132460.92645476657</v>
      </c>
      <c r="J74" s="51">
        <f>J128*I$83</f>
        <v>8335.2964664967585</v>
      </c>
      <c r="K74" s="40">
        <f>B74/B$76</f>
        <v>2.7766116637823381E-2</v>
      </c>
      <c r="L74" s="22">
        <f>(L128*G$37*F$9/F$7)/B$130</f>
        <v>1.8429418979710517E-2</v>
      </c>
      <c r="M74" s="24">
        <f>J74/B$76</f>
        <v>3.8815399253507736E-2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1523.6642316403329</v>
      </c>
      <c r="AB74" s="156"/>
      <c r="AC74" s="147">
        <f>AC30*$I$83/4</f>
        <v>2419.7040107401576</v>
      </c>
      <c r="AD74" s="156"/>
      <c r="AE74" s="147">
        <f>AE30*$I$83/4</f>
        <v>2367.1988571351044</v>
      </c>
      <c r="AF74" s="156"/>
      <c r="AG74" s="147">
        <f>AG30*$I$83/4</f>
        <v>2024.7293669811629</v>
      </c>
      <c r="AH74" s="155"/>
      <c r="AI74" s="147">
        <f>SUM(AA74,AC74,AE74,AG74)</f>
        <v>8335.2964664967567</v>
      </c>
      <c r="AJ74" s="148">
        <f>(AA74+AC74)</f>
        <v>3943.3682423804903</v>
      </c>
      <c r="AK74" s="147">
        <f>(AE74+AG74)</f>
        <v>4391.9282241162673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59940.845216956077</v>
      </c>
      <c r="K75" s="40">
        <f>B75/B$76</f>
        <v>0.64878292866648568</v>
      </c>
      <c r="L75" s="22">
        <f>(L129*G$37*F$9/F$7)/B$130</f>
        <v>0.29954349637033706</v>
      </c>
      <c r="M75" s="24">
        <f>J75/B$76</f>
        <v>0.27912958441737562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27837.284099672688</v>
      </c>
      <c r="AB75" s="158"/>
      <c r="AC75" s="149">
        <f>AA75+AC65-SUM(AC70,AC74)</f>
        <v>52942.528420245544</v>
      </c>
      <c r="AD75" s="158"/>
      <c r="AE75" s="149">
        <f>AC75+AE65-SUM(AE70,AE74)</f>
        <v>78940.27789442346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124277.59188362275</v>
      </c>
      <c r="AJ75" s="151">
        <f>AJ76-SUM(AJ70,AJ74)</f>
        <v>52942.528420245551</v>
      </c>
      <c r="AK75" s="149">
        <f>AJ75+AK76-SUM(AK70,AK74)</f>
        <v>124277.59188362275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153371.1</v>
      </c>
      <c r="J76" s="51">
        <f>J130*I$83</f>
        <v>153523.06189535296</v>
      </c>
      <c r="K76" s="40">
        <f>SUM(K70:K75)</f>
        <v>0.79825713336624071</v>
      </c>
      <c r="L76" s="22">
        <f>SUM(L70:L75)</f>
        <v>0.47689000443943602</v>
      </c>
      <c r="M76" s="24">
        <f>SUM(M70:M75)</f>
        <v>0.47686207276027182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34588.491717621386</v>
      </c>
      <c r="AB76" s="137"/>
      <c r="AC76" s="153">
        <f>AC65</f>
        <v>32752.491717621382</v>
      </c>
      <c r="AD76" s="137"/>
      <c r="AE76" s="153">
        <f>AE65</f>
        <v>33592.491717621386</v>
      </c>
      <c r="AF76" s="137"/>
      <c r="AG76" s="153">
        <f>AG65</f>
        <v>52589.586742488813</v>
      </c>
      <c r="AH76" s="137"/>
      <c r="AI76" s="153">
        <f>SUM(AA76,AC76,AE76,AG76)</f>
        <v>153523.06189535296</v>
      </c>
      <c r="AJ76" s="154">
        <f>SUM(AA76,AC76)</f>
        <v>67340.983435242772</v>
      </c>
      <c r="AK76" s="154">
        <f>SUM(AE76,AG76)</f>
        <v>86182.078460110206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27837.284099672688</v>
      </c>
      <c r="AD78" s="112"/>
      <c r="AE78" s="112">
        <f>AC75</f>
        <v>52942.528420245544</v>
      </c>
      <c r="AF78" s="112"/>
      <c r="AG78" s="112">
        <f>AE75</f>
        <v>78940.27789442346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29360.948331313022</v>
      </c>
      <c r="AB79" s="112"/>
      <c r="AC79" s="112">
        <f>AA79-AA74+AC65-AC70</f>
        <v>55362.232430985707</v>
      </c>
      <c r="AD79" s="112"/>
      <c r="AE79" s="112">
        <f>AC79-AC74+AE65-AE70</f>
        <v>81307.47675155857</v>
      </c>
      <c r="AF79" s="112"/>
      <c r="AG79" s="112">
        <f>AE79-AE74+AG65-AG70</f>
        <v>126302.32125060391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8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2">
        <f>B70+((1-D29)*B83)</f>
        <v>24062.646384067208</v>
      </c>
      <c r="C84" s="46"/>
      <c r="D84" s="233"/>
      <c r="E84" s="64"/>
      <c r="F84" s="64"/>
      <c r="G84" s="64"/>
      <c r="H84" s="234">
        <f>IF(B84=0,0,I84/B84)</f>
        <v>1.4948234037914787</v>
      </c>
      <c r="I84" s="232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5">
        <f t="shared" si="50"/>
        <v>0.67894074622675127</v>
      </c>
      <c r="N91" s="227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0.24590507049453952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5">
        <f t="shared" ref="M92:M118" si="63">(J92)</f>
        <v>0.24590507049453952</v>
      </c>
      <c r="N92" s="227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5">
        <f t="shared" si="63"/>
        <v>7.2906388856563892E-2</v>
      </c>
      <c r="N93" s="227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5">
        <f t="shared" si="63"/>
        <v>0</v>
      </c>
      <c r="N94" s="227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7.4893081829441641E-2</v>
      </c>
      <c r="K95" s="22">
        <f t="shared" si="61"/>
        <v>0.30583612274575533</v>
      </c>
      <c r="L95" s="22">
        <f t="shared" si="62"/>
        <v>7.7849194880737729E-2</v>
      </c>
      <c r="M95" s="225">
        <f t="shared" si="63"/>
        <v>7.4893081829441641E-2</v>
      </c>
      <c r="N95" s="227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5">
        <f t="shared" si="63"/>
        <v>8.6499105423041886E-2</v>
      </c>
      <c r="N96" s="227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5.99144654635533E-3</v>
      </c>
      <c r="K97" s="22">
        <f t="shared" si="61"/>
        <v>3.6700334729490636E-2</v>
      </c>
      <c r="L97" s="22">
        <f t="shared" si="62"/>
        <v>6.2279355904590163E-3</v>
      </c>
      <c r="M97" s="225">
        <f t="shared" si="63"/>
        <v>5.99144654635533E-3</v>
      </c>
      <c r="N97" s="227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5">
        <f t="shared" si="63"/>
        <v>0</v>
      </c>
      <c r="N98" s="227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5">
        <f t="shared" si="63"/>
        <v>0</v>
      </c>
      <c r="N99" s="227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5">
        <f t="shared" si="63"/>
        <v>0</v>
      </c>
      <c r="N100" s="227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5">
        <f t="shared" si="63"/>
        <v>1.8372409991854102</v>
      </c>
      <c r="N101" s="227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5">
        <f t="shared" si="63"/>
        <v>3.047487054204371</v>
      </c>
      <c r="N102" s="227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0.7151515151515152</v>
      </c>
      <c r="I103" s="22">
        <f t="shared" si="59"/>
        <v>0.46295556923918074</v>
      </c>
      <c r="J103" s="24">
        <f t="shared" si="60"/>
        <v>0.46295556923918074</v>
      </c>
      <c r="K103" s="22">
        <f t="shared" si="61"/>
        <v>0.64735312647851539</v>
      </c>
      <c r="L103" s="22">
        <f t="shared" si="62"/>
        <v>0.46295556923918074</v>
      </c>
      <c r="M103" s="225">
        <f t="shared" si="63"/>
        <v>0.46295556923918074</v>
      </c>
      <c r="N103" s="227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5">
        <f t="shared" si="63"/>
        <v>0</v>
      </c>
      <c r="N104" s="227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5">
        <f t="shared" si="63"/>
        <v>0.87734806929085374</v>
      </c>
      <c r="N105" s="227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5">
        <f t="shared" si="63"/>
        <v>0.51436075189058861</v>
      </c>
      <c r="N106" s="227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5">
        <f t="shared" si="63"/>
        <v>0</v>
      </c>
      <c r="N107" s="22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5">
        <f t="shared" si="63"/>
        <v>0</v>
      </c>
      <c r="N108" s="227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5">
        <f t="shared" si="63"/>
        <v>0</v>
      </c>
      <c r="N109" s="227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5">
        <f t="shared" si="63"/>
        <v>0</v>
      </c>
      <c r="N110" s="227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5">
        <f t="shared" si="63"/>
        <v>0</v>
      </c>
      <c r="N111" s="227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5">
        <f t="shared" si="63"/>
        <v>0</v>
      </c>
      <c r="N112" s="227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5">
        <f t="shared" si="63"/>
        <v>0</v>
      </c>
      <c r="N113" s="227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5">
        <f t="shared" si="63"/>
        <v>0</v>
      </c>
      <c r="N114" s="227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5">
        <f t="shared" si="63"/>
        <v>0</v>
      </c>
      <c r="N115" s="227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5">
        <f t="shared" si="63"/>
        <v>0</v>
      </c>
      <c r="N116" s="227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5">
        <f t="shared" si="63"/>
        <v>0</v>
      </c>
      <c r="N117" s="227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5">
        <f t="shared" si="63"/>
        <v>0</v>
      </c>
      <c r="N118" s="227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7.8967041355642289</v>
      </c>
      <c r="J119" s="24">
        <f>SUM(J91:J118)</f>
        <v>7.9045282831870978</v>
      </c>
      <c r="K119" s="22">
        <f>SUM(K91:K118)</f>
        <v>18.243294630741381</v>
      </c>
      <c r="L119" s="22">
        <f>SUM(L91:L118)</f>
        <v>7.904837110976505</v>
      </c>
      <c r="M119" s="57">
        <f t="shared" si="50"/>
        <v>7.9045282831870978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5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5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5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5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6.8200902630027702</v>
      </c>
      <c r="J128" s="226">
        <f>(J30)</f>
        <v>0.42916409987369752</v>
      </c>
      <c r="K128" s="22">
        <f>(B128)</f>
        <v>0.5065454465753424</v>
      </c>
      <c r="L128" s="22">
        <f>IF(L124=L119,0,(L119-L124)/(B119-B124)*K128)</f>
        <v>0.20376564867893104</v>
      </c>
      <c r="M128" s="57">
        <f t="shared" si="90"/>
        <v>0.42916409987369752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6">
        <f>IF(SUM(J124:J128)&gt;J130,0,J130-SUM(J124:J128))</f>
        <v>3.0862080295045962</v>
      </c>
      <c r="K129" s="29">
        <f>(B129)</f>
        <v>11.835938119057971</v>
      </c>
      <c r="L129" s="60">
        <f>IF(SUM(L124:L128)&gt;L130,0,L130-SUM(L124:L128))</f>
        <v>3.3119153084887705</v>
      </c>
      <c r="M129" s="57">
        <f t="shared" si="90"/>
        <v>3.0862080295045962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7.8967041355642289</v>
      </c>
      <c r="J130" s="226">
        <f>(J119)</f>
        <v>7.9045282831870978</v>
      </c>
      <c r="K130" s="22">
        <f>(B130)</f>
        <v>18.243294630741381</v>
      </c>
      <c r="L130" s="22">
        <f>(L119)</f>
        <v>7.904837110976505</v>
      </c>
      <c r="M130" s="57">
        <f t="shared" si="90"/>
        <v>7.9045282831870978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5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5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306" priority="180" operator="equal">
      <formula>16</formula>
    </cfRule>
    <cfRule type="cellIs" dxfId="305" priority="181" operator="equal">
      <formula>15</formula>
    </cfRule>
    <cfRule type="cellIs" dxfId="304" priority="182" operator="equal">
      <formula>14</formula>
    </cfRule>
    <cfRule type="cellIs" dxfId="303" priority="183" operator="equal">
      <formula>13</formula>
    </cfRule>
    <cfRule type="cellIs" dxfId="302" priority="184" operator="equal">
      <formula>12</formula>
    </cfRule>
    <cfRule type="cellIs" dxfId="301" priority="185" operator="equal">
      <formula>11</formula>
    </cfRule>
    <cfRule type="cellIs" dxfId="300" priority="186" operator="equal">
      <formula>10</formula>
    </cfRule>
    <cfRule type="cellIs" dxfId="299" priority="187" operator="equal">
      <formula>9</formula>
    </cfRule>
    <cfRule type="cellIs" dxfId="298" priority="188" operator="equal">
      <formula>8</formula>
    </cfRule>
    <cfRule type="cellIs" dxfId="297" priority="189" operator="equal">
      <formula>7</formula>
    </cfRule>
    <cfRule type="cellIs" dxfId="296" priority="190" operator="equal">
      <formula>6</formula>
    </cfRule>
    <cfRule type="cellIs" dxfId="295" priority="191" operator="equal">
      <formula>5</formula>
    </cfRule>
    <cfRule type="cellIs" dxfId="294" priority="192" operator="equal">
      <formula>4</formula>
    </cfRule>
    <cfRule type="cellIs" dxfId="293" priority="193" operator="equal">
      <formula>3</formula>
    </cfRule>
    <cfRule type="cellIs" dxfId="292" priority="194" operator="equal">
      <formula>2</formula>
    </cfRule>
    <cfRule type="cellIs" dxfId="291" priority="195" operator="equal">
      <formula>1</formula>
    </cfRule>
  </conditionalFormatting>
  <conditionalFormatting sqref="N29">
    <cfRule type="cellIs" dxfId="290" priority="164" operator="equal">
      <formula>16</formula>
    </cfRule>
    <cfRule type="cellIs" dxfId="289" priority="165" operator="equal">
      <formula>15</formula>
    </cfRule>
    <cfRule type="cellIs" dxfId="288" priority="166" operator="equal">
      <formula>14</formula>
    </cfRule>
    <cfRule type="cellIs" dxfId="287" priority="167" operator="equal">
      <formula>13</formula>
    </cfRule>
    <cfRule type="cellIs" dxfId="286" priority="168" operator="equal">
      <formula>12</formula>
    </cfRule>
    <cfRule type="cellIs" dxfId="285" priority="169" operator="equal">
      <formula>11</formula>
    </cfRule>
    <cfRule type="cellIs" dxfId="284" priority="170" operator="equal">
      <formula>10</formula>
    </cfRule>
    <cfRule type="cellIs" dxfId="283" priority="171" operator="equal">
      <formula>9</formula>
    </cfRule>
    <cfRule type="cellIs" dxfId="282" priority="172" operator="equal">
      <formula>8</formula>
    </cfRule>
    <cfRule type="cellIs" dxfId="281" priority="173" operator="equal">
      <formula>7</formula>
    </cfRule>
    <cfRule type="cellIs" dxfId="280" priority="174" operator="equal">
      <formula>6</formula>
    </cfRule>
    <cfRule type="cellIs" dxfId="279" priority="175" operator="equal">
      <formula>5</formula>
    </cfRule>
    <cfRule type="cellIs" dxfId="278" priority="176" operator="equal">
      <formula>4</formula>
    </cfRule>
    <cfRule type="cellIs" dxfId="277" priority="177" operator="equal">
      <formula>3</formula>
    </cfRule>
    <cfRule type="cellIs" dxfId="276" priority="178" operator="equal">
      <formula>2</formula>
    </cfRule>
    <cfRule type="cellIs" dxfId="275" priority="179" operator="equal">
      <formula>1</formula>
    </cfRule>
  </conditionalFormatting>
  <conditionalFormatting sqref="N113:N118">
    <cfRule type="cellIs" dxfId="274" priority="116" operator="equal">
      <formula>16</formula>
    </cfRule>
    <cfRule type="cellIs" dxfId="273" priority="117" operator="equal">
      <formula>15</formula>
    </cfRule>
    <cfRule type="cellIs" dxfId="272" priority="118" operator="equal">
      <formula>14</formula>
    </cfRule>
    <cfRule type="cellIs" dxfId="271" priority="119" operator="equal">
      <formula>13</formula>
    </cfRule>
    <cfRule type="cellIs" dxfId="270" priority="120" operator="equal">
      <formula>12</formula>
    </cfRule>
    <cfRule type="cellIs" dxfId="269" priority="121" operator="equal">
      <formula>11</formula>
    </cfRule>
    <cfRule type="cellIs" dxfId="268" priority="122" operator="equal">
      <formula>10</formula>
    </cfRule>
    <cfRule type="cellIs" dxfId="267" priority="123" operator="equal">
      <formula>9</formula>
    </cfRule>
    <cfRule type="cellIs" dxfId="266" priority="124" operator="equal">
      <formula>8</formula>
    </cfRule>
    <cfRule type="cellIs" dxfId="265" priority="125" operator="equal">
      <formula>7</formula>
    </cfRule>
    <cfRule type="cellIs" dxfId="264" priority="126" operator="equal">
      <formula>6</formula>
    </cfRule>
    <cfRule type="cellIs" dxfId="263" priority="127" operator="equal">
      <formula>5</formula>
    </cfRule>
    <cfRule type="cellIs" dxfId="262" priority="128" operator="equal">
      <formula>4</formula>
    </cfRule>
    <cfRule type="cellIs" dxfId="261" priority="129" operator="equal">
      <formula>3</formula>
    </cfRule>
    <cfRule type="cellIs" dxfId="260" priority="130" operator="equal">
      <formula>2</formula>
    </cfRule>
    <cfRule type="cellIs" dxfId="259" priority="131" operator="equal">
      <formula>1</formula>
    </cfRule>
  </conditionalFormatting>
  <conditionalFormatting sqref="N6:N28">
    <cfRule type="cellIs" dxfId="258" priority="100" operator="equal">
      <formula>16</formula>
    </cfRule>
    <cfRule type="cellIs" dxfId="257" priority="101" operator="equal">
      <formula>15</formula>
    </cfRule>
    <cfRule type="cellIs" dxfId="256" priority="102" operator="equal">
      <formula>14</formula>
    </cfRule>
    <cfRule type="cellIs" dxfId="255" priority="103" operator="equal">
      <formula>13</formula>
    </cfRule>
    <cfRule type="cellIs" dxfId="254" priority="104" operator="equal">
      <formula>12</formula>
    </cfRule>
    <cfRule type="cellIs" dxfId="253" priority="105" operator="equal">
      <formula>11</formula>
    </cfRule>
    <cfRule type="cellIs" dxfId="252" priority="106" operator="equal">
      <formula>10</formula>
    </cfRule>
    <cfRule type="cellIs" dxfId="251" priority="107" operator="equal">
      <formula>9</formula>
    </cfRule>
    <cfRule type="cellIs" dxfId="250" priority="108" operator="equal">
      <formula>8</formula>
    </cfRule>
    <cfRule type="cellIs" dxfId="249" priority="109" operator="equal">
      <formula>7</formula>
    </cfRule>
    <cfRule type="cellIs" dxfId="248" priority="110" operator="equal">
      <formula>6</formula>
    </cfRule>
    <cfRule type="cellIs" dxfId="247" priority="111" operator="equal">
      <formula>5</formula>
    </cfRule>
    <cfRule type="cellIs" dxfId="246" priority="112" operator="equal">
      <formula>4</formula>
    </cfRule>
    <cfRule type="cellIs" dxfId="245" priority="113" operator="equal">
      <formula>3</formula>
    </cfRule>
    <cfRule type="cellIs" dxfId="244" priority="114" operator="equal">
      <formula>2</formula>
    </cfRule>
    <cfRule type="cellIs" dxfId="243" priority="115" operator="equal">
      <formula>1</formula>
    </cfRule>
  </conditionalFormatting>
  <conditionalFormatting sqref="N112">
    <cfRule type="cellIs" dxfId="242" priority="68" operator="equal">
      <formula>16</formula>
    </cfRule>
    <cfRule type="cellIs" dxfId="241" priority="69" operator="equal">
      <formula>15</formula>
    </cfRule>
    <cfRule type="cellIs" dxfId="240" priority="70" operator="equal">
      <formula>14</formula>
    </cfRule>
    <cfRule type="cellIs" dxfId="239" priority="71" operator="equal">
      <formula>13</formula>
    </cfRule>
    <cfRule type="cellIs" dxfId="238" priority="72" operator="equal">
      <formula>12</formula>
    </cfRule>
    <cfRule type="cellIs" dxfId="237" priority="73" operator="equal">
      <formula>11</formula>
    </cfRule>
    <cfRule type="cellIs" dxfId="236" priority="74" operator="equal">
      <formula>10</formula>
    </cfRule>
    <cfRule type="cellIs" dxfId="235" priority="75" operator="equal">
      <formula>9</formula>
    </cfRule>
    <cfRule type="cellIs" dxfId="234" priority="76" operator="equal">
      <formula>8</formula>
    </cfRule>
    <cfRule type="cellIs" dxfId="233" priority="77" operator="equal">
      <formula>7</formula>
    </cfRule>
    <cfRule type="cellIs" dxfId="232" priority="78" operator="equal">
      <formula>6</formula>
    </cfRule>
    <cfRule type="cellIs" dxfId="231" priority="79" operator="equal">
      <formula>5</formula>
    </cfRule>
    <cfRule type="cellIs" dxfId="230" priority="80" operator="equal">
      <formula>4</formula>
    </cfRule>
    <cfRule type="cellIs" dxfId="229" priority="81" operator="equal">
      <formula>3</formula>
    </cfRule>
    <cfRule type="cellIs" dxfId="228" priority="82" operator="equal">
      <formula>2</formula>
    </cfRule>
    <cfRule type="cellIs" dxfId="227" priority="83" operator="equal">
      <formula>1</formula>
    </cfRule>
  </conditionalFormatting>
  <conditionalFormatting sqref="N91:N104">
    <cfRule type="cellIs" dxfId="226" priority="52" operator="equal">
      <formula>16</formula>
    </cfRule>
    <cfRule type="cellIs" dxfId="225" priority="53" operator="equal">
      <formula>15</formula>
    </cfRule>
    <cfRule type="cellIs" dxfId="224" priority="54" operator="equal">
      <formula>14</formula>
    </cfRule>
    <cfRule type="cellIs" dxfId="223" priority="55" operator="equal">
      <formula>13</formula>
    </cfRule>
    <cfRule type="cellIs" dxfId="222" priority="56" operator="equal">
      <formula>12</formula>
    </cfRule>
    <cfRule type="cellIs" dxfId="221" priority="57" operator="equal">
      <formula>11</formula>
    </cfRule>
    <cfRule type="cellIs" dxfId="220" priority="58" operator="equal">
      <formula>10</formula>
    </cfRule>
    <cfRule type="cellIs" dxfId="219" priority="59" operator="equal">
      <formula>9</formula>
    </cfRule>
    <cfRule type="cellIs" dxfId="218" priority="60" operator="equal">
      <formula>8</formula>
    </cfRule>
    <cfRule type="cellIs" dxfId="217" priority="61" operator="equal">
      <formula>7</formula>
    </cfRule>
    <cfRule type="cellIs" dxfId="216" priority="62" operator="equal">
      <formula>6</formula>
    </cfRule>
    <cfRule type="cellIs" dxfId="215" priority="63" operator="equal">
      <formula>5</formula>
    </cfRule>
    <cfRule type="cellIs" dxfId="214" priority="64" operator="equal">
      <formula>4</formula>
    </cfRule>
    <cfRule type="cellIs" dxfId="213" priority="65" operator="equal">
      <formula>3</formula>
    </cfRule>
    <cfRule type="cellIs" dxfId="212" priority="66" operator="equal">
      <formula>2</formula>
    </cfRule>
    <cfRule type="cellIs" dxfId="211" priority="67" operator="equal">
      <formula>1</formula>
    </cfRule>
  </conditionalFormatting>
  <conditionalFormatting sqref="N105:N111">
    <cfRule type="cellIs" dxfId="210" priority="36" operator="equal">
      <formula>16</formula>
    </cfRule>
    <cfRule type="cellIs" dxfId="209" priority="37" operator="equal">
      <formula>15</formula>
    </cfRule>
    <cfRule type="cellIs" dxfId="208" priority="38" operator="equal">
      <formula>14</formula>
    </cfRule>
    <cfRule type="cellIs" dxfId="207" priority="39" operator="equal">
      <formula>13</formula>
    </cfRule>
    <cfRule type="cellIs" dxfId="206" priority="40" operator="equal">
      <formula>12</formula>
    </cfRule>
    <cfRule type="cellIs" dxfId="205" priority="41" operator="equal">
      <formula>11</formula>
    </cfRule>
    <cfRule type="cellIs" dxfId="204" priority="42" operator="equal">
      <formula>10</formula>
    </cfRule>
    <cfRule type="cellIs" dxfId="203" priority="43" operator="equal">
      <formula>9</formula>
    </cfRule>
    <cfRule type="cellIs" dxfId="202" priority="44" operator="equal">
      <formula>8</formula>
    </cfRule>
    <cfRule type="cellIs" dxfId="201" priority="45" operator="equal">
      <formula>7</formula>
    </cfRule>
    <cfRule type="cellIs" dxfId="200" priority="46" operator="equal">
      <formula>6</formula>
    </cfRule>
    <cfRule type="cellIs" dxfId="199" priority="47" operator="equal">
      <formula>5</formula>
    </cfRule>
    <cfRule type="cellIs" dxfId="198" priority="48" operator="equal">
      <formula>4</formula>
    </cfRule>
    <cfRule type="cellIs" dxfId="197" priority="49" operator="equal">
      <formula>3</formula>
    </cfRule>
    <cfRule type="cellIs" dxfId="196" priority="50" operator="equal">
      <formula>2</formula>
    </cfRule>
    <cfRule type="cellIs" dxfId="195" priority="51" operator="equal">
      <formula>1</formula>
    </cfRule>
  </conditionalFormatting>
  <conditionalFormatting sqref="R31:T31">
    <cfRule type="cellIs" dxfId="194" priority="35" operator="greaterThan">
      <formula>0</formula>
    </cfRule>
  </conditionalFormatting>
  <conditionalFormatting sqref="R32:T32">
    <cfRule type="cellIs" dxfId="193" priority="34" operator="greaterThan">
      <formula>0</formula>
    </cfRule>
  </conditionalFormatting>
  <conditionalFormatting sqref="R30:T30">
    <cfRule type="cellIs" dxfId="192" priority="33" operator="greaterThan">
      <formula>0</formula>
    </cfRule>
  </conditionalFormatting>
  <conditionalFormatting sqref="N37:N50">
    <cfRule type="cellIs" dxfId="63" priority="17" operator="equal">
      <formula>16</formula>
    </cfRule>
    <cfRule type="cellIs" dxfId="62" priority="18" operator="equal">
      <formula>15</formula>
    </cfRule>
    <cfRule type="cellIs" dxfId="61" priority="19" operator="equal">
      <formula>14</formula>
    </cfRule>
    <cfRule type="cellIs" dxfId="60" priority="20" operator="equal">
      <formula>13</formula>
    </cfRule>
    <cfRule type="cellIs" dxfId="59" priority="21" operator="equal">
      <formula>12</formula>
    </cfRule>
    <cfRule type="cellIs" dxfId="58" priority="22" operator="equal">
      <formula>11</formula>
    </cfRule>
    <cfRule type="cellIs" dxfId="57" priority="23" operator="equal">
      <formula>10</formula>
    </cfRule>
    <cfRule type="cellIs" dxfId="56" priority="24" operator="equal">
      <formula>9</formula>
    </cfRule>
    <cfRule type="cellIs" dxfId="55" priority="25" operator="equal">
      <formula>8</formula>
    </cfRule>
    <cfRule type="cellIs" dxfId="54" priority="26" operator="equal">
      <formula>7</formula>
    </cfRule>
    <cfRule type="cellIs" dxfId="53" priority="27" operator="equal">
      <formula>6</formula>
    </cfRule>
    <cfRule type="cellIs" dxfId="52" priority="28" operator="equal">
      <formula>5</formula>
    </cfRule>
    <cfRule type="cellIs" dxfId="51" priority="29" operator="equal">
      <formula>4</formula>
    </cfRule>
    <cfRule type="cellIs" dxfId="50" priority="30" operator="equal">
      <formula>3</formula>
    </cfRule>
    <cfRule type="cellIs" dxfId="49" priority="31" operator="equal">
      <formula>2</formula>
    </cfRule>
    <cfRule type="cellIs" dxfId="48" priority="32" operator="equal">
      <formula>1</formula>
    </cfRule>
  </conditionalFormatting>
  <conditionalFormatting sqref="N51:N52">
    <cfRule type="cellIs" dxfId="31" priority="1" operator="equal">
      <formula>16</formula>
    </cfRule>
    <cfRule type="cellIs" dxfId="30" priority="2" operator="equal">
      <formula>15</formula>
    </cfRule>
    <cfRule type="cellIs" dxfId="29" priority="3" operator="equal">
      <formula>14</formula>
    </cfRule>
    <cfRule type="cellIs" dxfId="28" priority="4" operator="equal">
      <formula>13</formula>
    </cfRule>
    <cfRule type="cellIs" dxfId="27" priority="5" operator="equal">
      <formula>12</formula>
    </cfRule>
    <cfRule type="cellIs" dxfId="26" priority="6" operator="equal">
      <formula>11</formula>
    </cfRule>
    <cfRule type="cellIs" dxfId="25" priority="7" operator="equal">
      <formula>10</formula>
    </cfRule>
    <cfRule type="cellIs" dxfId="24" priority="8" operator="equal">
      <formula>9</formula>
    </cfRule>
    <cfRule type="cellIs" dxfId="23" priority="9" operator="equal">
      <formula>8</formula>
    </cfRule>
    <cfRule type="cellIs" dxfId="22" priority="10" operator="equal">
      <formula>7</formula>
    </cfRule>
    <cfRule type="cellIs" dxfId="21" priority="11" operator="equal">
      <formula>6</formula>
    </cfRule>
    <cfRule type="cellIs" dxfId="20" priority="12" operator="equal">
      <formula>5</formula>
    </cfRule>
    <cfRule type="cellIs" dxfId="19" priority="13" operator="equal">
      <formula>4</formula>
    </cfRule>
    <cfRule type="cellIs" dxfId="18" priority="14" operator="equal">
      <formula>3</formula>
    </cfRule>
    <cfRule type="cellIs" dxfId="17" priority="15" operator="equal">
      <formula>2</formula>
    </cfRule>
    <cfRule type="cellIs" dxfId="1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5"/>
      <c r="B2" s="245"/>
      <c r="C2" s="245"/>
      <c r="D2" s="245"/>
      <c r="E2" s="245"/>
      <c r="F2" s="246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V.Poor!A3</f>
        <v>Sources of Food : Very Poor HHs</v>
      </c>
      <c r="C3" s="262"/>
      <c r="D3" s="262"/>
      <c r="E3" s="262"/>
      <c r="F3" s="242"/>
      <c r="G3" s="259" t="str">
        <f>Poor!A3</f>
        <v>Sources of Food : Poor HHs</v>
      </c>
      <c r="H3" s="259"/>
      <c r="I3" s="259"/>
      <c r="J3" s="259"/>
      <c r="K3" s="243"/>
      <c r="L3" s="259" t="str">
        <f>Middle!A3</f>
        <v>Sources of Food : Middle HHs</v>
      </c>
      <c r="M3" s="259"/>
      <c r="N3" s="259"/>
      <c r="O3" s="259"/>
      <c r="P3" s="259"/>
      <c r="Q3" s="244"/>
      <c r="R3" s="259" t="str">
        <f>Rich!A3</f>
        <v>Sources of Food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abSelected="1" topLeftCell="K107" workbookViewId="0">
      <selection activeCell="J136" sqref="J136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4" t="str">
        <f>Poor!A1</f>
        <v>ZAKHC: 59208</v>
      </c>
      <c r="L2" s="264"/>
      <c r="M2" s="264"/>
      <c r="N2" s="264"/>
      <c r="O2" s="264"/>
      <c r="P2" s="264"/>
      <c r="Q2" s="264"/>
      <c r="R2" s="87"/>
      <c r="S2" s="87"/>
      <c r="T2" s="87"/>
      <c r="U2" s="87"/>
      <c r="V2" s="87"/>
    </row>
    <row r="3" spans="1:22" s="92" customFormat="1" ht="17">
      <c r="A3" s="90"/>
      <c r="B3" s="89"/>
      <c r="C3" s="265" t="str">
        <f>V.Poor!A34</f>
        <v>Income : Very Poor HHs</v>
      </c>
      <c r="D3" s="265"/>
      <c r="E3" s="265"/>
      <c r="F3" s="90"/>
      <c r="G3" s="263" t="str">
        <f>Poor!A34</f>
        <v>Income : Poor HHs</v>
      </c>
      <c r="H3" s="263"/>
      <c r="I3" s="263"/>
      <c r="J3" s="263"/>
      <c r="K3" s="89"/>
      <c r="L3" s="263" t="str">
        <f>Middle!A34</f>
        <v>Income : Middle HHs</v>
      </c>
      <c r="M3" s="263"/>
      <c r="N3" s="263"/>
      <c r="O3" s="263"/>
      <c r="P3" s="263"/>
      <c r="Q3" s="91"/>
      <c r="R3" s="263" t="str">
        <f>Rich!A34</f>
        <v>Income : Better-off HHs</v>
      </c>
      <c r="S3" s="263"/>
      <c r="T3" s="263"/>
      <c r="U3" s="263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1305.9185369471618</v>
      </c>
      <c r="H72" s="109">
        <f>Middle!T7</f>
        <v>5379.2251456426266</v>
      </c>
      <c r="I72" s="109">
        <f>Rich!T7</f>
        <v>896.03977909982518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444.24851808903816</v>
      </c>
      <c r="H73" s="109">
        <f>Middle!T8</f>
        <v>5795.8952412628869</v>
      </c>
      <c r="I73" s="109">
        <f>Rich!T8</f>
        <v>3250.9527515545969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5075.8608076190048</v>
      </c>
      <c r="H76" s="109">
        <f>Middle!T11</f>
        <v>19982.215006217557</v>
      </c>
      <c r="I76" s="109">
        <f>Rich!T11</f>
        <v>19378.509143798357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10276.114285714286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27268.114285714288</v>
      </c>
      <c r="G85" s="109">
        <f>Poor!T20</f>
        <v>25983.599999999999</v>
      </c>
      <c r="H85" s="109">
        <f>Middle!T20</f>
        <v>0</v>
      </c>
      <c r="I85" s="109">
        <f>Rich!T20</f>
        <v>8991.6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34915.113872928079</v>
      </c>
      <c r="G88" s="109">
        <f>Poor!T23</f>
        <v>55663.71421333644</v>
      </c>
      <c r="H88" s="109">
        <f>Middle!T23</f>
        <v>69872.098202225068</v>
      </c>
      <c r="I88" s="109">
        <f>Rich!T23</f>
        <v>155089.7283746383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7">
        <f>IF(B89&gt;B$88,B89-B$88,0)</f>
        <v>0</v>
      </c>
      <c r="C98" s="237">
        <f t="shared" ref="C98:I101" si="0">IF(C89&gt;C$88,C89-C$88,0)</f>
        <v>0</v>
      </c>
      <c r="D98" s="237">
        <f t="shared" si="0"/>
        <v>0</v>
      </c>
      <c r="E98" s="237">
        <f t="shared" si="0"/>
        <v>0</v>
      </c>
      <c r="F98" s="237">
        <f t="shared" si="0"/>
        <v>1054.2930991339817</v>
      </c>
      <c r="G98" s="237">
        <f t="shared" si="0"/>
        <v>0</v>
      </c>
      <c r="H98" s="237">
        <f t="shared" si="0"/>
        <v>0</v>
      </c>
      <c r="I98" s="237">
        <f t="shared" si="0"/>
        <v>0</v>
      </c>
    </row>
    <row r="99" spans="1:9">
      <c r="A99" t="s">
        <v>142</v>
      </c>
      <c r="B99" s="237">
        <f>IF(B90&gt;B$88,B90-B$88,0)</f>
        <v>3038.5228533498084</v>
      </c>
      <c r="C99" s="237">
        <f t="shared" si="0"/>
        <v>0</v>
      </c>
      <c r="D99" s="237">
        <f t="shared" si="0"/>
        <v>0</v>
      </c>
      <c r="E99" s="237">
        <f t="shared" si="0"/>
        <v>0</v>
      </c>
      <c r="F99" s="237">
        <f t="shared" si="0"/>
        <v>19437.119765800642</v>
      </c>
      <c r="G99" s="237">
        <f t="shared" si="0"/>
        <v>0</v>
      </c>
      <c r="H99" s="237">
        <f t="shared" si="0"/>
        <v>0</v>
      </c>
      <c r="I99" s="237">
        <f t="shared" si="0"/>
        <v>0</v>
      </c>
    </row>
    <row r="100" spans="1:9">
      <c r="A100" t="s">
        <v>143</v>
      </c>
      <c r="B100" s="237">
        <f>IF(B91&gt;B$88,B91-B$88,0)</f>
        <v>35776.442853349821</v>
      </c>
      <c r="C100" s="237">
        <f t="shared" si="0"/>
        <v>417.28373872459633</v>
      </c>
      <c r="D100" s="237">
        <f t="shared" si="0"/>
        <v>0</v>
      </c>
      <c r="E100" s="237">
        <f t="shared" si="0"/>
        <v>0</v>
      </c>
      <c r="F100" s="237">
        <f t="shared" si="0"/>
        <v>52175.039765800655</v>
      </c>
      <c r="G100" s="237">
        <f t="shared" si="0"/>
        <v>31426.43942539228</v>
      </c>
      <c r="H100" s="237">
        <f t="shared" si="0"/>
        <v>17218.055436503666</v>
      </c>
      <c r="I100" s="237">
        <f t="shared" si="0"/>
        <v>0</v>
      </c>
    </row>
    <row r="101" spans="1:9" ht="16" thickBot="1">
      <c r="A101" s="250" t="s">
        <v>144</v>
      </c>
      <c r="B101" s="251">
        <f>IF(B92&gt;B$88,B92-B$88,0)</f>
        <v>0</v>
      </c>
      <c r="C101" s="251">
        <f t="shared" si="0"/>
        <v>0</v>
      </c>
      <c r="D101" s="251">
        <f t="shared" si="0"/>
        <v>0</v>
      </c>
      <c r="E101" s="251">
        <f t="shared" si="0"/>
        <v>0</v>
      </c>
      <c r="F101" s="251">
        <f t="shared" si="0"/>
        <v>0</v>
      </c>
      <c r="G101" s="251">
        <f t="shared" si="0"/>
        <v>0</v>
      </c>
      <c r="H101" s="251">
        <f t="shared" si="0"/>
        <v>0</v>
      </c>
      <c r="I101" s="251">
        <f t="shared" si="0"/>
        <v>0</v>
      </c>
    </row>
    <row r="102" spans="1:9">
      <c r="A102" t="str">
        <f>V.Poor!Q37</f>
        <v>Own crops Consumed</v>
      </c>
      <c r="B102" s="109">
        <f>V.Poor!R37</f>
        <v>984.25445590616596</v>
      </c>
      <c r="C102" s="109">
        <f>Poor!R37</f>
        <v>2704.266735645449</v>
      </c>
      <c r="D102" s="109">
        <f>Middle!R37</f>
        <v>2492.8571902326798</v>
      </c>
      <c r="E102" s="109">
        <f>Rich!R37</f>
        <v>1745.9206346047977</v>
      </c>
      <c r="F102" s="109">
        <f>V.Poor!T37</f>
        <v>414.0773225620311</v>
      </c>
      <c r="G102" s="109">
        <f>Poor!T37</f>
        <v>1305.9185369471618</v>
      </c>
      <c r="H102" s="109">
        <f>Middle!T37</f>
        <v>5379.2251456426266</v>
      </c>
      <c r="I102" s="109">
        <f>Rich!T37</f>
        <v>896.03977909982518</v>
      </c>
    </row>
    <row r="103" spans="1:9">
      <c r="A103" t="str">
        <f>V.Poor!Q38</f>
        <v>Own crops sold</v>
      </c>
      <c r="B103" s="109">
        <f>V.Poor!R38</f>
        <v>0</v>
      </c>
      <c r="C103" s="109">
        <f>Poor!R38</f>
        <v>1660</v>
      </c>
      <c r="D103" s="109">
        <f>Middle!R38</f>
        <v>25314.285714285714</v>
      </c>
      <c r="E103" s="109">
        <f>Rich!R38</f>
        <v>10032</v>
      </c>
      <c r="F103" s="109">
        <f>V.Poor!T38</f>
        <v>0</v>
      </c>
      <c r="G103" s="109">
        <f>Poor!T38</f>
        <v>444.24851808903816</v>
      </c>
      <c r="H103" s="109">
        <f>Middle!T38</f>
        <v>5795.8952412628869</v>
      </c>
      <c r="I103" s="109">
        <f>Rich!T38</f>
        <v>3250.9527515545969</v>
      </c>
    </row>
    <row r="104" spans="1:9">
      <c r="A104" t="str">
        <f>V.Poor!Q39</f>
        <v>Animal products consumed</v>
      </c>
      <c r="B104" s="109">
        <f>V.Poor!R39</f>
        <v>119.18500810595445</v>
      </c>
      <c r="C104" s="109">
        <f>Poor!R39</f>
        <v>570.43548525155074</v>
      </c>
      <c r="D104" s="109">
        <f>Middle!R39</f>
        <v>1656.3641471326373</v>
      </c>
      <c r="E104" s="109">
        <f>Rich!R39</f>
        <v>2032.2021217743129</v>
      </c>
      <c r="F104" s="109">
        <f>V.Poor!T39</f>
        <v>39.331052674964965</v>
      </c>
      <c r="G104" s="109">
        <f>Poor!T39</f>
        <v>188.24371013301172</v>
      </c>
      <c r="H104" s="109">
        <f>Middle!T39</f>
        <v>546.60016855377023</v>
      </c>
      <c r="I104" s="109">
        <f>Rich!T39</f>
        <v>670.6267001855233</v>
      </c>
    </row>
    <row r="105" spans="1:9">
      <c r="A105" t="str">
        <f>V.Poor!Q40</f>
        <v>Animal products sold</v>
      </c>
      <c r="B105" s="109">
        <f>V.Poor!R40</f>
        <v>0</v>
      </c>
      <c r="C105" s="109">
        <f>Poor!R40</f>
        <v>0</v>
      </c>
      <c r="D105" s="109">
        <f>Middle!R40</f>
        <v>0</v>
      </c>
      <c r="E105" s="109">
        <f>Rich!R40</f>
        <v>0</v>
      </c>
      <c r="F105" s="109">
        <f>V.Poor!T40</f>
        <v>0</v>
      </c>
      <c r="G105" s="109">
        <f>Poor!T40</f>
        <v>0</v>
      </c>
      <c r="H105" s="109">
        <f>Middle!T40</f>
        <v>0</v>
      </c>
      <c r="I105" s="109">
        <f>Rich!T40</f>
        <v>0</v>
      </c>
    </row>
    <row r="106" spans="1:9">
      <c r="A106" t="str">
        <f>V.Poor!Q41</f>
        <v>Animals sold</v>
      </c>
      <c r="B106" s="109">
        <f>V.Poor!R41</f>
        <v>1285.7142857142858</v>
      </c>
      <c r="C106" s="109">
        <f>Poor!R41</f>
        <v>9750</v>
      </c>
      <c r="D106" s="109">
        <f>Middle!R41</f>
        <v>28457.142857142859</v>
      </c>
      <c r="E106" s="109">
        <f>Rich!R41</f>
        <v>32750</v>
      </c>
      <c r="F106" s="109">
        <f>V.Poor!T41</f>
        <v>758.57142857142856</v>
      </c>
      <c r="G106" s="109">
        <f>Poor!T41</f>
        <v>5075.8608076190048</v>
      </c>
      <c r="H106" s="109">
        <f>Middle!T41</f>
        <v>19982.215006217557</v>
      </c>
      <c r="I106" s="109">
        <f>Rich!T41</f>
        <v>19378.509143798357</v>
      </c>
    </row>
    <row r="107" spans="1:9">
      <c r="A107" t="str">
        <f>V.Poor!Q42</f>
        <v>Wild foods consumed and sold</v>
      </c>
      <c r="B107" s="109">
        <f>V.Poor!R42</f>
        <v>0</v>
      </c>
      <c r="C107" s="109">
        <f>Poor!R42</f>
        <v>0</v>
      </c>
      <c r="D107" s="109">
        <f>Middle!R42</f>
        <v>0</v>
      </c>
      <c r="E107" s="109">
        <f>Rich!R42</f>
        <v>0</v>
      </c>
      <c r="F107" s="109">
        <f>V.Poor!T42</f>
        <v>0</v>
      </c>
      <c r="G107" s="109">
        <f>Poor!T42</f>
        <v>0</v>
      </c>
      <c r="H107" s="109">
        <f>Middle!T42</f>
        <v>0</v>
      </c>
      <c r="I107" s="109">
        <f>Rich!T42</f>
        <v>0</v>
      </c>
    </row>
    <row r="108" spans="1:9">
      <c r="A108" t="str">
        <f>V.Poor!Q43</f>
        <v>Labour - casual</v>
      </c>
      <c r="B108" s="109">
        <f>V.Poor!R43</f>
        <v>7428.5714285714284</v>
      </c>
      <c r="C108" s="109">
        <f>Poor!R43</f>
        <v>4960</v>
      </c>
      <c r="D108" s="109">
        <f>Middle!R43</f>
        <v>21942.857142857141</v>
      </c>
      <c r="E108" s="109">
        <f>Rich!R43</f>
        <v>0</v>
      </c>
      <c r="F108" s="109">
        <f>V.Poor!T43</f>
        <v>4122.8571428571431</v>
      </c>
      <c r="G108" s="109">
        <f>Poor!T43</f>
        <v>2752.8000000000006</v>
      </c>
      <c r="H108" s="109">
        <f>Middle!T43</f>
        <v>10357.028571428571</v>
      </c>
      <c r="I108" s="109">
        <f>Rich!T43</f>
        <v>0</v>
      </c>
    </row>
    <row r="109" spans="1:9">
      <c r="A109" t="str">
        <f>V.Poor!Q44</f>
        <v>Labour - formal emp</v>
      </c>
      <c r="B109" s="109">
        <f>V.Poor!R44</f>
        <v>0</v>
      </c>
      <c r="C109" s="109">
        <f>Poor!R44</f>
        <v>0</v>
      </c>
      <c r="D109" s="109">
        <f>Middle!R44</f>
        <v>0</v>
      </c>
      <c r="E109" s="109">
        <f>Rich!R44</f>
        <v>75600</v>
      </c>
      <c r="F109" s="109">
        <f>V.Poor!T44</f>
        <v>0</v>
      </c>
      <c r="G109" s="109">
        <f>Poor!T44</f>
        <v>0</v>
      </c>
      <c r="H109" s="109">
        <f>Middle!T44</f>
        <v>0</v>
      </c>
      <c r="I109" s="109">
        <f>Rich!T44</f>
        <v>35683.199999999997</v>
      </c>
    </row>
    <row r="110" spans="1:9">
      <c r="A110" t="str">
        <f>V.Poor!Q45</f>
        <v>Labour - public works</v>
      </c>
      <c r="B110" s="109">
        <f>V.Poor!R45</f>
        <v>0</v>
      </c>
      <c r="C110" s="109">
        <f>Poor!R45</f>
        <v>14916</v>
      </c>
      <c r="D110" s="109">
        <f>Middle!R45</f>
        <v>0</v>
      </c>
      <c r="E110" s="109">
        <f>Rich!R45</f>
        <v>0</v>
      </c>
      <c r="F110" s="109">
        <f>V.Poor!T45</f>
        <v>0</v>
      </c>
      <c r="G110" s="109">
        <f>Poor!T45</f>
        <v>17600.879999999997</v>
      </c>
      <c r="H110" s="109">
        <f>Middle!T45</f>
        <v>0</v>
      </c>
      <c r="I110" s="109">
        <f>Rich!T45</f>
        <v>0</v>
      </c>
    </row>
    <row r="111" spans="1:9">
      <c r="A111" t="str">
        <f>V.Poor!Q46</f>
        <v>Self - employment</v>
      </c>
      <c r="B111" s="109">
        <f>V.Poor!R46</f>
        <v>0</v>
      </c>
      <c r="C111" s="109">
        <f>Poor!R46</f>
        <v>0</v>
      </c>
      <c r="D111" s="109">
        <f>Middle!R46</f>
        <v>0</v>
      </c>
      <c r="E111" s="109">
        <f>Rich!R46</f>
        <v>0</v>
      </c>
      <c r="F111" s="109">
        <f>V.Poor!T46</f>
        <v>0</v>
      </c>
      <c r="G111" s="109">
        <f>Poor!T46</f>
        <v>0</v>
      </c>
      <c r="H111" s="109">
        <f>Middle!T46</f>
        <v>0</v>
      </c>
      <c r="I111" s="109">
        <f>Rich!T46</f>
        <v>0</v>
      </c>
    </row>
    <row r="112" spans="1:9">
      <c r="A112" t="str">
        <f>V.Poor!Q47</f>
        <v>Small business/petty trading</v>
      </c>
      <c r="B112" s="109">
        <f>V.Poor!R47</f>
        <v>0</v>
      </c>
      <c r="C112" s="109">
        <f>Poor!R47</f>
        <v>0</v>
      </c>
      <c r="D112" s="109">
        <f>Middle!R47</f>
        <v>8708.5714285714294</v>
      </c>
      <c r="E112" s="109">
        <f>Rich!R47</f>
        <v>62700</v>
      </c>
      <c r="F112" s="109">
        <f>V.Poor!T47</f>
        <v>0</v>
      </c>
      <c r="G112" s="109">
        <f>Poor!T47</f>
        <v>0</v>
      </c>
      <c r="H112" s="109">
        <f>Middle!T47</f>
        <v>10276.114285714286</v>
      </c>
      <c r="I112" s="109">
        <f>Rich!T47</f>
        <v>59188.800000000003</v>
      </c>
    </row>
    <row r="113" spans="1:9">
      <c r="A113" t="str">
        <f>V.Poor!Q48</f>
        <v>Food transfer - official</v>
      </c>
      <c r="B113" s="109">
        <f>V.Poor!R48</f>
        <v>1401.3106912413493</v>
      </c>
      <c r="C113" s="109">
        <f>Poor!R48</f>
        <v>1401.3106912413493</v>
      </c>
      <c r="D113" s="109">
        <f>Middle!R48</f>
        <v>1401.3106912413493</v>
      </c>
      <c r="E113" s="109">
        <f>Rich!R48</f>
        <v>0</v>
      </c>
      <c r="F113" s="109">
        <f>V.Poor!T48</f>
        <v>2312.1626405482261</v>
      </c>
      <c r="G113" s="109">
        <f>Poor!T48</f>
        <v>2312.1626405482261</v>
      </c>
      <c r="H113" s="109">
        <f>Middle!T48</f>
        <v>2312.1626405482261</v>
      </c>
      <c r="I113" s="109">
        <f>Rich!T48</f>
        <v>0</v>
      </c>
    </row>
    <row r="114" spans="1:9">
      <c r="A114" t="str">
        <f>V.Poor!Q49</f>
        <v>Food transfer - gifts</v>
      </c>
      <c r="B114" s="109">
        <f>V.Poor!R49</f>
        <v>0</v>
      </c>
      <c r="C114" s="109">
        <f>Poor!R49</f>
        <v>0</v>
      </c>
      <c r="D114" s="109">
        <f>Middle!R49</f>
        <v>0</v>
      </c>
      <c r="E114" s="109">
        <f>Rich!R49</f>
        <v>0</v>
      </c>
      <c r="F114" s="109">
        <f>V.Poor!T49</f>
        <v>0</v>
      </c>
      <c r="G114" s="109">
        <f>Poor!T49</f>
        <v>0</v>
      </c>
      <c r="H114" s="109">
        <f>Middle!T49</f>
        <v>0</v>
      </c>
      <c r="I114" s="109">
        <f>Rich!T49</f>
        <v>0</v>
      </c>
    </row>
    <row r="115" spans="1:9">
      <c r="A115" t="str">
        <f>V.Poor!Q50</f>
        <v>Cash transfer - official</v>
      </c>
      <c r="B115" s="109">
        <f>V.Poor!R50</f>
        <v>23108.571428571428</v>
      </c>
      <c r="C115" s="109">
        <f>Poor!R50</f>
        <v>22020</v>
      </c>
      <c r="D115" s="109">
        <f>Middle!R50</f>
        <v>0</v>
      </c>
      <c r="E115" s="109">
        <f>Rich!R50</f>
        <v>7620</v>
      </c>
      <c r="F115" s="109">
        <f>V.Poor!T50</f>
        <v>27268.114285714288</v>
      </c>
      <c r="G115" s="109">
        <f>Poor!T50</f>
        <v>25983.599999999999</v>
      </c>
      <c r="H115" s="109">
        <f>Middle!T50</f>
        <v>0</v>
      </c>
      <c r="I115" s="109">
        <f>Rich!T50</f>
        <v>8991.6</v>
      </c>
    </row>
    <row r="116" spans="1:9">
      <c r="A116" t="str">
        <f>V.Poor!Q51</f>
        <v>Cash transfer - gifts</v>
      </c>
      <c r="B116" s="109">
        <f>V.Poor!R51</f>
        <v>0</v>
      </c>
      <c r="C116" s="109">
        <f>Poor!R51</f>
        <v>0</v>
      </c>
      <c r="D116" s="109">
        <f>Middle!R51</f>
        <v>13714.285714285714</v>
      </c>
      <c r="E116" s="109">
        <f>Rich!R51</f>
        <v>26040</v>
      </c>
      <c r="F116" s="109">
        <f>V.Poor!T51</f>
        <v>0</v>
      </c>
      <c r="G116" s="109">
        <f>Poor!T51</f>
        <v>0</v>
      </c>
      <c r="H116" s="109">
        <f>Middle!T51</f>
        <v>15222.857142857143</v>
      </c>
      <c r="I116" s="109">
        <f>Rich!T51</f>
        <v>27030.000000000004</v>
      </c>
    </row>
    <row r="117" spans="1:9">
      <c r="A117" t="str">
        <f>V.Poor!Q52</f>
        <v>Other</v>
      </c>
      <c r="B117" s="109">
        <f>V.Poor!R52</f>
        <v>0</v>
      </c>
      <c r="C117" s="109">
        <f>Poor!R52</f>
        <v>0</v>
      </c>
      <c r="D117" s="109">
        <f>Middle!R52</f>
        <v>0</v>
      </c>
      <c r="E117" s="109">
        <f>Rich!R52</f>
        <v>0</v>
      </c>
      <c r="F117" s="109">
        <f>V.Poor!T52</f>
        <v>0</v>
      </c>
      <c r="G117" s="109">
        <f>Poor!T52</f>
        <v>0</v>
      </c>
      <c r="H117" s="109">
        <f>Middle!T52</f>
        <v>0</v>
      </c>
      <c r="I117" s="109">
        <f>Rich!T52</f>
        <v>0</v>
      </c>
    </row>
    <row r="118" spans="1:9">
      <c r="A118" t="str">
        <f>V.Poor!Q53</f>
        <v>TOTAL</v>
      </c>
      <c r="B118" s="109">
        <f>V.Poor!R53</f>
        <v>34327.607298110612</v>
      </c>
      <c r="C118" s="109">
        <f>Poor!R53</f>
        <v>57982.012912138351</v>
      </c>
      <c r="D118" s="109">
        <f>Middle!R53</f>
        <v>103687.67488574953</v>
      </c>
      <c r="E118" s="109">
        <f>Rich!R53</f>
        <v>218520.1227563791</v>
      </c>
      <c r="F118" s="109">
        <f>V.Poor!T53</f>
        <v>34915.113872928079</v>
      </c>
      <c r="G118" s="109">
        <f>Poor!T53</f>
        <v>55663.71421333644</v>
      </c>
      <c r="H118" s="109">
        <f>Middle!T53</f>
        <v>69872.098202225068</v>
      </c>
      <c r="I118" s="109">
        <f>Rich!T53</f>
        <v>155089.7283746383</v>
      </c>
    </row>
    <row r="119" spans="1:9">
      <c r="A119" t="str">
        <f>V.Poor!Q54</f>
        <v>Food Poverty line</v>
      </c>
      <c r="B119" s="109">
        <f>V.Poor!R54</f>
        <v>24062.646384067204</v>
      </c>
      <c r="C119" s="109">
        <f>Poor!R54</f>
        <v>24062.646384067204</v>
      </c>
      <c r="D119" s="109">
        <f>Middle!R54</f>
        <v>24062.6463840672</v>
      </c>
      <c r="E119" s="109">
        <f>Rich!R54</f>
        <v>24062.646384067208</v>
      </c>
      <c r="F119" s="109">
        <f>V.Poor!T54</f>
        <v>35969.406972062061</v>
      </c>
      <c r="G119" s="109">
        <f>Poor!T54</f>
        <v>35969.406972062054</v>
      </c>
      <c r="H119" s="109">
        <f>Middle!T54</f>
        <v>35969.406972062054</v>
      </c>
      <c r="I119" s="109">
        <f>Rich!T54</f>
        <v>35969.406972062061</v>
      </c>
    </row>
    <row r="120" spans="1:9">
      <c r="A120" s="108" t="str">
        <f>V.Poor!Q55</f>
        <v>Lower Bound Poverty line</v>
      </c>
      <c r="B120" s="109">
        <f>V.Poor!R55</f>
        <v>42445.473050733868</v>
      </c>
      <c r="C120" s="109">
        <f>Poor!R55</f>
        <v>42445.473050733875</v>
      </c>
      <c r="D120" s="109">
        <f>Middle!R55</f>
        <v>42445.473050733868</v>
      </c>
      <c r="E120" s="109">
        <f>Rich!R55</f>
        <v>42445.473050733883</v>
      </c>
      <c r="F120" s="109">
        <f>V.Poor!T55</f>
        <v>54352.233638728721</v>
      </c>
      <c r="G120" s="109">
        <f>Poor!T55</f>
        <v>54352.233638728729</v>
      </c>
      <c r="H120" s="109">
        <f>Middle!T55</f>
        <v>54352.233638728721</v>
      </c>
      <c r="I120" s="109">
        <f>Rich!T55</f>
        <v>54352.233638728729</v>
      </c>
    </row>
    <row r="121" spans="1:9">
      <c r="A121" s="108" t="str">
        <f>V.Poor!Q56</f>
        <v>Upper Bound Poverty line</v>
      </c>
      <c r="B121" s="109">
        <f>V.Poor!R56</f>
        <v>75183.393050733866</v>
      </c>
      <c r="C121" s="109">
        <f>Poor!R56</f>
        <v>75183.393050733881</v>
      </c>
      <c r="D121" s="109">
        <f>Middle!R56</f>
        <v>75183.393050733866</v>
      </c>
      <c r="E121" s="109">
        <f>Rich!R56</f>
        <v>75183.393050733881</v>
      </c>
      <c r="F121" s="109">
        <f>V.Poor!T56</f>
        <v>87090.153638728734</v>
      </c>
      <c r="G121" s="109">
        <f>Poor!T56</f>
        <v>87090.15363872872</v>
      </c>
      <c r="H121" s="109">
        <f>Middle!T56</f>
        <v>87090.153638728734</v>
      </c>
      <c r="I121" s="109">
        <f>Rich!T56</f>
        <v>87090.15363872872</v>
      </c>
    </row>
    <row r="122" spans="1:9">
      <c r="A122" s="108">
        <f>V.Poor!Q57</f>
        <v>0</v>
      </c>
      <c r="B122" s="109">
        <f>V.Poor!R57</f>
        <v>0</v>
      </c>
      <c r="C122" s="109">
        <f>Poor!R57</f>
        <v>0</v>
      </c>
      <c r="D122" s="109">
        <f>Middle!R57</f>
        <v>0</v>
      </c>
      <c r="E122" s="109">
        <f>Rich!R57</f>
        <v>0</v>
      </c>
      <c r="F122" s="109">
        <f>V.Poor!T57</f>
        <v>0</v>
      </c>
      <c r="G122" s="109">
        <f>Poor!T57</f>
        <v>0</v>
      </c>
      <c r="H122" s="109">
        <f>Middle!T57</f>
        <v>0</v>
      </c>
      <c r="I122" s="109">
        <f>Rich!T57</f>
        <v>0</v>
      </c>
    </row>
    <row r="123" spans="1:9">
      <c r="A123" t="str">
        <f>V.Poor!Q54</f>
        <v>Food Poverty line</v>
      </c>
      <c r="F123" s="109">
        <f>V.Poor!T54</f>
        <v>35969.406972062061</v>
      </c>
      <c r="G123" s="109">
        <f>Poor!T54</f>
        <v>35969.406972062054</v>
      </c>
      <c r="H123" s="109">
        <f>Middle!T54</f>
        <v>35969.406972062054</v>
      </c>
      <c r="I123" s="109">
        <f>Rich!T54</f>
        <v>35969.406972062061</v>
      </c>
    </row>
    <row r="124" spans="1:9">
      <c r="A124" t="str">
        <f>V.Poor!Q55</f>
        <v>Lower Bound Poverty line</v>
      </c>
      <c r="F124" s="109">
        <f>V.Poor!T55</f>
        <v>54352.233638728721</v>
      </c>
      <c r="G124" s="109">
        <f>Poor!T55</f>
        <v>54352.233638728729</v>
      </c>
      <c r="H124" s="109">
        <f>Middle!T55</f>
        <v>54352.233638728721</v>
      </c>
      <c r="I124" s="109">
        <f>Rich!T55</f>
        <v>54352.233638728729</v>
      </c>
    </row>
    <row r="125" spans="1:9">
      <c r="A125" t="str">
        <f>V.Poor!Q56</f>
        <v>Upper Bound Poverty line</v>
      </c>
      <c r="F125" s="109">
        <f>V.Poor!T56</f>
        <v>87090.153638728734</v>
      </c>
      <c r="G125" s="109">
        <f>Poor!T56</f>
        <v>87090.15363872872</v>
      </c>
      <c r="H125" s="109">
        <f>Middle!T56</f>
        <v>87090.153638728734</v>
      </c>
      <c r="I125" s="109">
        <f>Rich!T56</f>
        <v>87090.15363872872</v>
      </c>
    </row>
    <row r="126" spans="1:9">
      <c r="A126">
        <f>V.Poor!Q57</f>
        <v>0</v>
      </c>
      <c r="F126" s="109">
        <f>V.Poor!T57</f>
        <v>0</v>
      </c>
      <c r="G126" s="109">
        <f>Poor!T57</f>
        <v>0</v>
      </c>
      <c r="H126" s="109">
        <f>Middle!T57</f>
        <v>0</v>
      </c>
      <c r="I126" s="109">
        <f>Rich!T57</f>
        <v>0</v>
      </c>
    </row>
    <row r="128" spans="1:9">
      <c r="A128" t="s">
        <v>141</v>
      </c>
      <c r="B128" s="237">
        <f>IF(B119&gt;B$88,B119-B$88,0)</f>
        <v>0</v>
      </c>
      <c r="C128" s="237">
        <f t="shared" ref="C128:I128" si="1">IF(C119&gt;C$88,C119-C$88,0)</f>
        <v>0</v>
      </c>
      <c r="D128" s="237">
        <f t="shared" si="1"/>
        <v>0</v>
      </c>
      <c r="E128" s="237">
        <f t="shared" si="1"/>
        <v>0</v>
      </c>
      <c r="F128" s="237">
        <f t="shared" si="1"/>
        <v>1054.2930991339817</v>
      </c>
      <c r="G128" s="237">
        <f t="shared" si="1"/>
        <v>0</v>
      </c>
      <c r="H128" s="237">
        <f t="shared" si="1"/>
        <v>0</v>
      </c>
      <c r="I128" s="237">
        <f t="shared" si="1"/>
        <v>0</v>
      </c>
    </row>
    <row r="129" spans="1:9">
      <c r="A129" t="s">
        <v>142</v>
      </c>
      <c r="B129" s="237">
        <f>IF(B120&gt;B$88,B120-B$88,0)</f>
        <v>0</v>
      </c>
      <c r="C129" s="237">
        <f t="shared" ref="C129:I129" si="2">IF(C120&gt;C$88,C120-C$88,0)</f>
        <v>0</v>
      </c>
      <c r="D129" s="237">
        <f t="shared" si="2"/>
        <v>0</v>
      </c>
      <c r="E129" s="237">
        <f t="shared" si="2"/>
        <v>0</v>
      </c>
      <c r="F129" s="237">
        <f t="shared" si="2"/>
        <v>19437.119765800642</v>
      </c>
      <c r="G129" s="237">
        <f t="shared" si="2"/>
        <v>0</v>
      </c>
      <c r="H129" s="237">
        <f t="shared" si="2"/>
        <v>0</v>
      </c>
      <c r="I129" s="237">
        <f t="shared" si="2"/>
        <v>0</v>
      </c>
    </row>
    <row r="130" spans="1:9">
      <c r="A130" t="s">
        <v>143</v>
      </c>
      <c r="B130" s="237">
        <f>IF(B121&gt;B$88,B121-B$88,0)</f>
        <v>23869.682265354953</v>
      </c>
      <c r="C130" s="237">
        <f t="shared" ref="C130:I130" si="3">IF(C121&gt;C$88,C121-C$88,0)</f>
        <v>0</v>
      </c>
      <c r="D130" s="237">
        <f t="shared" si="3"/>
        <v>0</v>
      </c>
      <c r="E130" s="237">
        <f t="shared" si="3"/>
        <v>0</v>
      </c>
      <c r="F130" s="237">
        <f t="shared" si="3"/>
        <v>52175.039765800655</v>
      </c>
      <c r="G130" s="237">
        <f t="shared" si="3"/>
        <v>31426.43942539228</v>
      </c>
      <c r="H130" s="237">
        <f t="shared" si="3"/>
        <v>17218.055436503666</v>
      </c>
      <c r="I130" s="237">
        <f t="shared" si="3"/>
        <v>0</v>
      </c>
    </row>
    <row r="131" spans="1:9">
      <c r="A131" t="s">
        <v>144</v>
      </c>
      <c r="B131" s="237">
        <f>IF(B122&gt;B$88,B122-B$88,0)</f>
        <v>0</v>
      </c>
      <c r="C131" s="237">
        <f t="shared" ref="C131:I131" si="4">IF(C122&gt;C$88,C122-C$88,0)</f>
        <v>0</v>
      </c>
      <c r="D131" s="237">
        <f t="shared" si="4"/>
        <v>0</v>
      </c>
      <c r="E131" s="237">
        <f t="shared" si="4"/>
        <v>0</v>
      </c>
      <c r="F131" s="237">
        <f t="shared" si="4"/>
        <v>0</v>
      </c>
      <c r="G131" s="237">
        <f t="shared" si="4"/>
        <v>0</v>
      </c>
      <c r="H131" s="237">
        <f t="shared" si="4"/>
        <v>0</v>
      </c>
      <c r="I131" s="237">
        <f t="shared" si="4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48" customFormat="1" ht="19">
      <c r="A2" s="245"/>
      <c r="B2" s="245"/>
      <c r="C2" s="245"/>
      <c r="D2" s="245"/>
      <c r="E2" s="245"/>
      <c r="F2" s="245"/>
      <c r="G2" s="243"/>
      <c r="H2" s="243"/>
      <c r="I2" s="243"/>
      <c r="J2" s="243"/>
      <c r="K2" s="260" t="str">
        <f>Poor!A1</f>
        <v>ZAKHC: 59208</v>
      </c>
      <c r="L2" s="260"/>
      <c r="M2" s="260"/>
      <c r="N2" s="260"/>
      <c r="O2" s="260"/>
      <c r="P2" s="260"/>
      <c r="Q2" s="260"/>
      <c r="R2" s="245"/>
      <c r="S2" s="245"/>
      <c r="T2" s="245"/>
      <c r="U2" s="245"/>
      <c r="V2" s="245"/>
    </row>
    <row r="3" spans="1:22" s="92" customFormat="1" ht="17">
      <c r="A3" s="90"/>
      <c r="B3" s="261" t="str">
        <f>V.Poor!A67</f>
        <v>Expenditure : Very Poor HHs</v>
      </c>
      <c r="C3" s="261"/>
      <c r="D3" s="261"/>
      <c r="E3" s="261"/>
      <c r="F3" s="247"/>
      <c r="G3" s="259" t="str">
        <f>Poor!A67</f>
        <v>Expenditure : Poor HHs</v>
      </c>
      <c r="H3" s="259"/>
      <c r="I3" s="259"/>
      <c r="J3" s="259"/>
      <c r="K3" s="243"/>
      <c r="L3" s="259" t="str">
        <f>Middle!A67</f>
        <v>Expenditure : Middle HHs</v>
      </c>
      <c r="M3" s="259"/>
      <c r="N3" s="259"/>
      <c r="O3" s="259"/>
      <c r="P3" s="259"/>
      <c r="Q3" s="244"/>
      <c r="R3" s="259" t="str">
        <f>Rich!A67</f>
        <v>Expenditure : Better-off HHs</v>
      </c>
      <c r="S3" s="259"/>
      <c r="T3" s="259"/>
      <c r="U3" s="259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2016-10-18T11:35:05Z</dcterms:modified>
  <cp:category/>
</cp:coreProperties>
</file>